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ppertm\lippertm.NRA\Con Tender Evaluations - 2022\N.007-040-2024_1 Mikayla\"/>
    </mc:Choice>
  </mc:AlternateContent>
  <xr:revisionPtr revIDLastSave="0" documentId="13_ncr:1_{6E9E0705-A2BD-4F05-A994-E7843ECA08AB}" xr6:coauthVersionLast="47" xr6:coauthVersionMax="47" xr10:uidLastSave="{00000000-0000-0000-0000-000000000000}"/>
  <bookViews>
    <workbookView xWindow="-38510" yWindow="-6130" windowWidth="38620" windowHeight="21100" xr2:uid="{2F78DACA-BA25-4B1A-BDF3-CB7D9BC8FBA2}"/>
  </bookViews>
  <sheets>
    <sheet name="TENDERER INPUT DATA" sheetId="50" r:id="rId1"/>
    <sheet name="Non Fee Hours" sheetId="22" r:id="rId2"/>
    <sheet name="Hours Roadworks" sheetId="15" r:id="rId3"/>
    <sheet name="Hours Structures" sheetId="16" state="hidden" r:id="rId4"/>
    <sheet name="Hours Electrical" sheetId="17" state="hidden" r:id="rId5"/>
    <sheet name="Hours Building" sheetId="18" state="hidden" r:id="rId6"/>
    <sheet name="Hours Mechanical" sheetId="19" state="hidden" r:id="rId7"/>
    <sheet name="Hours Electronic" sheetId="20" state="hidden" r:id="rId8"/>
    <sheet name="Hours Other" sheetId="21" state="hidden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7">'Hours Electronic'!$1:$6</definedName>
    <definedName name="_xlnm.Print_Titles" localSheetId="6">'Hours Mechanical'!$1:$6</definedName>
    <definedName name="_xlnm.Print_Titles" localSheetId="8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90" i="8" l="1"/>
  <c r="F3" i="8"/>
  <c r="E3" i="4"/>
  <c r="L81" i="29"/>
  <c r="M75" i="36"/>
  <c r="I25" i="36"/>
  <c r="M25" i="36" s="1"/>
  <c r="F40" i="8"/>
  <c r="KP52" i="3"/>
  <c r="F67" i="40" s="1"/>
  <c r="KP50" i="3"/>
  <c r="F384" i="8"/>
  <c r="J25" i="36" l="1"/>
  <c r="K25" i="36"/>
  <c r="B95" i="9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37" i="29"/>
  <c r="A237" i="29"/>
  <c r="L244" i="29"/>
  <c r="L243" i="29"/>
  <c r="L242" i="29"/>
  <c r="L241" i="29"/>
  <c r="L240" i="29"/>
  <c r="L239" i="29"/>
  <c r="L238" i="29"/>
  <c r="H229" i="29"/>
  <c r="A229" i="29"/>
  <c r="A228" i="29"/>
  <c r="L236" i="29"/>
  <c r="L235" i="29"/>
  <c r="L234" i="29"/>
  <c r="L233" i="29"/>
  <c r="L229" i="29" s="1"/>
  <c r="L232" i="29"/>
  <c r="L231" i="29"/>
  <c r="L230" i="29"/>
  <c r="A227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L237" i="29" l="1"/>
  <c r="K237" i="29" s="1"/>
  <c r="G35" i="40" s="1"/>
  <c r="M35" i="40" s="1"/>
  <c r="K35" i="40"/>
  <c r="L35" i="40"/>
  <c r="K229" i="29"/>
  <c r="G34" i="40" s="1"/>
  <c r="H34" i="40" s="1"/>
  <c r="K34" i="40"/>
  <c r="L31" i="40"/>
  <c r="L32" i="40"/>
  <c r="J32" i="40"/>
  <c r="L34" i="40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H349" i="8"/>
  <c r="H350" i="8"/>
  <c r="H338" i="8"/>
  <c r="H339" i="8"/>
  <c r="H340" i="8"/>
  <c r="H341" i="8"/>
  <c r="H342" i="8"/>
  <c r="H343" i="8"/>
  <c r="H345" i="8"/>
  <c r="H346" i="8"/>
  <c r="H347" i="8"/>
  <c r="H310" i="8"/>
  <c r="H311" i="8"/>
  <c r="H312" i="8"/>
  <c r="H314" i="8"/>
  <c r="H315" i="8"/>
  <c r="H277" i="8"/>
  <c r="H278" i="8"/>
  <c r="H279" i="8"/>
  <c r="H281" i="8"/>
  <c r="H282" i="8"/>
  <c r="H252" i="8"/>
  <c r="H232" i="8"/>
  <c r="H233" i="8"/>
  <c r="H235" i="8"/>
  <c r="H236" i="8"/>
  <c r="H177" i="8"/>
  <c r="H178" i="8"/>
  <c r="H179" i="8"/>
  <c r="H161" i="8"/>
  <c r="H162" i="8"/>
  <c r="H163" i="8"/>
  <c r="H44" i="8"/>
  <c r="H45" i="8"/>
  <c r="H37" i="8"/>
  <c r="H39" i="8"/>
  <c r="H40" i="8"/>
  <c r="H36" i="8"/>
  <c r="H28" i="8"/>
  <c r="H29" i="8"/>
  <c r="H30" i="8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87" i="29"/>
  <c r="A387" i="29"/>
  <c r="L382" i="29"/>
  <c r="L383" i="29"/>
  <c r="L384" i="29"/>
  <c r="L385" i="29"/>
  <c r="L386" i="29"/>
  <c r="L388" i="29"/>
  <c r="L389" i="29"/>
  <c r="L390" i="29"/>
  <c r="L391" i="29"/>
  <c r="K39" i="41" l="1"/>
  <c r="E40" i="41" s="1"/>
  <c r="K40" i="41" s="1"/>
  <c r="M37" i="41"/>
  <c r="K37" i="41"/>
  <c r="H396" i="29"/>
  <c r="A396" i="29"/>
  <c r="A395" i="29"/>
  <c r="L397" i="29"/>
  <c r="L381" i="29"/>
  <c r="L392" i="29"/>
  <c r="L393" i="29"/>
  <c r="L394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23" i="29"/>
  <c r="A323" i="29"/>
  <c r="A322" i="29"/>
  <c r="L316" i="29"/>
  <c r="L317" i="29"/>
  <c r="L318" i="29"/>
  <c r="L319" i="29"/>
  <c r="L320" i="29"/>
  <c r="L321" i="29"/>
  <c r="L324" i="29"/>
  <c r="I67" i="40"/>
  <c r="J67" i="40" s="1"/>
  <c r="E67" i="40"/>
  <c r="C67" i="40"/>
  <c r="C68" i="40"/>
  <c r="B66" i="40"/>
  <c r="B67" i="40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23" i="29"/>
  <c r="A123" i="29"/>
  <c r="A122" i="29"/>
  <c r="L124" i="29"/>
  <c r="L117" i="29"/>
  <c r="L118" i="29"/>
  <c r="L119" i="29"/>
  <c r="L120" i="29"/>
  <c r="L121" i="29"/>
  <c r="L116" i="29"/>
  <c r="A113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64" i="29"/>
  <c r="A64" i="29"/>
  <c r="A63" i="29"/>
  <c r="L67" i="29"/>
  <c r="L58" i="29"/>
  <c r="L59" i="29"/>
  <c r="L60" i="29"/>
  <c r="L61" i="29"/>
  <c r="L62" i="29"/>
  <c r="L65" i="29"/>
  <c r="I22" i="36"/>
  <c r="M22" i="36" s="1"/>
  <c r="I27" i="36"/>
  <c r="L68" i="29"/>
  <c r="H55" i="29"/>
  <c r="L56" i="29"/>
  <c r="A55" i="29"/>
  <c r="L50" i="29"/>
  <c r="L51" i="29"/>
  <c r="L52" i="29"/>
  <c r="L53" i="29"/>
  <c r="L54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4" i="36"/>
  <c r="E25" i="36"/>
  <c r="I21" i="36"/>
  <c r="M21" i="36" s="1"/>
  <c r="I20" i="36"/>
  <c r="H38" i="29"/>
  <c r="A38" i="29"/>
  <c r="D22" i="36"/>
  <c r="E22" i="36" s="1"/>
  <c r="D27" i="36"/>
  <c r="E27" i="36" s="1"/>
  <c r="K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L387" i="29" l="1"/>
  <c r="K387" i="29" s="1"/>
  <c r="J21" i="36"/>
  <c r="K21" i="36"/>
  <c r="J14" i="36"/>
  <c r="K13" i="36"/>
  <c r="K14" i="36"/>
  <c r="J95" i="37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K75" i="36" s="1"/>
  <c r="M27" i="36"/>
  <c r="L47" i="29"/>
  <c r="D350" i="8"/>
  <c r="F347" i="8"/>
  <c r="F346" i="8"/>
  <c r="D343" i="8"/>
  <c r="D341" i="8"/>
  <c r="F279" i="8"/>
  <c r="F278" i="8"/>
  <c r="J75" i="36" l="1"/>
  <c r="F341" i="8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79" i="29" l="1"/>
  <c r="A379" i="29"/>
  <c r="L403" i="29"/>
  <c r="L402" i="29"/>
  <c r="L401" i="29"/>
  <c r="L400" i="29"/>
  <c r="L399" i="29"/>
  <c r="L398" i="29"/>
  <c r="L380" i="29"/>
  <c r="L379" i="29" s="1"/>
  <c r="H371" i="29"/>
  <c r="A371" i="29"/>
  <c r="A370" i="29"/>
  <c r="L378" i="29"/>
  <c r="L377" i="29"/>
  <c r="L376" i="29"/>
  <c r="L375" i="29"/>
  <c r="L374" i="29"/>
  <c r="L373" i="29"/>
  <c r="L372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84" i="29"/>
  <c r="A184" i="29"/>
  <c r="A183" i="29"/>
  <c r="L191" i="29"/>
  <c r="L190" i="29"/>
  <c r="L189" i="29"/>
  <c r="L188" i="29"/>
  <c r="L187" i="29"/>
  <c r="L186" i="29"/>
  <c r="L185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396" i="29" l="1"/>
  <c r="K396" i="29" s="1"/>
  <c r="L371" i="29"/>
  <c r="K371" i="29" s="1"/>
  <c r="K379" i="29"/>
  <c r="L184" i="29"/>
  <c r="K184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C31" i="7"/>
  <c r="B37" i="7"/>
  <c r="B35" i="7"/>
  <c r="D35" i="7" s="1"/>
  <c r="B34" i="7"/>
  <c r="D34" i="7" s="1"/>
  <c r="B33" i="7"/>
  <c r="B32" i="7"/>
  <c r="B31" i="7"/>
  <c r="D31" i="7" s="1"/>
  <c r="B30" i="7"/>
  <c r="B29" i="7"/>
  <c r="D33" i="7"/>
  <c r="D32" i="7"/>
  <c r="H314" i="29" l="1"/>
  <c r="A314" i="29"/>
  <c r="L309" i="29"/>
  <c r="L310" i="29"/>
  <c r="L311" i="29"/>
  <c r="L312" i="29"/>
  <c r="L313" i="29"/>
  <c r="L315" i="29"/>
  <c r="L314" i="29" s="1"/>
  <c r="L325" i="29"/>
  <c r="I61" i="40"/>
  <c r="J61" i="40" s="1"/>
  <c r="E61" i="40"/>
  <c r="C61" i="40"/>
  <c r="B61" i="40"/>
  <c r="JI50" i="3" s="1"/>
  <c r="H308" i="8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H356" i="8"/>
  <c r="H357" i="8"/>
  <c r="H355" i="8"/>
  <c r="H334" i="8"/>
  <c r="H354" i="8"/>
  <c r="H336" i="8"/>
  <c r="F336" i="8"/>
  <c r="H335" i="8"/>
  <c r="H333" i="8"/>
  <c r="H332" i="8"/>
  <c r="H331" i="8"/>
  <c r="H330" i="8"/>
  <c r="H329" i="8"/>
  <c r="H323" i="8"/>
  <c r="H322" i="8"/>
  <c r="H321" i="8"/>
  <c r="H320" i="8"/>
  <c r="H325" i="8"/>
  <c r="H324" i="8"/>
  <c r="H307" i="8"/>
  <c r="H306" i="8"/>
  <c r="H303" i="8"/>
  <c r="F303" i="8"/>
  <c r="H302" i="8"/>
  <c r="F302" i="8"/>
  <c r="H300" i="8"/>
  <c r="H298" i="8"/>
  <c r="H304" i="8"/>
  <c r="H299" i="8"/>
  <c r="H297" i="8"/>
  <c r="H296" i="8"/>
  <c r="F296" i="8"/>
  <c r="H295" i="8"/>
  <c r="H294" i="8"/>
  <c r="H293" i="8"/>
  <c r="H292" i="8"/>
  <c r="H290" i="8"/>
  <c r="H289" i="8"/>
  <c r="H288" i="8"/>
  <c r="H286" i="8"/>
  <c r="H285" i="8"/>
  <c r="H284" i="8"/>
  <c r="F284" i="8"/>
  <c r="H251" i="8"/>
  <c r="H250" i="8"/>
  <c r="H248" i="8"/>
  <c r="H247" i="8"/>
  <c r="H246" i="8"/>
  <c r="H241" i="8"/>
  <c r="H242" i="8"/>
  <c r="F242" i="8"/>
  <c r="H240" i="8"/>
  <c r="H230" i="8"/>
  <c r="H229" i="8"/>
  <c r="H228" i="8"/>
  <c r="F228" i="8"/>
  <c r="H227" i="8"/>
  <c r="F227" i="8"/>
  <c r="H226" i="8"/>
  <c r="F226" i="8"/>
  <c r="H225" i="8"/>
  <c r="F225" i="8"/>
  <c r="H224" i="8"/>
  <c r="F224" i="8"/>
  <c r="H223" i="8"/>
  <c r="F223" i="8"/>
  <c r="H222" i="8"/>
  <c r="F222" i="8"/>
  <c r="H221" i="8"/>
  <c r="F221" i="8"/>
  <c r="H220" i="8"/>
  <c r="F220" i="8"/>
  <c r="H219" i="8"/>
  <c r="F219" i="8"/>
  <c r="H218" i="8"/>
  <c r="F218" i="8"/>
  <c r="H217" i="8"/>
  <c r="F217" i="8"/>
  <c r="H216" i="8"/>
  <c r="F216" i="8"/>
  <c r="H215" i="8"/>
  <c r="F215" i="8"/>
  <c r="H214" i="8"/>
  <c r="F214" i="8"/>
  <c r="H213" i="8"/>
  <c r="F213" i="8"/>
  <c r="H212" i="8"/>
  <c r="F212" i="8"/>
  <c r="H211" i="8"/>
  <c r="F211" i="8"/>
  <c r="H210" i="8"/>
  <c r="F210" i="8"/>
  <c r="H209" i="8"/>
  <c r="F209" i="8"/>
  <c r="H208" i="8"/>
  <c r="F208" i="8"/>
  <c r="H207" i="8"/>
  <c r="F207" i="8"/>
  <c r="H206" i="8"/>
  <c r="F206" i="8"/>
  <c r="H205" i="8"/>
  <c r="F205" i="8"/>
  <c r="H204" i="8"/>
  <c r="F204" i="8"/>
  <c r="H203" i="8"/>
  <c r="F203" i="8"/>
  <c r="H202" i="8"/>
  <c r="F202" i="8"/>
  <c r="F201" i="8"/>
  <c r="H198" i="8"/>
  <c r="F198" i="8"/>
  <c r="H197" i="8"/>
  <c r="F197" i="8"/>
  <c r="H195" i="8"/>
  <c r="F195" i="8"/>
  <c r="H194" i="8"/>
  <c r="F194" i="8"/>
  <c r="H193" i="8"/>
  <c r="F193" i="8"/>
  <c r="H192" i="8"/>
  <c r="H191" i="8"/>
  <c r="H190" i="8"/>
  <c r="H187" i="8"/>
  <c r="H186" i="8"/>
  <c r="H188" i="8"/>
  <c r="H184" i="8"/>
  <c r="H183" i="8"/>
  <c r="H182" i="8"/>
  <c r="H181" i="8"/>
  <c r="H175" i="8"/>
  <c r="H174" i="8"/>
  <c r="H173" i="8"/>
  <c r="H170" i="8"/>
  <c r="H169" i="8"/>
  <c r="H168" i="8"/>
  <c r="H165" i="8"/>
  <c r="H166" i="8"/>
  <c r="H159" i="8"/>
  <c r="H158" i="8"/>
  <c r="H157" i="8"/>
  <c r="H86" i="8"/>
  <c r="H85" i="8"/>
  <c r="H84" i="8"/>
  <c r="F84" i="8"/>
  <c r="H83" i="8"/>
  <c r="F83" i="8"/>
  <c r="H82" i="8"/>
  <c r="F82" i="8"/>
  <c r="H81" i="8"/>
  <c r="F81" i="8"/>
  <c r="H80" i="8"/>
  <c r="F80" i="8"/>
  <c r="H79" i="8"/>
  <c r="F79" i="8"/>
  <c r="H78" i="8"/>
  <c r="F78" i="8"/>
  <c r="H77" i="8"/>
  <c r="F77" i="8"/>
  <c r="H76" i="8"/>
  <c r="F76" i="8"/>
  <c r="H75" i="8"/>
  <c r="F75" i="8"/>
  <c r="H74" i="8"/>
  <c r="F74" i="8"/>
  <c r="H73" i="8"/>
  <c r="F73" i="8"/>
  <c r="H72" i="8"/>
  <c r="F72" i="8"/>
  <c r="H71" i="8"/>
  <c r="F71" i="8"/>
  <c r="H70" i="8"/>
  <c r="F70" i="8"/>
  <c r="H69" i="8"/>
  <c r="F69" i="8"/>
  <c r="H68" i="8"/>
  <c r="F68" i="8"/>
  <c r="H67" i="8"/>
  <c r="F67" i="8"/>
  <c r="H66" i="8"/>
  <c r="F66" i="8"/>
  <c r="H65" i="8"/>
  <c r="F65" i="8"/>
  <c r="H64" i="8"/>
  <c r="F64" i="8"/>
  <c r="H63" i="8"/>
  <c r="F63" i="8"/>
  <c r="H62" i="8"/>
  <c r="F62" i="8"/>
  <c r="H61" i="8"/>
  <c r="F61" i="8"/>
  <c r="H60" i="8"/>
  <c r="F60" i="8"/>
  <c r="H59" i="8"/>
  <c r="F59" i="8"/>
  <c r="H58" i="8"/>
  <c r="F58" i="8"/>
  <c r="H57" i="8"/>
  <c r="F57" i="8"/>
  <c r="H54" i="8"/>
  <c r="F54" i="8"/>
  <c r="H53" i="8"/>
  <c r="F53" i="8"/>
  <c r="H51" i="8"/>
  <c r="F51" i="8"/>
  <c r="H50" i="8"/>
  <c r="F50" i="8"/>
  <c r="H49" i="8"/>
  <c r="F49" i="8"/>
  <c r="H48" i="8"/>
  <c r="F48" i="8"/>
  <c r="H47" i="8"/>
  <c r="H42" i="8"/>
  <c r="H41" i="8"/>
  <c r="H35" i="8"/>
  <c r="H33" i="8"/>
  <c r="H32" i="8"/>
  <c r="H24" i="8"/>
  <c r="H26" i="8"/>
  <c r="H25" i="8"/>
  <c r="H13" i="8"/>
  <c r="H16" i="8"/>
  <c r="H14" i="8"/>
  <c r="H17" i="8"/>
  <c r="H19" i="8"/>
  <c r="H20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57" i="29"/>
  <c r="H149" i="29"/>
  <c r="A157" i="29"/>
  <c r="A149" i="29"/>
  <c r="A148" i="29"/>
  <c r="L164" i="29"/>
  <c r="L163" i="29"/>
  <c r="L162" i="29"/>
  <c r="L161" i="29"/>
  <c r="L160" i="29"/>
  <c r="L159" i="29"/>
  <c r="L158" i="29"/>
  <c r="L156" i="29"/>
  <c r="L155" i="29"/>
  <c r="L154" i="29"/>
  <c r="L153" i="29"/>
  <c r="L152" i="29"/>
  <c r="L151" i="29"/>
  <c r="L150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49" i="29"/>
  <c r="K149" i="29" s="1"/>
  <c r="L157" i="29"/>
  <c r="K157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28" i="29"/>
  <c r="L429" i="29"/>
  <c r="L430" i="29"/>
  <c r="L431" i="29"/>
  <c r="L432" i="29"/>
  <c r="L433" i="29"/>
  <c r="L427" i="29"/>
  <c r="E25" i="41"/>
  <c r="E23" i="41"/>
  <c r="E59" i="40"/>
  <c r="E11" i="42"/>
  <c r="E9" i="42"/>
  <c r="H426" i="29"/>
  <c r="A426" i="29"/>
  <c r="L420" i="29"/>
  <c r="L421" i="29"/>
  <c r="L422" i="29"/>
  <c r="L423" i="29"/>
  <c r="L424" i="29"/>
  <c r="L425" i="29"/>
  <c r="L419" i="29"/>
  <c r="H418" i="29"/>
  <c r="A418" i="29"/>
  <c r="A417" i="29"/>
  <c r="A416" i="29"/>
  <c r="H362" i="29"/>
  <c r="A362" i="29"/>
  <c r="L369" i="29"/>
  <c r="L368" i="29"/>
  <c r="L367" i="29"/>
  <c r="L366" i="29"/>
  <c r="L365" i="29"/>
  <c r="L364" i="29"/>
  <c r="L363" i="29"/>
  <c r="L361" i="29"/>
  <c r="L360" i="29"/>
  <c r="L359" i="29"/>
  <c r="L358" i="29"/>
  <c r="L357" i="29"/>
  <c r="L356" i="29"/>
  <c r="L355" i="29"/>
  <c r="H354" i="29"/>
  <c r="A354" i="29"/>
  <c r="A353" i="29"/>
  <c r="L347" i="29"/>
  <c r="L348" i="29"/>
  <c r="L349" i="29"/>
  <c r="L350" i="29"/>
  <c r="L351" i="29"/>
  <c r="L352" i="29"/>
  <c r="L346" i="29"/>
  <c r="H345" i="29"/>
  <c r="A345" i="29"/>
  <c r="A344" i="29"/>
  <c r="A343" i="29"/>
  <c r="H306" i="29"/>
  <c r="H297" i="29"/>
  <c r="A306" i="29"/>
  <c r="A305" i="29"/>
  <c r="A297" i="29"/>
  <c r="A296" i="29"/>
  <c r="L330" i="29"/>
  <c r="L329" i="29"/>
  <c r="L328" i="29"/>
  <c r="L327" i="29"/>
  <c r="L326" i="29"/>
  <c r="L308" i="29"/>
  <c r="L307" i="29"/>
  <c r="L304" i="29"/>
  <c r="L303" i="29"/>
  <c r="L302" i="29"/>
  <c r="L301" i="29"/>
  <c r="L300" i="29"/>
  <c r="L299" i="29"/>
  <c r="L298" i="29"/>
  <c r="E57" i="40"/>
  <c r="H288" i="29"/>
  <c r="A288" i="29"/>
  <c r="H280" i="29"/>
  <c r="A280" i="29"/>
  <c r="E52" i="40"/>
  <c r="L295" i="29"/>
  <c r="L294" i="29"/>
  <c r="L293" i="29"/>
  <c r="L292" i="29"/>
  <c r="L291" i="29"/>
  <c r="L290" i="29"/>
  <c r="L289" i="29"/>
  <c r="L287" i="29"/>
  <c r="L286" i="29"/>
  <c r="L285" i="29"/>
  <c r="L284" i="29"/>
  <c r="L283" i="29"/>
  <c r="L282" i="29"/>
  <c r="L281" i="29"/>
  <c r="E50" i="40"/>
  <c r="H272" i="29"/>
  <c r="A272" i="29"/>
  <c r="H264" i="29"/>
  <c r="A264" i="29"/>
  <c r="A263" i="29"/>
  <c r="L279" i="29"/>
  <c r="L278" i="29"/>
  <c r="L277" i="29"/>
  <c r="L276" i="29"/>
  <c r="L275" i="29"/>
  <c r="L274" i="29"/>
  <c r="L273" i="29"/>
  <c r="L271" i="29"/>
  <c r="L270" i="29"/>
  <c r="L269" i="29"/>
  <c r="L268" i="29"/>
  <c r="L267" i="29"/>
  <c r="L266" i="29"/>
  <c r="L265" i="29"/>
  <c r="E47" i="40"/>
  <c r="E45" i="40"/>
  <c r="E41" i="40"/>
  <c r="H246" i="29"/>
  <c r="H255" i="29"/>
  <c r="A255" i="29"/>
  <c r="A254" i="29"/>
  <c r="L262" i="29"/>
  <c r="L261" i="29"/>
  <c r="L260" i="29"/>
  <c r="L259" i="29"/>
  <c r="L258" i="29"/>
  <c r="L257" i="29"/>
  <c r="L256" i="29"/>
  <c r="E38" i="40"/>
  <c r="A246" i="29"/>
  <c r="A245" i="29"/>
  <c r="A226" i="29"/>
  <c r="L253" i="29"/>
  <c r="L252" i="29"/>
  <c r="L251" i="29"/>
  <c r="L250" i="29"/>
  <c r="L249" i="29"/>
  <c r="L248" i="29"/>
  <c r="L247" i="29"/>
  <c r="E10" i="39"/>
  <c r="L208" i="29"/>
  <c r="L209" i="29"/>
  <c r="L210" i="29"/>
  <c r="L211" i="29"/>
  <c r="L212" i="29"/>
  <c r="L213" i="29"/>
  <c r="L207" i="29"/>
  <c r="H206" i="29"/>
  <c r="A206" i="29"/>
  <c r="A205" i="29"/>
  <c r="A204" i="29"/>
  <c r="H175" i="29"/>
  <c r="A175" i="29"/>
  <c r="A174" i="29"/>
  <c r="L182" i="29"/>
  <c r="L181" i="29"/>
  <c r="L180" i="29"/>
  <c r="L179" i="29"/>
  <c r="L178" i="29"/>
  <c r="L177" i="29"/>
  <c r="L176" i="29"/>
  <c r="E109" i="37"/>
  <c r="H166" i="29"/>
  <c r="A166" i="29"/>
  <c r="A165" i="29"/>
  <c r="L173" i="29"/>
  <c r="L172" i="29"/>
  <c r="L171" i="29"/>
  <c r="L170" i="29"/>
  <c r="L169" i="29"/>
  <c r="L168" i="29"/>
  <c r="L167" i="29"/>
  <c r="E100" i="37"/>
  <c r="E101" i="37"/>
  <c r="H140" i="29"/>
  <c r="H132" i="29"/>
  <c r="A140" i="29"/>
  <c r="A132" i="29"/>
  <c r="A131" i="29"/>
  <c r="L147" i="29"/>
  <c r="L146" i="29"/>
  <c r="L145" i="29"/>
  <c r="L144" i="29"/>
  <c r="L143" i="29"/>
  <c r="L142" i="29"/>
  <c r="L141" i="29"/>
  <c r="L139" i="29"/>
  <c r="L138" i="29"/>
  <c r="L137" i="29"/>
  <c r="L136" i="29"/>
  <c r="L135" i="29"/>
  <c r="L134" i="29"/>
  <c r="L133" i="29"/>
  <c r="E93" i="37"/>
  <c r="E86" i="37"/>
  <c r="E83" i="37"/>
  <c r="E70" i="36"/>
  <c r="E29" i="36"/>
  <c r="E26" i="36"/>
  <c r="E20" i="36"/>
  <c r="E24" i="36"/>
  <c r="E17" i="36"/>
  <c r="E9" i="36"/>
  <c r="H114" i="29"/>
  <c r="A114" i="29"/>
  <c r="A112" i="29"/>
  <c r="L125" i="29"/>
  <c r="L126" i="29"/>
  <c r="L127" i="29"/>
  <c r="L128" i="29"/>
  <c r="L129" i="29"/>
  <c r="L130" i="29"/>
  <c r="L115" i="29"/>
  <c r="L114" i="29" s="1"/>
  <c r="L106" i="29"/>
  <c r="L107" i="29"/>
  <c r="L108" i="29"/>
  <c r="L109" i="29"/>
  <c r="L110" i="29"/>
  <c r="L111" i="29"/>
  <c r="L105" i="29"/>
  <c r="H104" i="29"/>
  <c r="A104" i="29"/>
  <c r="A103" i="29"/>
  <c r="L97" i="29"/>
  <c r="L98" i="29"/>
  <c r="L99" i="29"/>
  <c r="L100" i="29"/>
  <c r="L101" i="29"/>
  <c r="L102" i="29"/>
  <c r="L96" i="29"/>
  <c r="H95" i="29"/>
  <c r="A93" i="29"/>
  <c r="A95" i="29"/>
  <c r="A94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K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K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K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75" i="29"/>
  <c r="L76" i="29"/>
  <c r="L77" i="29"/>
  <c r="L78" i="29"/>
  <c r="L79" i="29"/>
  <c r="L80" i="29"/>
  <c r="L74" i="29"/>
  <c r="L57" i="29"/>
  <c r="L55" i="29" s="1"/>
  <c r="L66" i="29"/>
  <c r="L69" i="29"/>
  <c r="L70" i="29"/>
  <c r="L71" i="29"/>
  <c r="L39" i="29"/>
  <c r="L38" i="29" s="1"/>
  <c r="L31" i="29"/>
  <c r="L32" i="29"/>
  <c r="L33" i="29"/>
  <c r="L34" i="29"/>
  <c r="L35" i="29"/>
  <c r="L36" i="29"/>
  <c r="L30" i="29"/>
  <c r="C300" i="3"/>
  <c r="H73" i="29"/>
  <c r="A73" i="29"/>
  <c r="A72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36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34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04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1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14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192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1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E157" i="1" l="1"/>
  <c r="K66" i="36"/>
  <c r="K58" i="36"/>
  <c r="K50" i="36"/>
  <c r="K42" i="36"/>
  <c r="K65" i="36"/>
  <c r="K57" i="36"/>
  <c r="K49" i="36"/>
  <c r="K48" i="36"/>
  <c r="K63" i="36"/>
  <c r="K55" i="36"/>
  <c r="K47" i="36"/>
  <c r="L123" i="29"/>
  <c r="K123" i="29" s="1"/>
  <c r="K10" i="38"/>
  <c r="K86" i="37"/>
  <c r="K99" i="37"/>
  <c r="K59" i="40"/>
  <c r="E60" i="40" s="1"/>
  <c r="K60" i="40" s="1"/>
  <c r="L323" i="29"/>
  <c r="K323" i="29" s="1"/>
  <c r="L64" i="29"/>
  <c r="K64" i="29"/>
  <c r="K55" i="29"/>
  <c r="L11" i="29"/>
  <c r="K56" i="36"/>
  <c r="K52" i="36"/>
  <c r="K60" i="36"/>
  <c r="K64" i="36"/>
  <c r="K100" i="37"/>
  <c r="K41" i="40"/>
  <c r="E42" i="40" s="1"/>
  <c r="K52" i="40"/>
  <c r="E53" i="40" s="1"/>
  <c r="K314" i="29"/>
  <c r="K75" i="37"/>
  <c r="K84" i="37"/>
  <c r="L306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E125" i="1" s="1"/>
  <c r="H6" i="19"/>
  <c r="H6" i="20"/>
  <c r="E6" i="20"/>
  <c r="G6" i="20"/>
  <c r="G6" i="16"/>
  <c r="E155" i="1" s="1"/>
  <c r="G6" i="21"/>
  <c r="E126" i="1" s="1"/>
  <c r="H6" i="21"/>
  <c r="E6" i="21"/>
  <c r="G6" i="17"/>
  <c r="H6" i="17"/>
  <c r="E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26" i="29"/>
  <c r="K426" i="29" s="1"/>
  <c r="E320" i="8"/>
  <c r="F320" i="8" s="1"/>
  <c r="E322" i="8"/>
  <c r="F322" i="8" s="1"/>
  <c r="K25" i="41"/>
  <c r="L418" i="29"/>
  <c r="L354" i="29"/>
  <c r="K354" i="29" s="1"/>
  <c r="L175" i="29"/>
  <c r="L345" i="29"/>
  <c r="L362" i="29"/>
  <c r="K362" i="29" s="1"/>
  <c r="F409" i="29"/>
  <c r="L297" i="29"/>
  <c r="K297" i="29" s="1"/>
  <c r="L272" i="29"/>
  <c r="K272" i="29" s="1"/>
  <c r="L280" i="29"/>
  <c r="K280" i="29" s="1"/>
  <c r="L288" i="29"/>
  <c r="K288" i="29" s="1"/>
  <c r="L264" i="29"/>
  <c r="K264" i="29" s="1"/>
  <c r="K57" i="40"/>
  <c r="L246" i="29"/>
  <c r="L255" i="29"/>
  <c r="K255" i="29" s="1"/>
  <c r="K50" i="40"/>
  <c r="E51" i="40" s="1"/>
  <c r="K51" i="40" s="1"/>
  <c r="K49" i="40"/>
  <c r="K47" i="40"/>
  <c r="E48" i="40" s="1"/>
  <c r="K48" i="40" s="1"/>
  <c r="K43" i="40"/>
  <c r="F219" i="29"/>
  <c r="L206" i="29"/>
  <c r="L214" i="29" s="1"/>
  <c r="L95" i="29"/>
  <c r="L104" i="29"/>
  <c r="K104" i="29" s="1"/>
  <c r="K114" i="29"/>
  <c r="L166" i="29"/>
  <c r="K166" i="29" s="1"/>
  <c r="L132" i="29"/>
  <c r="K132" i="29" s="1"/>
  <c r="L140" i="29"/>
  <c r="K140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73" i="29"/>
  <c r="F303" i="3"/>
  <c r="K38" i="29"/>
  <c r="L29" i="29"/>
  <c r="K29" i="29" s="1"/>
  <c r="F86" i="29"/>
  <c r="F197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E71" i="36" s="1"/>
  <c r="K71" i="36" s="1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16" i="1" l="1"/>
  <c r="E168" i="1"/>
  <c r="E129" i="1"/>
  <c r="E133" i="1"/>
  <c r="E147" i="1"/>
  <c r="E140" i="1"/>
  <c r="E130" i="1"/>
  <c r="E99" i="1"/>
  <c r="E164" i="1"/>
  <c r="E108" i="1"/>
  <c r="E86" i="1"/>
  <c r="E142" i="1"/>
  <c r="E94" i="1"/>
  <c r="E139" i="1"/>
  <c r="E100" i="1"/>
  <c r="E165" i="1"/>
  <c r="E91" i="1"/>
  <c r="E156" i="1"/>
  <c r="E117" i="1"/>
  <c r="E135" i="1"/>
  <c r="E104" i="1"/>
  <c r="E169" i="1"/>
  <c r="E101" i="1"/>
  <c r="E166" i="1"/>
  <c r="E127" i="1"/>
  <c r="E103" i="1"/>
  <c r="E118" i="1"/>
  <c r="E113" i="1"/>
  <c r="E144" i="1"/>
  <c r="E134" i="1"/>
  <c r="E131" i="1"/>
  <c r="E114" i="1"/>
  <c r="E105" i="1"/>
  <c r="E170" i="1"/>
  <c r="E96" i="1"/>
  <c r="E161" i="1"/>
  <c r="E93" i="1"/>
  <c r="E158" i="1"/>
  <c r="E119" i="1"/>
  <c r="E149" i="1"/>
  <c r="E110" i="1"/>
  <c r="E167" i="1"/>
  <c r="E136" i="1"/>
  <c r="E97" i="1"/>
  <c r="E162" i="1"/>
  <c r="E88" i="1"/>
  <c r="E153" i="1"/>
  <c r="E107" i="1"/>
  <c r="E122" i="1"/>
  <c r="E111" i="1"/>
  <c r="E160" i="1"/>
  <c r="E145" i="1"/>
  <c r="E85" i="1"/>
  <c r="E171" i="1"/>
  <c r="E143" i="1"/>
  <c r="E148" i="1"/>
  <c r="E92" i="1"/>
  <c r="E109" i="1"/>
  <c r="E89" i="1"/>
  <c r="E154" i="1"/>
  <c r="E123" i="1"/>
  <c r="E95" i="1"/>
  <c r="E120" i="1"/>
  <c r="E152" i="1"/>
  <c r="E146" i="1"/>
  <c r="E121" i="1"/>
  <c r="E137" i="1"/>
  <c r="E98" i="1"/>
  <c r="E163" i="1"/>
  <c r="E132" i="1"/>
  <c r="E124" i="1"/>
  <c r="E87" i="1"/>
  <c r="E115" i="1"/>
  <c r="E141" i="1"/>
  <c r="E112" i="1"/>
  <c r="E102" i="1"/>
  <c r="E138" i="1"/>
  <c r="E159" i="1"/>
  <c r="E151" i="1"/>
  <c r="E90" i="1"/>
  <c r="K76" i="36"/>
  <c r="J76" i="36"/>
  <c r="L331" i="29"/>
  <c r="M72" i="40"/>
  <c r="J72" i="40"/>
  <c r="K72" i="40"/>
  <c r="L192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04" i="29"/>
  <c r="J158" i="37"/>
  <c r="M158" i="37"/>
  <c r="K345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75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18" i="29"/>
  <c r="L434" i="29"/>
  <c r="K86" i="29"/>
  <c r="K409" i="29"/>
  <c r="K219" i="29"/>
  <c r="K197" i="29"/>
  <c r="K336" i="29"/>
  <c r="K246" i="29"/>
  <c r="K206" i="29"/>
  <c r="K95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CI52" i="3"/>
  <c r="F47" i="37" s="1"/>
  <c r="H47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73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61" i="37" l="1"/>
  <c r="H26" i="37"/>
  <c r="H45" i="37"/>
  <c r="H48" i="37"/>
  <c r="H23" i="40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108" i="37" s="1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36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F71" i="36" s="1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83" i="29"/>
  <c r="L92" i="29" s="1"/>
  <c r="L194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L25" i="36" l="1"/>
  <c r="H25" i="36"/>
  <c r="N25" i="36" s="1"/>
  <c r="L108" i="37"/>
  <c r="G67" i="40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L76" i="36" s="1"/>
  <c r="G29" i="36"/>
  <c r="M29" i="36" s="1"/>
  <c r="H27" i="36"/>
  <c r="L27" i="36"/>
  <c r="H26" i="36"/>
  <c r="JW53" i="3" s="1"/>
  <c r="H21" i="36"/>
  <c r="L21" i="36"/>
  <c r="L75" i="36" s="1"/>
  <c r="L22" i="36"/>
  <c r="H22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L71" i="36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03" i="29"/>
  <c r="L216" i="29" s="1"/>
  <c r="L225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F385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N9" i="42" l="1"/>
  <c r="F386" i="8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M76" i="36" s="1"/>
  <c r="N26" i="36"/>
  <c r="L158" i="37"/>
  <c r="G11" i="39"/>
  <c r="M11" i="39" s="1"/>
  <c r="M20" i="39" s="1"/>
  <c r="N153" i="37"/>
  <c r="N158" i="37" s="1"/>
  <c r="KG53" i="3"/>
  <c r="KF53" i="3"/>
  <c r="N27" i="36"/>
  <c r="AM53" i="3"/>
  <c r="M25" i="41"/>
  <c r="N21" i="36"/>
  <c r="N75" i="36" s="1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N17" i="42"/>
  <c r="N18" i="42" s="1"/>
  <c r="N13" i="42"/>
  <c r="I16" i="2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86" i="29"/>
  <c r="C409" i="29"/>
  <c r="C219" i="29"/>
  <c r="C197" i="29"/>
  <c r="C336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B75" i="18"/>
  <c r="B75" i="19"/>
  <c r="F75" i="19" s="1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F72" i="18" s="1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N29" i="36" l="1"/>
  <c r="F31" i="17"/>
  <c r="N76" i="36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G74" i="20" s="1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7" i="36"/>
  <c r="H11" i="39"/>
  <c r="N11" i="39" s="1"/>
  <c r="N20" i="39" s="1"/>
  <c r="H48" i="40"/>
  <c r="N48" i="40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G74" i="21" s="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H7" i="21"/>
  <c r="H11" i="14"/>
  <c r="G31" i="17"/>
  <c r="G28" i="21"/>
  <c r="H7" i="17"/>
  <c r="E73" i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03" i="10"/>
  <c r="BP203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BI248" i="10" l="1"/>
  <c r="BP248" i="10" s="1"/>
  <c r="BI269" i="10"/>
  <c r="BP269" i="10" s="1"/>
  <c r="BI286" i="10"/>
  <c r="BP286" i="10" s="1"/>
  <c r="H23" i="7"/>
  <c r="I23" i="7"/>
  <c r="E23" i="7"/>
  <c r="F110" i="8" s="1"/>
  <c r="I28" i="37" s="1"/>
  <c r="F23" i="7"/>
  <c r="BI158" i="10"/>
  <c r="BP158" i="10" s="1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C154" i="14" l="1"/>
  <c r="H18" i="7"/>
  <c r="C41" i="14" s="1"/>
  <c r="N13" i="39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L134" i="10" s="1"/>
  <c r="S202" i="10" s="1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L134" i="12"/>
  <c r="L139" i="12" s="1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G130" i="1"/>
  <c r="J13" i="37" l="1"/>
  <c r="K13" i="37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P256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H38" i="1"/>
  <c r="M10" i="37" l="1"/>
  <c r="J10" i="37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H322" i="3"/>
  <c r="H38" i="3"/>
  <c r="F38" i="3"/>
  <c r="G38" i="3" s="1"/>
  <c r="A39" i="3"/>
  <c r="C38" i="3"/>
  <c r="D38" i="3" s="1"/>
  <c r="G322" i="3" l="1"/>
  <c r="A26" i="24"/>
  <c r="A25" i="46"/>
  <c r="A25" i="47"/>
  <c r="F323" i="3"/>
  <c r="G323" i="3" s="1"/>
  <c r="H323" i="3"/>
  <c r="H39" i="3"/>
  <c r="F39" i="3"/>
  <c r="G39" i="3" s="1"/>
  <c r="C39" i="3"/>
  <c r="D39" i="3" s="1"/>
  <c r="A40" i="3"/>
  <c r="A26" i="47" l="1"/>
  <c r="A27" i="24"/>
  <c r="A26" i="46"/>
  <c r="F324" i="3"/>
  <c r="G324" i="3" s="1"/>
  <c r="H324" i="3"/>
  <c r="H40" i="3"/>
  <c r="F40" i="3"/>
  <c r="G40" i="3" s="1"/>
  <c r="C40" i="3"/>
  <c r="D40" i="3" s="1"/>
  <c r="A41" i="3"/>
  <c r="A28" i="24" l="1"/>
  <c r="A27" i="46"/>
  <c r="A27" i="47"/>
  <c r="F325" i="3"/>
  <c r="G325" i="3" s="1"/>
  <c r="H325" i="3"/>
  <c r="H41" i="3"/>
  <c r="F41" i="3"/>
  <c r="G41" i="3" s="1"/>
  <c r="A42" i="3"/>
  <c r="C41" i="3"/>
  <c r="D41" i="3" s="1"/>
  <c r="A28" i="46" l="1"/>
  <c r="A29" i="24"/>
  <c r="A28" i="47"/>
  <c r="H326" i="3"/>
  <c r="F326" i="3"/>
  <c r="G326" i="3" s="1"/>
  <c r="H42" i="3"/>
  <c r="F42" i="3"/>
  <c r="G42" i="3" s="1"/>
  <c r="A43" i="3"/>
  <c r="C42" i="3"/>
  <c r="D42" i="3" s="1"/>
  <c r="A30" i="24" l="1"/>
  <c r="A29" i="47"/>
  <c r="A29" i="46"/>
  <c r="F327" i="3"/>
  <c r="G327" i="3" s="1"/>
  <c r="H327" i="3"/>
  <c r="H43" i="3"/>
  <c r="F43" i="3"/>
  <c r="G43" i="3" s="1"/>
  <c r="C43" i="3"/>
  <c r="D43" i="3" s="1"/>
  <c r="A44" i="3"/>
  <c r="A31" i="24" l="1"/>
  <c r="A30" i="46"/>
  <c r="A30" i="47"/>
  <c r="F328" i="3"/>
  <c r="G328" i="3" s="1"/>
  <c r="H328" i="3"/>
  <c r="H44" i="3"/>
  <c r="F44" i="3"/>
  <c r="G44" i="3" s="1"/>
  <c r="C44" i="3"/>
  <c r="D44" i="3" s="1"/>
  <c r="A45" i="3"/>
  <c r="A33" i="24" l="1"/>
  <c r="A31" i="46"/>
  <c r="A31" i="47"/>
  <c r="F329" i="3"/>
  <c r="G329" i="3" s="1"/>
  <c r="H329" i="3"/>
  <c r="H45" i="3"/>
  <c r="F45" i="3"/>
  <c r="G45" i="3" s="1"/>
  <c r="B45" i="3"/>
  <c r="A46" i="3" s="1"/>
  <c r="C45" i="3"/>
  <c r="D45" i="3" s="1"/>
  <c r="A45" i="24" l="1"/>
  <c r="A34" i="24"/>
  <c r="A33" i="47"/>
  <c r="A33" i="46"/>
  <c r="F330" i="3"/>
  <c r="G330" i="3" s="1"/>
  <c r="H330" i="3"/>
  <c r="H46" i="3"/>
  <c r="F46" i="3"/>
  <c r="G46" i="3" s="1"/>
  <c r="A47" i="3"/>
  <c r="C46" i="3"/>
  <c r="D46" i="3" s="1"/>
  <c r="A35" i="24" l="1"/>
  <c r="A34" i="46"/>
  <c r="A34" i="47"/>
  <c r="A45" i="47"/>
  <c r="A45" i="46"/>
  <c r="F331" i="3"/>
  <c r="G331" i="3" s="1"/>
  <c r="H331" i="3"/>
  <c r="H47" i="3"/>
  <c r="F47" i="3"/>
  <c r="G47" i="3" s="1"/>
  <c r="C47" i="3"/>
  <c r="D47" i="3" s="1"/>
  <c r="A48" i="3"/>
  <c r="A36" i="24" l="1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E34" i="7" s="1"/>
  <c r="K34" i="7" s="1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K35" i="7" l="1"/>
  <c r="G37" i="7"/>
  <c r="K31" i="7"/>
  <c r="F37" i="7"/>
  <c r="N23" i="40"/>
  <c r="H33" i="7" s="1"/>
  <c r="N20" i="49"/>
  <c r="N23" i="49"/>
  <c r="N14" i="40"/>
  <c r="H30" i="7" s="1"/>
  <c r="K30" i="7" s="1"/>
  <c r="K73" i="40"/>
  <c r="H222" i="3"/>
  <c r="A223" i="3"/>
  <c r="C222" i="3"/>
  <c r="D222" i="3" s="1"/>
  <c r="E222" i="3" s="1"/>
  <c r="F222" i="3"/>
  <c r="G222" i="3" s="1"/>
  <c r="K69" i="40"/>
  <c r="N11" i="40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JD53" i="3" l="1"/>
  <c r="I33" i="7"/>
  <c r="K33" i="7" s="1"/>
  <c r="JB53" i="3"/>
  <c r="I32" i="7"/>
  <c r="H223" i="3"/>
  <c r="A224" i="3"/>
  <c r="C223" i="3"/>
  <c r="D223" i="3" s="1"/>
  <c r="E223" i="3" s="1"/>
  <c r="F223" i="3"/>
  <c r="G223" i="3" s="1"/>
  <c r="H29" i="7"/>
  <c r="H37" i="7" s="1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A229" i="3"/>
  <c r="C228" i="3"/>
  <c r="D228" i="3" s="1"/>
  <c r="E228" i="3" s="1"/>
  <c r="H228" i="3"/>
  <c r="F228" i="3"/>
  <c r="G228" i="3" s="1"/>
  <c r="L159" i="37"/>
  <c r="L160" i="37" s="1"/>
  <c r="M159" i="37"/>
  <c r="H229" i="3" l="1"/>
  <c r="C229" i="3"/>
  <c r="D229" i="3" s="1"/>
  <c r="E229" i="3" s="1"/>
  <c r="A230" i="3"/>
  <c r="F229" i="3"/>
  <c r="G229" i="3" s="1"/>
  <c r="M155" i="37"/>
  <c r="H11" i="27" s="1"/>
  <c r="N11" i="37"/>
  <c r="N159" i="37" s="1"/>
  <c r="G18" i="27"/>
  <c r="I18" i="25"/>
  <c r="I40" i="25" s="1"/>
  <c r="I42" i="25" s="1"/>
  <c r="M160" i="37"/>
  <c r="H230" i="3" l="1"/>
  <c r="A231" i="3"/>
  <c r="C230" i="3"/>
  <c r="D230" i="3" s="1"/>
  <c r="E230" i="3" s="1"/>
  <c r="F230" i="3"/>
  <c r="G230" i="3" s="1"/>
  <c r="GR53" i="3"/>
  <c r="N160" i="37"/>
  <c r="N155" i="37"/>
  <c r="I11" i="27" s="1"/>
  <c r="J11" i="27" s="1"/>
  <c r="E29" i="7"/>
  <c r="I44" i="25"/>
  <c r="A232" i="3" l="1"/>
  <c r="H231" i="3"/>
  <c r="C231" i="3"/>
  <c r="D231" i="3" s="1"/>
  <c r="E231" i="3" s="1"/>
  <c r="F231" i="3"/>
  <c r="G231" i="3" s="1"/>
  <c r="H18" i="25"/>
  <c r="K18" i="25" s="1"/>
  <c r="J19" i="27"/>
  <c r="H24" i="27" s="1"/>
  <c r="K29" i="7"/>
  <c r="K37" i="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D38" i="7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37" i="29"/>
  <c r="K306" i="29"/>
  <c r="G59" i="40" s="1"/>
  <c r="C238" i="3" l="1"/>
  <c r="D238" i="3" s="1"/>
  <c r="E238" i="3" s="1"/>
  <c r="A239" i="3"/>
  <c r="H238" i="3"/>
  <c r="F238" i="3"/>
  <c r="G238" i="3" s="1"/>
  <c r="H59" i="40"/>
  <c r="M59" i="40"/>
  <c r="L438" i="29"/>
  <c r="I26" i="27"/>
  <c r="J26" i="27" s="1"/>
  <c r="L333" i="29"/>
  <c r="L342" i="29" s="1"/>
  <c r="L406" i="29" s="1"/>
  <c r="L415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L24" i="26" s="1"/>
  <c r="L27" i="26" s="1"/>
  <c r="L28" i="26" s="1"/>
  <c r="J24" i="26"/>
  <c r="A248" i="3" l="1"/>
  <c r="H247" i="3"/>
  <c r="C247" i="3"/>
  <c r="D247" i="3" s="1"/>
  <c r="E247" i="3" s="1"/>
  <c r="F247" i="3"/>
  <c r="G247" i="3" s="1"/>
  <c r="H38" i="25"/>
  <c r="K38" i="25" s="1"/>
  <c r="P53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<sst xmlns="http://schemas.openxmlformats.org/spreadsheetml/2006/main" count="4420" uniqueCount="994">
  <si>
    <t>Description</t>
  </si>
  <si>
    <t>Unit</t>
  </si>
  <si>
    <t>Quantity</t>
  </si>
  <si>
    <t>Rate</t>
  </si>
  <si>
    <t>Amount (R)</t>
  </si>
  <si>
    <t>% fee items; all appropriate stages</t>
  </si>
  <si>
    <t>LUMP SUM</t>
  </si>
  <si>
    <t xml:space="preserve">    (1)  Category A</t>
  </si>
  <si>
    <t>hour</t>
  </si>
  <si>
    <t>OTHER</t>
  </si>
  <si>
    <t xml:space="preserve">    (2)  Category B</t>
  </si>
  <si>
    <t xml:space="preserve">    (3)  Category C</t>
  </si>
  <si>
    <t xml:space="preserve">    (4)  Category D</t>
  </si>
  <si>
    <t>PL</t>
  </si>
  <si>
    <t>Project Leader</t>
  </si>
  <si>
    <t>CE</t>
  </si>
  <si>
    <t>RE</t>
  </si>
  <si>
    <t>DS1</t>
  </si>
  <si>
    <t/>
  </si>
  <si>
    <t>Category</t>
  </si>
  <si>
    <t>A</t>
  </si>
  <si>
    <t>B</t>
  </si>
  <si>
    <t>C</t>
  </si>
  <si>
    <t>D</t>
  </si>
  <si>
    <t>RATE</t>
  </si>
  <si>
    <t>Various non-key personnel</t>
  </si>
  <si>
    <t>None</t>
  </si>
  <si>
    <t>SUMMARY OF ALL HOUR PAY ITEMS</t>
  </si>
  <si>
    <t>SUMMARY OF ALL NORMALISED HOUR PAY ITEMS</t>
  </si>
  <si>
    <t>ALL CATEGORIES</t>
  </si>
  <si>
    <t>NHT</t>
  </si>
  <si>
    <t>SUMMARY OF ALL KEY PERSONS NORMALISED HOURS</t>
  </si>
  <si>
    <t>% of Key Persons Only</t>
  </si>
  <si>
    <t>% of Total Hours</t>
  </si>
  <si>
    <t>NHT KEY ONLY</t>
  </si>
  <si>
    <t>SOUTH AFRICAN NATIONAL ROADS AGENCY SOC LTD</t>
  </si>
  <si>
    <t>SERVICE     PROVIDER</t>
  </si>
  <si>
    <t>Key Persons Listed for this Project</t>
  </si>
  <si>
    <t>% of Key Persons Hours Only</t>
  </si>
  <si>
    <t>NAME</t>
  </si>
  <si>
    <t>TOTAL KEY PERSONS NORMALISED HOURS ONLY</t>
  </si>
  <si>
    <t>TOTAL ALL NORMALISED HOURS</t>
  </si>
  <si>
    <t>RATIO</t>
  </si>
  <si>
    <t>TOTAL HOURS TENDERED FOR THE SERVICE PROVIDER (ALL CATEGORIES)</t>
  </si>
  <si>
    <t>Design Specialist 1 - Pavement and Materials</t>
  </si>
  <si>
    <t>INSERT KEY PERSONS NAMES BELOW</t>
  </si>
  <si>
    <t>SERVICE PROVIDER TO COMPLETE ALL CELLS HIGHLIGHTED IN YELLOW</t>
  </si>
  <si>
    <t>DS</t>
  </si>
  <si>
    <t>TOTAL</t>
  </si>
  <si>
    <t>Project Details Input Sheet</t>
  </si>
  <si>
    <t>Note:</t>
  </si>
  <si>
    <t>Road works</t>
  </si>
  <si>
    <t xml:space="preserve">SANRAL INPUT </t>
  </si>
  <si>
    <t>light blue cells to be input by SANRAL</t>
  </si>
  <si>
    <t>Structures</t>
  </si>
  <si>
    <t xml:space="preserve">yellow cells to be input by service provider in tender stage </t>
  </si>
  <si>
    <t>Electrical</t>
  </si>
  <si>
    <t>Building</t>
  </si>
  <si>
    <t>Mechanical</t>
  </si>
  <si>
    <t>Electronic</t>
  </si>
  <si>
    <t>Proportion of fee to be paid under project phases</t>
  </si>
  <si>
    <t>Estimated cost of works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</si>
  <si>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</si>
  <si>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</si>
  <si>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</si>
  <si>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</si>
  <si>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</si>
  <si>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</si>
  <si>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</si>
  <si>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</si>
  <si>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</si>
  <si>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Full service</t>
  </si>
  <si>
    <t>DD, AMW, CO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</si>
  <si>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</si>
  <si>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</si>
  <si>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</si>
  <si>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</si>
  <si>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</si>
  <si>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</si>
  <si>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</si>
  <si>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</si>
  <si>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</si>
  <si>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</si>
  <si>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 xml:space="preserve">Building </t>
  </si>
  <si>
    <t>CD &amp; PD</t>
  </si>
  <si>
    <t>Other:</t>
  </si>
  <si>
    <t>CD ,PD&amp; DD</t>
  </si>
  <si>
    <t>PD &amp; DD</t>
  </si>
  <si>
    <t>PD, DD, AMW, CO</t>
  </si>
  <si>
    <t>AMW &amp; CO</t>
  </si>
  <si>
    <t>Mechanical, Electrical and Electronic</t>
  </si>
  <si>
    <t>Normalised hours</t>
  </si>
  <si>
    <t>Project:</t>
  </si>
  <si>
    <t>with rounding</t>
  </si>
  <si>
    <t>Work type</t>
  </si>
  <si>
    <t>Administration &amp; Monitoring</t>
  </si>
  <si>
    <t>Totals</t>
  </si>
  <si>
    <t>Adjustment</t>
  </si>
  <si>
    <t>Item No.</t>
  </si>
  <si>
    <t>Initial Assessment</t>
  </si>
  <si>
    <t>(a)   Initial Assessment</t>
  </si>
  <si>
    <t>lump sum (LS)</t>
  </si>
  <si>
    <t>lump</t>
  </si>
  <si>
    <t>sum</t>
  </si>
  <si>
    <t>(b)   Disbursements</t>
  </si>
  <si>
    <t>Visual Survey</t>
  </si>
  <si>
    <t>(a)   Visual survey</t>
  </si>
  <si>
    <t xml:space="preserve">(b)   Disbursements </t>
  </si>
  <si>
    <t>Project Assessment Report</t>
  </si>
  <si>
    <t>(a)   Project assessment report</t>
  </si>
  <si>
    <t>INVESTIGATIONS FOR DESIGN DEVELOPMENT</t>
  </si>
  <si>
    <t>Survey Services</t>
  </si>
  <si>
    <t>(a) Survey Services when procured by service provider</t>
  </si>
  <si>
    <t>prime cost (PC)</t>
  </si>
  <si>
    <t>prime</t>
  </si>
  <si>
    <t>cost</t>
  </si>
  <si>
    <t>(c) Cost when making use of SANRAL’s Property Service Providers</t>
  </si>
  <si>
    <t>Environmental  Services</t>
  </si>
  <si>
    <t>(a) Environmental services during design stage</t>
  </si>
  <si>
    <t>Geotechnical and Drilling Services</t>
  </si>
  <si>
    <t>month</t>
  </si>
  <si>
    <t>Field work for identification of material sources by service provider</t>
  </si>
  <si>
    <t>(a)  Personnel cost</t>
  </si>
  <si>
    <t>provisional sum (PS)</t>
  </si>
  <si>
    <t>prov</t>
  </si>
  <si>
    <t>(b)  Disbursements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</si>
  <si>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</si>
  <si>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</si>
  <si>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</si>
  <si>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</si>
  <si>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</si>
  <si>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</si>
  <si>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</si>
  <si>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</si>
  <si>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</si>
  <si>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</si>
  <si>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</si>
  <si>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</si>
  <si>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</si>
  <si>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</si>
  <si>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Preliminary design</t>
  </si>
  <si>
    <t>Detailed design</t>
  </si>
  <si>
    <t>Disbursements</t>
  </si>
  <si>
    <t>(a)   Concept design</t>
  </si>
  <si>
    <t>(b)   Preliminary design</t>
  </si>
  <si>
    <t>(c)   Detailed design</t>
  </si>
  <si>
    <t>(a) Road Safety Audit</t>
  </si>
  <si>
    <t>lump sum  (LS)</t>
  </si>
  <si>
    <t>(a)  Road Safety Audit</t>
  </si>
  <si>
    <t>Occupational Health and Safety requirements</t>
  </si>
  <si>
    <t>Training</t>
  </si>
  <si>
    <t>(a)   Employer’s candidate engineers</t>
  </si>
  <si>
    <t>person month</t>
  </si>
  <si>
    <t>(c)   Student stipend</t>
  </si>
  <si>
    <t>(b)   Review of tender documentation by original designer</t>
  </si>
  <si>
    <t>(c)   Visit to construction site by original designer</t>
  </si>
  <si>
    <t>percentage (%)</t>
  </si>
  <si>
    <t>Tender documentation</t>
  </si>
  <si>
    <t>(a)  Preparation of tender documentation</t>
  </si>
  <si>
    <t>(c)  Tender Documents on CD/DVD</t>
  </si>
  <si>
    <t>number (No)</t>
  </si>
  <si>
    <t>Clarification meeting and tender period</t>
  </si>
  <si>
    <t>(a)  Service Provider’s cost</t>
  </si>
  <si>
    <t>Tender evaluation</t>
  </si>
  <si>
    <t>(a)   Tender evaluation and report</t>
  </si>
  <si>
    <t>SUB-TOTAL</t>
  </si>
  <si>
    <t>TENDER SUM CARRIED FORWARD TO FORM OF OFFER  (C1.1.1)</t>
  </si>
  <si>
    <t xml:space="preserve"> Design stage Adjustment</t>
  </si>
  <si>
    <t>Adjustment applied on a possible updated COW during or at the end of the design stage</t>
  </si>
  <si>
    <t xml:space="preserve">Day </t>
  </si>
  <si>
    <t xml:space="preserve">Month </t>
  </si>
  <si>
    <t>Year</t>
  </si>
  <si>
    <t>Date code:</t>
  </si>
  <si>
    <t xml:space="preserve">Date </t>
  </si>
  <si>
    <t>to calulate this adjustment please insert the adjustment application date</t>
  </si>
  <si>
    <t>EST</t>
  </si>
  <si>
    <t>Tendered fee value</t>
  </si>
  <si>
    <t>Tendered %fee</t>
  </si>
  <si>
    <t>updated COW</t>
  </si>
  <si>
    <t>a</t>
  </si>
  <si>
    <t>Adjusted Rand Value ARV</t>
  </si>
  <si>
    <t>Adjustment Notes</t>
  </si>
  <si>
    <t>ARV</t>
  </si>
  <si>
    <t>COW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</si>
  <si>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</si>
  <si>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</si>
  <si>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</si>
  <si>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</si>
  <si>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</si>
  <si>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</si>
  <si>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</si>
  <si>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</si>
  <si>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</si>
  <si>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</si>
  <si>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</si>
  <si>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Additional Adjustment based on the final COW or other changes arising during or at the end of the defects notification period.</t>
  </si>
  <si>
    <t>latest adjustment</t>
  </si>
  <si>
    <t>latest COW</t>
  </si>
  <si>
    <t>PROJECT ASSESSMENT STAGE</t>
  </si>
  <si>
    <t>TOTAL CARRIED FORWARD TO SUMMARY</t>
  </si>
  <si>
    <t>TENDER DOCUMENTATION</t>
  </si>
  <si>
    <t>CLARIFICATION MEETING, TENDER PERIOD AND TENDER EVALUATION</t>
  </si>
  <si>
    <t>ADMINISTRATION AND MONITORING OF THE WORKS CONTRACT</t>
  </si>
  <si>
    <t>CLOSE OUT</t>
  </si>
  <si>
    <t>Work Type</t>
  </si>
  <si>
    <t>Lump Sum</t>
  </si>
  <si>
    <t>ALL WORK TYPES</t>
  </si>
  <si>
    <t>INITIAL ASSESSMENT</t>
  </si>
  <si>
    <t>VISUAL SURVEY</t>
  </si>
  <si>
    <t>PROJECT ASSESSMENT REPORT</t>
  </si>
  <si>
    <t>35.01 (a)</t>
  </si>
  <si>
    <t>PREPARATION OF THE TENDER DOCUMENT</t>
  </si>
  <si>
    <t>SUMMARY FEE ITEMS</t>
  </si>
  <si>
    <t>SUMMARY NON FEE ITEMS</t>
  </si>
  <si>
    <t>ITEM No.</t>
  </si>
  <si>
    <t>TENDER EVALUATION</t>
  </si>
  <si>
    <t>Project Description:</t>
  </si>
  <si>
    <t>Fee Information sheet</t>
  </si>
  <si>
    <t>NON FEE BASED HOURS</t>
  </si>
  <si>
    <t>Project Number :</t>
  </si>
  <si>
    <t>Original</t>
  </si>
  <si>
    <t>Complete project Value Adjustment</t>
  </si>
  <si>
    <t>TENDERER NAME:</t>
  </si>
  <si>
    <t>TENDERER:</t>
  </si>
  <si>
    <t>NO</t>
  </si>
  <si>
    <t>YES</t>
  </si>
  <si>
    <t>Additional duties by Service Provider</t>
  </si>
  <si>
    <t>Hour</t>
  </si>
  <si>
    <t>Additional duties by the Employer</t>
  </si>
  <si>
    <t>RATE ONLY</t>
  </si>
  <si>
    <t>3.2.1</t>
  </si>
  <si>
    <t>3.2.2</t>
  </si>
  <si>
    <t>3.2.3</t>
  </si>
  <si>
    <t>3.3.1</t>
  </si>
  <si>
    <t>3.3.2</t>
  </si>
  <si>
    <t>3.3.3</t>
  </si>
  <si>
    <t>3.3.4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</si>
  <si>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</si>
  <si>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</si>
  <si>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</si>
  <si>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</si>
  <si>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</si>
  <si>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</si>
  <si>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</si>
  <si>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</si>
  <si>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</si>
  <si>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</si>
  <si>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3.5.1</t>
  </si>
  <si>
    <t>3.6.1</t>
  </si>
  <si>
    <t>3.6.2</t>
  </si>
  <si>
    <t>3.8.1</t>
  </si>
  <si>
    <t>3.8.2</t>
  </si>
  <si>
    <t>3.8.3</t>
  </si>
  <si>
    <t>3.8.4</t>
  </si>
  <si>
    <t>3.8.5</t>
  </si>
  <si>
    <t>(c)  Handling costs i.r.o. pay item 3.6.1(b)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</si>
  <si>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</si>
  <si>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</si>
  <si>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</si>
  <si>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</si>
  <si>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</si>
  <si>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Special Services and specialist advice</t>
  </si>
  <si>
    <t>(a) Special service or advice provided by the service provider</t>
  </si>
  <si>
    <t>(a) Personnel cost</t>
  </si>
  <si>
    <t xml:space="preserve">(i) Category A 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</si>
  <si>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</si>
  <si>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</si>
  <si>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</si>
  <si>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</si>
  <si>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Notes on completion</t>
  </si>
  <si>
    <t>Complete the light yellow shaded cells in the 1st claim</t>
  </si>
  <si>
    <t>Amend the light blue shaded cells with every claim</t>
  </si>
  <si>
    <t>F1 Cover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</si>
  <si>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</si>
  <si>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</si>
  <si>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</si>
  <si>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</si>
  <si>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</si>
  <si>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</si>
  <si>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</si>
  <si>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</si>
  <si>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Safety Improvement</t>
  </si>
  <si>
    <t xml:space="preserve"> REGION:</t>
  </si>
  <si>
    <t>Contract No.:</t>
  </si>
  <si>
    <t>Account no.: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</si>
  <si>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</si>
  <si>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</si>
  <si>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</si>
  <si>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</si>
  <si>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</si>
  <si>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</si>
  <si>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</si>
  <si>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</si>
  <si>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</si>
  <si>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</si>
  <si>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</si>
  <si>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</si>
  <si>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</si>
  <si>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</si>
  <si>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</si>
  <si>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Sub-Total 2014/2015</t>
  </si>
  <si>
    <t>Sub-Total 2015/2016</t>
  </si>
  <si>
    <t>Sub-Total 2016/2017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</si>
  <si>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</si>
  <si>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</si>
  <si>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</si>
  <si>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 xml:space="preserve">  SOUTH AFRICAN NATIONAL ROADS AGENCY LIMITED</t>
  </si>
  <si>
    <t xml:space="preserve">CLAIM:  Consulting Engineers Fees                                        </t>
  </si>
  <si>
    <t>Form 1</t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</si>
  <si>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</si>
  <si>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</si>
  <si>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</si>
  <si>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</si>
  <si>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</si>
  <si>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</si>
  <si>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</si>
  <si>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</si>
  <si>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</si>
  <si>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</si>
  <si>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</si>
  <si>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</si>
  <si>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</si>
  <si>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</si>
  <si>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</si>
  <si>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</si>
  <si>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</si>
  <si>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>C3.2</t>
  </si>
  <si>
    <t xml:space="preserve">  Item No:</t>
  </si>
  <si>
    <t>C3.3</t>
  </si>
  <si>
    <t>C3.4</t>
  </si>
  <si>
    <t xml:space="preserve"> PAYMENT AUTHORISATION</t>
  </si>
  <si>
    <t>C3.5</t>
  </si>
  <si>
    <t>C3.6</t>
  </si>
  <si>
    <t>…………………………..</t>
  </si>
  <si>
    <t>C3.7</t>
  </si>
  <si>
    <t xml:space="preserve"> PROJECT MANAGER       </t>
  </si>
  <si>
    <t xml:space="preserve"> DATE</t>
  </si>
  <si>
    <t>C3.8</t>
  </si>
  <si>
    <t>C3.9</t>
  </si>
  <si>
    <t xml:space="preserve">Esc </t>
  </si>
  <si>
    <t xml:space="preserve">Escalation </t>
  </si>
  <si>
    <t>ESC2</t>
  </si>
  <si>
    <t>………………………</t>
  </si>
  <si>
    <t xml:space="preserve"> FINANCIAL MANAGER        </t>
  </si>
  <si>
    <t xml:space="preserve"> FINAL ACCOUNT:  APPROVED</t>
  </si>
  <si>
    <t>Retention @ 10%</t>
  </si>
  <si>
    <t>Sub-Total</t>
  </si>
  <si>
    <t>GRAND TOTAL:</t>
  </si>
  <si>
    <t xml:space="preserve"> REGIONAL MANAGER        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</si>
  <si>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</si>
  <si>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</si>
  <si>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</si>
  <si>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</si>
  <si>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</si>
  <si>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</si>
  <si>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</si>
  <si>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</si>
  <si>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</si>
  <si>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</si>
  <si>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</si>
  <si>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</si>
  <si>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</si>
  <si>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</si>
  <si>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</si>
  <si>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</si>
  <si>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</si>
  <si>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</si>
  <si>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</si>
  <si>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</si>
  <si>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</si>
  <si>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</si>
  <si>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</si>
  <si>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</si>
  <si>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</si>
  <si>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</si>
  <si>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</si>
  <si>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</si>
  <si>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</si>
  <si>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</si>
  <si>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</si>
  <si>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</si>
  <si>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</si>
  <si>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</si>
  <si>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</si>
  <si>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</si>
  <si>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</si>
  <si>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</si>
  <si>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</si>
  <si>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</si>
  <si>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</si>
  <si>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</si>
  <si>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</si>
  <si>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Deduct: Provisional Sums and PC Sums and Mark-up from Page 4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</si>
  <si>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</si>
  <si>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</si>
  <si>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</si>
  <si>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</si>
  <si>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</si>
  <si>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</si>
  <si>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</si>
  <si>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</si>
  <si>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</si>
  <si>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</si>
  <si>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</si>
  <si>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</si>
  <si>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</si>
  <si>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</si>
  <si>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</si>
  <si>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</si>
  <si>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</si>
  <si>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</si>
  <si>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</si>
  <si>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</si>
  <si>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</si>
  <si>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</si>
  <si>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</si>
  <si>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PAGE 4.1</t>
  </si>
  <si>
    <t>PROVISIONAL SUM / PC SUM BREAKDOWN &amp; MARK-UP</t>
  </si>
  <si>
    <t>Carried forward to Page 4.2</t>
  </si>
  <si>
    <t>PAGE 4.2</t>
  </si>
  <si>
    <t>CONTRACT NO:</t>
  </si>
  <si>
    <t>Brought forward from Page 4.1</t>
  </si>
  <si>
    <t>Carried forward to Page 4.3</t>
  </si>
  <si>
    <t>PAGE 4.3</t>
  </si>
  <si>
    <t>Brought forward from Page 4.2</t>
  </si>
  <si>
    <t>PAGE 4.4</t>
  </si>
  <si>
    <t>Brought forward from Page 4.3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</si>
  <si>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</si>
  <si>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</si>
  <si>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</si>
  <si>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</si>
  <si>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</si>
  <si>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</si>
  <si>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</si>
  <si>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</si>
  <si>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</si>
  <si>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</si>
  <si>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</si>
  <si>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</si>
  <si>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</si>
  <si>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</si>
  <si>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</si>
  <si>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</si>
  <si>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</si>
  <si>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</si>
  <si>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</si>
  <si>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</si>
  <si>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</si>
  <si>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Design phase</t>
  </si>
  <si>
    <t>Design phase variation orders</t>
  </si>
  <si>
    <t>Supervision phase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</si>
  <si>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</si>
  <si>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</si>
  <si>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</si>
  <si>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</si>
  <si>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</si>
  <si>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</si>
  <si>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</si>
  <si>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</si>
  <si>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</si>
  <si>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</si>
  <si>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</si>
  <si>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</si>
  <si>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</si>
  <si>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</si>
  <si>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</si>
  <si>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</si>
  <si>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</si>
  <si>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</si>
  <si>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</si>
  <si>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</si>
  <si>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</si>
  <si>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</si>
  <si>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</si>
  <si>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</si>
  <si>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</si>
  <si>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</si>
  <si>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</si>
  <si>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</si>
  <si>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</si>
  <si>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</si>
  <si>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</si>
  <si>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</si>
  <si>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</si>
  <si>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</si>
  <si>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</si>
  <si>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</si>
  <si>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</si>
  <si>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</si>
  <si>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</si>
  <si>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</si>
  <si>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</si>
  <si>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</si>
  <si>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 xml:space="preserve"> Account No.</t>
  </si>
  <si>
    <t xml:space="preserve"> Contract No.</t>
  </si>
  <si>
    <t>PRICING SCHEDULE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</si>
  <si>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</si>
  <si>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</si>
  <si>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</si>
  <si>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</si>
  <si>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</si>
  <si>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</si>
  <si>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</si>
  <si>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</si>
  <si>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</si>
  <si>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</si>
  <si>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</si>
  <si>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</si>
  <si>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</si>
  <si>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</si>
  <si>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</si>
  <si>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</si>
  <si>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</si>
  <si>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</si>
  <si>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</si>
  <si>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</si>
  <si>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</si>
  <si>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</si>
  <si>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</si>
  <si>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</si>
  <si>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</si>
  <si>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</si>
  <si>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</si>
  <si>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</si>
  <si>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</si>
  <si>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</si>
  <si>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(b) Handling costs i.r.o. sub item 3.4.6(a)</t>
  </si>
  <si>
    <t>(b)  Handling costs i.r.o. sub item 3.4.7(a)</t>
  </si>
  <si>
    <t>(d)   Handling cost i.r.o. sub-items 3.4.10(b) and 3.4.10(c)</t>
  </si>
  <si>
    <t>3.7.1</t>
  </si>
  <si>
    <t>3.7.2</t>
  </si>
  <si>
    <t>3.7.5</t>
  </si>
  <si>
    <t>(a) Continuous compliance and monthly internal audits</t>
  </si>
  <si>
    <t>(b) external site audits</t>
  </si>
  <si>
    <t>Occupational Health and Safety obligations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</si>
  <si>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</si>
  <si>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</si>
  <si>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</si>
  <si>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</si>
  <si>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</si>
  <si>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3.7.4</t>
  </si>
  <si>
    <t>(a) Site supervision staff</t>
  </si>
  <si>
    <t>(b) Mark up i.r.o sub item 3.7.4 (a)</t>
  </si>
  <si>
    <t>(c) Surveyor and assistants</t>
  </si>
  <si>
    <t>(e) Provision and monthly cost of office equipment</t>
  </si>
  <si>
    <t>(g) Mark up i.r.o sub item 3.7.4 (f)</t>
  </si>
  <si>
    <t>(i) Mark up i.r.o sub item 3.7.4 (h)</t>
  </si>
  <si>
    <t>Provision of Supervisory Staff and Equipment</t>
  </si>
  <si>
    <t>FULL PROJECT</t>
  </si>
  <si>
    <t>PAGE 10</t>
  </si>
  <si>
    <t>CALCULATION OF CURRENT COST OF WORKS</t>
  </si>
  <si>
    <t>DEDUCTIONS FOR % FEE CALCUALTION</t>
  </si>
  <si>
    <t>TOTAL DEDUCTIONS FOR % FEE CALCUALTION</t>
  </si>
  <si>
    <t>COW FOR % FEE CALCULATION</t>
  </si>
  <si>
    <t>TOTAL CURRENT COW</t>
  </si>
  <si>
    <t>CONTRACTOR ITEM</t>
  </si>
  <si>
    <t>3.7.6</t>
  </si>
  <si>
    <t>(a) Travelling to perform duties</t>
  </si>
  <si>
    <t>Transport for site supervisory staff and for additional services</t>
  </si>
  <si>
    <t>(b) Mark up i.r.o sub item 3.7.6 (a)</t>
  </si>
  <si>
    <t>Pavement investigation and sampling</t>
  </si>
  <si>
    <t>3.9.1</t>
  </si>
  <si>
    <t>3 X COW ON HIGH SIDE</t>
  </si>
  <si>
    <t>COW divided by 3 ON THE LOW SIDE</t>
  </si>
  <si>
    <t>HOUR CATEGORY</t>
  </si>
  <si>
    <t>Specify:</t>
  </si>
  <si>
    <t>Industrial</t>
  </si>
  <si>
    <t>Other: Industrial</t>
  </si>
  <si>
    <t>DROP-OFF % MULTIPLIER SET FOR THIS PROJECT:</t>
  </si>
  <si>
    <t>Limit of 20% above EST before % Increase</t>
  </si>
  <si>
    <t>Limit of 20% below EST before % decrease</t>
  </si>
  <si>
    <t>% of Project</t>
  </si>
  <si>
    <t>Road works, Structures, Building and Other</t>
  </si>
  <si>
    <t>Name for "Other" category:</t>
  </si>
  <si>
    <t>3.3.5</t>
  </si>
  <si>
    <t>(a) Establishment of personnel and equipment for test pitting</t>
  </si>
  <si>
    <t>(b) Pavement test pit, sampling &amp; profiling</t>
  </si>
  <si>
    <t>Laboratory testing and reporting</t>
  </si>
  <si>
    <t>(b) Laboratory Testing where no schedule is available, or specialised testing</t>
  </si>
  <si>
    <t>3.4.11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</si>
  <si>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</si>
  <si>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</si>
  <si>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</si>
  <si>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</si>
  <si>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</si>
  <si>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</si>
  <si>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</si>
  <si>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>3.4.12</t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</si>
  <si>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</si>
  <si>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(h) Accommodation for supervisory staff</t>
  </si>
  <si>
    <t>Laboratory testing</t>
  </si>
  <si>
    <t>(b) Handling cost i.r.o. sub item 3.9.1(a)</t>
  </si>
  <si>
    <t>(c) Off-site materials testing</t>
  </si>
  <si>
    <t>(a) Provision of a fully operational laboratory</t>
  </si>
  <si>
    <t>3.10.1</t>
  </si>
  <si>
    <t>Consultant Account no.:</t>
  </si>
  <si>
    <t>Contractor Account no.:</t>
  </si>
  <si>
    <t>C3.10</t>
  </si>
  <si>
    <t>INTERIM  ACCOUNT:  APPROVED</t>
  </si>
  <si>
    <t>INTERIM ACCOUNT:  RECOMMENDATION</t>
  </si>
  <si>
    <t xml:space="preserve"> NOM. PROJECT MAN.</t>
  </si>
  <si>
    <r>
      <t xml:space="preserve">  </t>
    </r>
    <r>
      <rPr>
        <b/>
        <sz val="11"/>
        <rFont val="Arial"/>
        <family val="2"/>
      </rPr>
      <t xml:space="preserve">REGION: </t>
    </r>
  </si>
  <si>
    <t>Western</t>
  </si>
  <si>
    <t>% OF VALUE OF WORK</t>
  </si>
  <si>
    <t>FINALIZED</t>
  </si>
  <si>
    <t>DATE OF TENDER CLOSE</t>
  </si>
  <si>
    <t>Leap Years</t>
  </si>
  <si>
    <t>Consultant Fee Claim Month:</t>
  </si>
  <si>
    <t>Previous adjustment</t>
  </si>
  <si>
    <t>Latest</t>
  </si>
  <si>
    <t>Actual adjustment</t>
  </si>
  <si>
    <t>CATEGORY OF PROJECT</t>
  </si>
  <si>
    <t>Related % of Project Phases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</si>
  <si>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</si>
  <si>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</si>
  <si>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</si>
  <si>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</si>
  <si>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</si>
  <si>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</si>
  <si>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</si>
  <si>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</si>
  <si>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</si>
  <si>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</si>
  <si>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</si>
  <si>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</si>
  <si>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</si>
  <si>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</si>
  <si>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</si>
  <si>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</si>
  <si>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</si>
  <si>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</si>
  <si>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</si>
  <si>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</si>
  <si>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</si>
  <si>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</si>
  <si>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</si>
  <si>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</si>
  <si>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</si>
  <si>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</si>
  <si>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</si>
  <si>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</si>
  <si>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</si>
  <si>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</si>
  <si>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</si>
  <si>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</si>
  <si>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</si>
  <si>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t>(c) Establishment of office equipment</t>
  </si>
  <si>
    <t>(d) Handling costs i.r.o. sub item 3.7.4(c)</t>
  </si>
  <si>
    <t>(d) Handling cost i.r.o. sub item 3.9.1(c)</t>
  </si>
  <si>
    <t>red cells are default values unless change approved by the D&amp;C Cluster</t>
  </si>
  <si>
    <t>THESE VALUES CAN ONLY BE CHANGED ON APPROVAL BY THE D&amp;C CLUSTER AND THE ADMINISTRATOR OF THE SPREADSHEET MUST BE CONTACTED TO MAKE THE APPROVED CHANGE</t>
  </si>
  <si>
    <t>INCL. IN CALCULATION FOR CPA</t>
  </si>
  <si>
    <t>TOTAL CHECK</t>
  </si>
  <si>
    <t>EXCL. IN CALCULATION FOR CPA</t>
  </si>
  <si>
    <t>Add: Extra work (WAFs) with CPI applicable from Page 6</t>
  </si>
  <si>
    <t>WORKS AUTHORISATION FORMS (NOT REFLECTED IN PRICING SCHEDULE) - CPI APPLICABLE</t>
  </si>
  <si>
    <t>WAF No. 1</t>
  </si>
  <si>
    <t>WAF No. __</t>
  </si>
  <si>
    <t>WORKS AUTHORISATION FORMS (NOT REFLECTED IN PRICING SCHEDULE) - CPI NOT APPLICABLE</t>
  </si>
  <si>
    <t>WAF No. ___</t>
  </si>
  <si>
    <t>LAST CERTIFICATE NUMBER</t>
  </si>
  <si>
    <t>THIS CERTIFICATE NUMBER</t>
  </si>
  <si>
    <t>CERTIFCATE</t>
  </si>
  <si>
    <t>From Page:</t>
  </si>
  <si>
    <t>Therefore Retention Limit of:</t>
  </si>
  <si>
    <t>Pg 1 Payment</t>
  </si>
  <si>
    <t>K8</t>
  </si>
  <si>
    <t>Pg 2 Sum Sch</t>
  </si>
  <si>
    <t>NEXT CERTIFICATE NUMBER</t>
  </si>
  <si>
    <t>Tender Close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</si>
  <si>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</si>
  <si>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</si>
  <si>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</si>
  <si>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</si>
  <si>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</si>
  <si>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</si>
  <si>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</si>
  <si>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</si>
  <si>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</si>
  <si>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</si>
  <si>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</si>
  <si>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</si>
  <si>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</si>
  <si>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</si>
  <si>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</si>
  <si>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</si>
  <si>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</si>
  <si>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SUMMARY PAGE 1 (b)</t>
  </si>
  <si>
    <t>SUMMARY PAGE 1 (a)</t>
  </si>
  <si>
    <t>Brought Forward</t>
  </si>
  <si>
    <t>k32</t>
  </si>
  <si>
    <t>H22</t>
  </si>
  <si>
    <t>J22</t>
  </si>
  <si>
    <t>H27</t>
  </si>
  <si>
    <t>I27</t>
  </si>
  <si>
    <t>DATE INPUT=</t>
  </si>
  <si>
    <t>DATE USED =</t>
  </si>
  <si>
    <t>Total Travel For Site Personnel to calculate into Pricing Schedule item 3.7.6 (a)</t>
  </si>
  <si>
    <t>H9</t>
  </si>
  <si>
    <t>H10</t>
  </si>
  <si>
    <t>H12</t>
  </si>
  <si>
    <t>H13</t>
  </si>
  <si>
    <t>H15</t>
  </si>
  <si>
    <t>H16</t>
  </si>
  <si>
    <t>ORIG PROV OR PC SUM</t>
  </si>
  <si>
    <t>H11</t>
  </si>
  <si>
    <t>H14</t>
  </si>
  <si>
    <t>H18</t>
  </si>
  <si>
    <t>H20</t>
  </si>
  <si>
    <t>H21</t>
  </si>
  <si>
    <t>H23</t>
  </si>
  <si>
    <t>H28</t>
  </si>
  <si>
    <t>H29</t>
  </si>
  <si>
    <t>H30</t>
  </si>
  <si>
    <t>H33</t>
  </si>
  <si>
    <t>H34</t>
  </si>
  <si>
    <t>(a) Standard tests</t>
  </si>
  <si>
    <t>H40</t>
  </si>
  <si>
    <t>H38</t>
  </si>
  <si>
    <t>H39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</si>
  <si>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</si>
  <si>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</si>
  <si>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</si>
  <si>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</si>
  <si>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</si>
  <si>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</si>
  <si>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</si>
  <si>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</si>
  <si>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</si>
  <si>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</si>
  <si>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</si>
  <si>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</si>
  <si>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</si>
  <si>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</si>
  <si>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</si>
  <si>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</si>
  <si>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</si>
  <si>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</si>
  <si>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</si>
  <si>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</si>
  <si>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</si>
  <si>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</si>
  <si>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</si>
  <si>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</si>
  <si>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</si>
  <si>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r>
      <t xml:space="preserve">  </t>
    </r>
    <r>
      <rPr>
        <b/>
        <sz val="10"/>
        <rFont val="Arial"/>
        <family val="2"/>
      </rPr>
      <t xml:space="preserve">REGION: </t>
    </r>
  </si>
  <si>
    <r>
      <t xml:space="preserve">  </t>
    </r>
    <r>
      <rPr>
        <b/>
        <sz val="10"/>
        <rFont val="Arial"/>
        <family val="2"/>
      </rPr>
      <t>REGION:</t>
    </r>
  </si>
  <si>
    <t>H66</t>
  </si>
  <si>
    <t>H19</t>
  </si>
  <si>
    <t>H25</t>
  </si>
  <si>
    <t>H32</t>
  </si>
  <si>
    <t>H35</t>
  </si>
  <si>
    <t>H69</t>
  </si>
  <si>
    <t>H72</t>
  </si>
  <si>
    <t>H75</t>
  </si>
  <si>
    <t>H76</t>
  </si>
  <si>
    <t>H77</t>
  </si>
  <si>
    <t>H80</t>
  </si>
  <si>
    <t>H81</t>
  </si>
  <si>
    <t>H83</t>
  </si>
  <si>
    <t>H87</t>
  </si>
  <si>
    <t>H84</t>
  </si>
  <si>
    <t>H88</t>
  </si>
  <si>
    <t>H91</t>
  </si>
  <si>
    <t>H92</t>
  </si>
  <si>
    <t>H96</t>
  </si>
  <si>
    <t>H97</t>
  </si>
  <si>
    <t>H100</t>
  </si>
  <si>
    <t>H101</t>
  </si>
  <si>
    <t>H104</t>
  </si>
  <si>
    <t>H108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</si>
  <si>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</si>
  <si>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</si>
  <si>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</si>
  <si>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</si>
  <si>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</si>
  <si>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</si>
  <si>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</si>
  <si>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</si>
  <si>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</si>
  <si>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</si>
  <si>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</si>
  <si>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</si>
  <si>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</si>
  <si>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</si>
  <si>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</si>
  <si>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</si>
  <si>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</si>
  <si>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</si>
  <si>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</si>
  <si>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</si>
  <si>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</si>
  <si>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green cells to be input by the preffered service provider during project</t>
  </si>
  <si>
    <t>H135</t>
  </si>
  <si>
    <t>Carried forward to Page 4.4</t>
  </si>
  <si>
    <t>Carried forward to Page 4.5</t>
  </si>
  <si>
    <t>PAGE 4.5</t>
  </si>
  <si>
    <t>Brought forward from Page 4.4</t>
  </si>
  <si>
    <t>PAGE 4.6</t>
  </si>
  <si>
    <t>Carried forward to Page 4.6</t>
  </si>
  <si>
    <t>Brought forward from Page 4.5</t>
  </si>
  <si>
    <t>H26</t>
  </si>
  <si>
    <t>s</t>
  </si>
  <si>
    <t>TF</t>
  </si>
  <si>
    <t>%</t>
  </si>
  <si>
    <t>Tendered fee value as %</t>
  </si>
  <si>
    <t>Adjusted  fee value as %</t>
  </si>
  <si>
    <t>3.4.13</t>
  </si>
  <si>
    <t>c3.4</t>
  </si>
  <si>
    <t>H105</t>
  </si>
  <si>
    <t>H136</t>
  </si>
  <si>
    <t>H137</t>
  </si>
  <si>
    <t>H138</t>
  </si>
  <si>
    <t>H139</t>
  </si>
  <si>
    <t>SUMMARY OF ALL HOURS TENDERED</t>
  </si>
  <si>
    <t>ADDITIONAL DUTIES, SPECIAL SERVICES AND SPECIALIST ADVICE</t>
  </si>
  <si>
    <t xml:space="preserve">C2.3: SUMMARY  OF  PRICING  SCHEDULE </t>
  </si>
  <si>
    <t>C 2.2: PRICING SCHEDULE (Incorporating SBD 3)</t>
  </si>
  <si>
    <t>Phase / Stage discontinuity</t>
  </si>
  <si>
    <t>(a)   Review of previous phase / stage</t>
  </si>
  <si>
    <t>(f) Project Liaison Officer (PLO)</t>
  </si>
  <si>
    <t>QUALITY CONTROL: WORKS CONTRACT</t>
  </si>
  <si>
    <t>TENDERER INPUT DATA</t>
  </si>
  <si>
    <t>SUMMARY OF KEY PERSONS</t>
  </si>
  <si>
    <t>TENDERER COMPANY NAME:</t>
  </si>
  <si>
    <t>Required (Y/N)</t>
  </si>
  <si>
    <t>y</t>
  </si>
  <si>
    <t xml:space="preserve">    (i) Large bags</t>
  </si>
  <si>
    <t xml:space="preserve">    (ii) Small bags/cores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</si>
  <si>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</si>
  <si>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</si>
  <si>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</si>
  <si>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t xml:space="preserve">  (i) Large bags</t>
  </si>
  <si>
    <t xml:space="preserve">  (ii) Small bags</t>
  </si>
  <si>
    <t>FORM C2.4:   KEY PERSONS FOR THIS PROJECT AND SUMMARY OF NORMALIZED HOURS TENDERED</t>
  </si>
  <si>
    <t>Signed by Tenderer:</t>
  </si>
  <si>
    <t>KEY PERSONS NAMES</t>
  </si>
  <si>
    <t>Designation</t>
  </si>
  <si>
    <t>Fee items and work plan appropriateness</t>
  </si>
  <si>
    <t>Work plan appropriateness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</si>
  <si>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</si>
  <si>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I34</t>
  </si>
  <si>
    <t>I36</t>
  </si>
  <si>
    <t>WAF</t>
  </si>
  <si>
    <t>Pg 1</t>
  </si>
  <si>
    <t>PEN</t>
  </si>
  <si>
    <t>Penalties</t>
  </si>
  <si>
    <t>Pg1</t>
  </si>
  <si>
    <t>RET</t>
  </si>
  <si>
    <t>(c)  Handling cost i.r.o. sub-item 3.4.11(b)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</si>
  <si>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</si>
  <si>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t>(c)   Handling costs i.r.o. pay item 3.4.13(b)</t>
  </si>
  <si>
    <t>(c)  Handling costs i.r.o. pay item 3.8.3(b)</t>
  </si>
  <si>
    <t>POSITION</t>
  </si>
  <si>
    <t>Training of Targeted Enterprise Understudy</t>
  </si>
  <si>
    <t>k38</t>
  </si>
  <si>
    <t>FOR SANRAL USE</t>
  </si>
  <si>
    <t>EDMS: 2087552</t>
  </si>
  <si>
    <t>Note : Values presented here are only based fee based items and do not represent total remuneration</t>
  </si>
  <si>
    <t>Tendered fee</t>
  </si>
  <si>
    <t>Tendered fee %</t>
  </si>
  <si>
    <t>(h) Disbursements</t>
  </si>
  <si>
    <t>Number</t>
  </si>
  <si>
    <t>amount</t>
  </si>
  <si>
    <t>H17</t>
  </si>
  <si>
    <t>H36</t>
  </si>
  <si>
    <t>H67</t>
  </si>
  <si>
    <t>H70</t>
  </si>
  <si>
    <t>H73</t>
  </si>
  <si>
    <t>(b)   Students (engineering or surveying) receiving experiential training</t>
  </si>
  <si>
    <t>To be updated monthly (DO NOT RUN THE MACRO FOR THE FIRST FEE CLAIM - RESAVE AND RUN MACRO FOR FEE CLAIM 2 AND ONWARDS)</t>
  </si>
  <si>
    <t xml:space="preserve">Original Est.
 (Excl. VAT) = </t>
  </si>
  <si>
    <t>(c) Toll fees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</si>
  <si>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</si>
  <si>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</si>
  <si>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TENDERED</t>
  </si>
  <si>
    <t>CLAIMED TO DATE (Incl. Adjustments)</t>
  </si>
  <si>
    <t>% Claimed to date</t>
  </si>
  <si>
    <t>Deduct: % Fee and Adjustment Value from Summary of Tendered Fee</t>
  </si>
  <si>
    <t>Tax Rate (VAT):</t>
  </si>
  <si>
    <t>3.4.14</t>
  </si>
  <si>
    <t>Protection, removal, realignment and replacement of services prior to construction phase</t>
  </si>
  <si>
    <t>(b)  Handling costs i.r.o. pay item 3.4.14(a)</t>
  </si>
  <si>
    <t>(a)  Services</t>
  </si>
  <si>
    <t>H142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</si>
  <si>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</si>
  <si>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</si>
  <si>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</si>
  <si>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</si>
  <si>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</si>
  <si>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</si>
  <si>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</si>
  <si>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</si>
  <si>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</si>
  <si>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3.8.7</t>
  </si>
  <si>
    <t>NOTE: ONLY INITIAL KEY PERSONS HOURS WILL BE CAPTURED AS HOURS FOR ALTERNATE KEY PERSONS WILL INHERIT THE HOURS SHOULD THEY NEED TO REPLACE THE ORIGINAL KEY PERSON DUE TO OVER-COMMITMENT.</t>
  </si>
  <si>
    <t>ONLY INSERT KEY PERSONS HOURS, NOT ALTERNATES.</t>
  </si>
  <si>
    <t>(b) Cost for procuring and managing sub-service providerService Provider under sub-item 3.3.1(a)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</si>
  <si>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</si>
  <si>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</si>
  <si>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</si>
  <si>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</si>
  <si>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3.3.6</t>
  </si>
  <si>
    <t>(b) Cost for procuring and managing sub-service provider under sub-item 3.3.3(a)</t>
  </si>
  <si>
    <t>(c)  Administration and monitoring of the geotechnical and/or drilling contract by the engineer</t>
  </si>
  <si>
    <t>(d)  Supervision of the work:</t>
  </si>
  <si>
    <t>(ii)  Engineering Geologist for logging of cores and Profiling of test pits</t>
  </si>
  <si>
    <t xml:space="preserve">    (i)   Full time</t>
  </si>
  <si>
    <t xml:space="preserve">   (iii)  Accommodation costs</t>
  </si>
  <si>
    <t xml:space="preserve">   (iv)  Occupational Health and Safety obligations (continuous compliance and monthly audits)</t>
  </si>
  <si>
    <t>(i)  Geotechnical and Drilling contractor</t>
  </si>
  <si>
    <t>(c) Handling costs i.r.o. pay item 3.3.6(b)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</si>
  <si>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</si>
  <si>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</si>
  <si>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</si>
  <si>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</si>
  <si>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Road Safety Audit:  Feasibility/Preliminary/Detail</t>
  </si>
  <si>
    <t>Road Safety Audit:  Construction/Pre-opening</t>
  </si>
  <si>
    <t>(i)   Assistant Project Leader (APL)</t>
  </si>
  <si>
    <t>(ii)  Assistant Design Specialist(s) (ADS)</t>
  </si>
  <si>
    <t>(iii)  Disbursements</t>
  </si>
  <si>
    <t>(b)   Employer’s Trainees:</t>
  </si>
  <si>
    <t>(a)   Service Provider’s staff and Targeted Enterprises:</t>
  </si>
  <si>
    <t>(i)   Candidate engineers</t>
  </si>
  <si>
    <t>(ii)  Students experiential training</t>
  </si>
  <si>
    <t>(iii)  Student stipend</t>
  </si>
  <si>
    <t>3.4.15</t>
  </si>
  <si>
    <t>Employer’s Gateway Review Process</t>
  </si>
  <si>
    <t>(a)   Regional Gateway Review</t>
  </si>
  <si>
    <t>(b)   National Gateway Review</t>
  </si>
  <si>
    <t>Preparation of Works contract documents</t>
  </si>
  <si>
    <t>3.6.3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</si>
  <si>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</si>
  <si>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</si>
  <si>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</si>
  <si>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</si>
  <si>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</si>
  <si>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</si>
  <si>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</si>
  <si>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</si>
  <si>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</si>
  <si>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(d) Handling cost i.r.o. item 3.8.6 (c )</t>
  </si>
  <si>
    <t>(e) Training of PLC members</t>
  </si>
  <si>
    <t>(f) Handling cost i.r.o. item 3.8.6 (e )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</si>
  <si>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</si>
  <si>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</si>
  <si>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</si>
  <si>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</si>
  <si>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</si>
  <si>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</si>
  <si>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</si>
  <si>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</si>
  <si>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H24</t>
  </si>
  <si>
    <t>H68</t>
  </si>
  <si>
    <t>H79</t>
  </si>
  <si>
    <t>H86</t>
  </si>
  <si>
    <t>H90</t>
  </si>
  <si>
    <t>H95</t>
  </si>
  <si>
    <t>H99</t>
  </si>
  <si>
    <t>H109</t>
  </si>
  <si>
    <t>H140</t>
  </si>
  <si>
    <t>H141</t>
  </si>
  <si>
    <t>H143</t>
  </si>
  <si>
    <t>H144</t>
  </si>
  <si>
    <t>H145</t>
  </si>
  <si>
    <t>H146</t>
  </si>
  <si>
    <t>H147</t>
  </si>
  <si>
    <t>H150</t>
  </si>
  <si>
    <t>H153</t>
  </si>
  <si>
    <t>H154</t>
  </si>
  <si>
    <t>H37</t>
  </si>
  <si>
    <t>(b)  Provision for pre-recorded video</t>
  </si>
  <si>
    <t>Payment and Monthly Reporting cost</t>
  </si>
  <si>
    <t>* Rates Effective date April 2019</t>
  </si>
  <si>
    <t>H31</t>
  </si>
  <si>
    <t>Prime Cost (PC) and Provisional Sum (PS) sub-total</t>
  </si>
  <si>
    <t>NO INPUT REQUIRED ON THIS SHEET - WILL BE PROTECTED TO RUN MACROS - DO NOT ALTER OR DELETE THE SHEET</t>
  </si>
  <si>
    <t>Prime Cost (PC) and Provisional Sum (PS) sub-total including Handling &amp; Mark-Up Costs</t>
  </si>
  <si>
    <t>Handling Costs &amp; Mark-Up Costs on Prime Cost (PC) and Provisional Sum (PS) sub-total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</si>
  <si>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</si>
  <si>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>(a) Professional Service for Geotechnical and/or Drilling services investigations</t>
  </si>
  <si>
    <t>(b) Handling costs for planning, procuring professional services for geotechnical and/or drilling investigations i.r.o. item 3.3.4(a)</t>
  </si>
  <si>
    <t>(e)  Contracting Services for Geotechnical and Drilling Works:</t>
  </si>
  <si>
    <t xml:space="preserve">  (ii)  Handling cost for planning, procuring Contracting Services for geotechnical and drilling Works i.r.o item 3.3.4(e)(i)</t>
  </si>
  <si>
    <t>CONTRACT PRICE</t>
  </si>
  <si>
    <t>LAST UPDATED 28/06/2022</t>
  </si>
  <si>
    <t>JUNE 2022 VERSION</t>
  </si>
  <si>
    <t>NOTE:</t>
  </si>
  <si>
    <t>INCLUDE ALL NON-LISTED KEY PERSONS HOURS UNDER OTHER</t>
  </si>
  <si>
    <t>n</t>
  </si>
  <si>
    <t>NRA.N.007-040-2024/1F</t>
  </si>
  <si>
    <t>CONSULTING ENGINEERING SERVICES FOR THE STRENGTHENING ON NATIONAL ROUTE N7 SECTION 4 FROM TRAWAL (km 42.00) TO KLAWER (km 54.00)</t>
  </si>
  <si>
    <t>N</t>
  </si>
  <si>
    <t>ADDENDUM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</si>
</sst>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6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79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0" fontId="42" fillId="0" borderId="0" xfId="0" applyFont="1"/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3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5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6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7" fillId="0" borderId="57" xfId="2" applyFont="1" applyFill="1" applyBorder="1" applyAlignment="1" applyProtection="1">
      <alignment horizontal="center"/>
    </xf>
    <xf numFmtId="9" fontId="47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8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5" fillId="0" borderId="7" xfId="0" applyFont="1" applyBorder="1" applyAlignment="1">
      <alignment vertical="center"/>
    </xf>
    <xf numFmtId="0" fontId="55" fillId="0" borderId="8" xfId="0" applyFont="1" applyBorder="1" applyAlignment="1">
      <alignment vertical="center"/>
    </xf>
    <xf numFmtId="0" fontId="55" fillId="12" borderId="7" xfId="0" applyFont="1" applyFill="1" applyBorder="1" applyAlignment="1">
      <alignment horizontal="left" vertical="center"/>
    </xf>
    <xf numFmtId="165" fontId="55" fillId="0" borderId="7" xfId="0" applyNumberFormat="1" applyFont="1" applyBorder="1" applyAlignment="1">
      <alignment vertical="center"/>
    </xf>
    <xf numFmtId="0" fontId="55" fillId="14" borderId="7" xfId="0" applyFont="1" applyFill="1" applyBorder="1" applyAlignment="1">
      <alignment horizontal="left" vertical="center"/>
    </xf>
    <xf numFmtId="0" fontId="56" fillId="0" borderId="0" xfId="0" applyFont="1" applyAlignment="1">
      <alignment horizontal="left" vertical="center" wrapText="1"/>
    </xf>
    <xf numFmtId="0" fontId="57" fillId="0" borderId="0" xfId="3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9" fillId="0" borderId="0" xfId="0" applyFont="1"/>
    <xf numFmtId="14" fontId="10" fillId="0" borderId="0" xfId="0" applyNumberFormat="1" applyFont="1"/>
    <xf numFmtId="9" fontId="10" fillId="0" borderId="0" xfId="0" applyNumberFormat="1" applyFont="1"/>
    <xf numFmtId="175" fontId="10" fillId="0" borderId="0" xfId="0" applyNumberFormat="1" applyFont="1"/>
    <xf numFmtId="0" fontId="10" fillId="0" borderId="0" xfId="0" applyFont="1" applyAlignment="1">
      <alignment horizontal="center"/>
    </xf>
    <xf numFmtId="9" fontId="10" fillId="0" borderId="0" xfId="0" applyNumberFormat="1" applyFont="1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190" fontId="10" fillId="0" borderId="0" xfId="0" applyNumberFormat="1" applyFont="1"/>
    <xf numFmtId="0" fontId="10" fillId="0" borderId="0" xfId="0" applyFont="1" applyAlignment="1">
      <alignment horizontal="right"/>
    </xf>
    <xf numFmtId="19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 wrapText="1"/>
    </xf>
    <xf numFmtId="165" fontId="10" fillId="0" borderId="0" xfId="0" applyNumberFormat="1" applyFont="1" applyAlignment="1">
      <alignment horizontal="center" wrapText="1"/>
    </xf>
    <xf numFmtId="2" fontId="10" fillId="0" borderId="0" xfId="0" applyNumberFormat="1" applyFont="1"/>
    <xf numFmtId="0" fontId="51" fillId="0" borderId="0" xfId="0" applyFont="1" applyAlignment="1">
      <alignment horizontal="left" indent="1"/>
    </xf>
    <xf numFmtId="172" fontId="10" fillId="0" borderId="0" xfId="0" applyNumberFormat="1" applyFont="1"/>
    <xf numFmtId="0" fontId="52" fillId="0" borderId="0" xfId="0" applyFont="1" applyAlignment="1">
      <alignment horizontal="left" indent="4"/>
    </xf>
    <xf numFmtId="0" fontId="53" fillId="0" borderId="0" xfId="0" applyFont="1"/>
    <xf numFmtId="1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190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15" fontId="10" fillId="0" borderId="0" xfId="0" applyNumberFormat="1" applyFont="1" applyAlignment="1">
      <alignment horizontal="center"/>
    </xf>
    <xf numFmtId="165" fontId="10" fillId="0" borderId="0" xfId="0" applyNumberFormat="1" applyFont="1"/>
    <xf numFmtId="1" fontId="10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54" fillId="0" borderId="0" xfId="0" applyFont="1"/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wrapText="1"/>
    </xf>
    <xf numFmtId="0" fontId="50" fillId="0" borderId="0" xfId="0" applyFont="1" applyAlignment="1">
      <alignment horizontal="center"/>
    </xf>
    <xf numFmtId="17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top" wrapText="1"/>
    </xf>
    <xf numFmtId="0" fontId="50" fillId="0" borderId="0" xfId="0" applyFont="1"/>
    <xf numFmtId="0" fontId="50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0" borderId="7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left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/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20" fillId="0" borderId="1" xfId="7" applyFont="1" applyBorder="1" applyAlignment="1">
      <alignment horizontal="left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44" xfId="7" applyFont="1" applyBorder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18" fillId="0" borderId="17" xfId="7" applyFont="1" applyBorder="1" applyAlignment="1">
      <alignment horizontal="left"/>
    </xf>
    <xf numFmtId="0" fontId="18" fillId="0" borderId="52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18" fillId="0" borderId="54" xfId="7" applyFont="1" applyBorder="1" applyAlignment="1">
      <alignment horizontal="left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0" fontId="18" fillId="0" borderId="33" xfId="7" applyFont="1" applyBorder="1" applyAlignment="1">
      <alignment horizontal="center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20" fillId="0" borderId="33" xfId="7" applyFont="1" applyBorder="1" applyAlignment="1">
      <alignment horizontal="left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20" fillId="0" borderId="89" xfId="7" applyFont="1" applyBorder="1" applyAlignment="1">
      <alignment horizontal="left" wrapText="1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18" fillId="0" borderId="0" xfId="7" applyFont="1"/>
    <xf numFmtId="0" fontId="3" fillId="0" borderId="0" xfId="7"/>
    <xf numFmtId="0" fontId="3" fillId="0" borderId="54" xfId="7" applyBorder="1"/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33" xfId="7" applyBorder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3" fillId="0" borderId="34" xfId="7" applyBorder="1"/>
    <xf numFmtId="0" fontId="3" fillId="0" borderId="25" xfId="7" applyBorder="1"/>
    <xf numFmtId="0" fontId="3" fillId="0" borderId="82" xfId="7" applyBorder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4" fillId="0" borderId="2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0" fontId="4" fillId="0" borderId="5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4" xfId="7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4" fillId="0" borderId="40" xfId="7" applyFont="1" applyBorder="1" applyAlignment="1">
      <alignment horizontal="right" vertical="center" wrapText="1"/>
    </xf>
    <xf numFmtId="1" fontId="4" fillId="0" borderId="40" xfId="7" applyNumberFormat="1" applyFont="1" applyBorder="1" applyAlignment="1">
      <alignment horizontal="left" vertical="center"/>
    </xf>
    <xf numFmtId="0" fontId="4" fillId="0" borderId="8" xfId="7" applyFont="1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4" fillId="0" borderId="24" xfId="7" applyFont="1" applyBorder="1" applyAlignment="1">
      <alignment horizontal="left" vertic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39" xfId="7" applyBorder="1" applyAlignment="1">
      <alignment horizontal="left" vertical="center"/>
    </xf>
    <xf numFmtId="0" fontId="0" fillId="0" borderId="40" xfId="0" applyBorder="1"/>
    <xf numFmtId="0" fontId="0" fillId="0" borderId="42" xfId="0" applyBorder="1"/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0" borderId="11" xfId="7" applyBorder="1" applyAlignment="1">
      <alignment horizontal="center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3" fillId="0" borderId="0" xfId="7" applyAlignment="1">
      <alignment horizontal="center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/>
    </xf>
    <xf numFmtId="0" fontId="3" fillId="23" borderId="7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Alignment="1">
      <alignment horizont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497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20079"/>
      <color rgb="FFCCFFFF"/>
      <color rgb="FF00FF00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microsoft.com/office/2006/relationships/vbaProject" Target="vbaProject.bin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182880</xdr:colOff>
          <xdr:row>0</xdr:row>
          <xdr:rowOff>152400</xdr:rowOff>
        </xdr:from>
        <xdr:to>
          <xdr:col>20</xdr:col>
          <xdr:colOff>220980</xdr:colOff>
          <xdr:row>2</xdr:row>
          <xdr:rowOff>83820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F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4.4"/>
  <cols>
    <col min="1" max="1" width="1.5546875" customWidth="1"/>
    <col min="2" max="2" width="13.5546875" customWidth="1"/>
    <col min="3" max="3" width="48.88671875" customWidth="1"/>
    <col min="5" max="5" width="13.5546875" customWidth="1"/>
    <col min="6" max="7" width="14.5546875" customWidth="1"/>
    <col min="8" max="8" width="17.109375" customWidth="1"/>
  </cols>
  <sheetData>
    <row r="1" spans="1:8" ht="23.4">
      <c r="C1" s="276" t="s">
        <v>824</v>
      </c>
      <c r="D1" s="897"/>
      <c r="E1" s="917"/>
      <c r="F1" s="918"/>
      <c r="G1" s="919"/>
      <c r="H1" s="919"/>
    </row>
    <row r="2" spans="1:8" ht="18">
      <c r="B2" s="281" t="str">
        <f>DATA!C1004</f>
        <v>NRA.N.007-040-2024/1F</v>
      </c>
      <c r="D2" s="13"/>
      <c r="E2" s="13"/>
      <c r="F2" s="18"/>
    </row>
    <row r="3" spans="1:8" ht="31.2">
      <c r="A3" s="36"/>
      <c r="B3" s="1115" t="s">
        <v>822</v>
      </c>
      <c r="C3" s="1115"/>
      <c r="D3" s="1115"/>
      <c r="E3" s="1115"/>
      <c r="F3" s="1115"/>
      <c r="G3" s="1115"/>
      <c r="H3" s="1115"/>
    </row>
    <row r="4" spans="1:8" ht="38.25" customHeight="1">
      <c r="A4" s="36"/>
      <c r="B4" s="1116" t="s">
        <v>895</v>
      </c>
      <c r="C4" s="1116"/>
      <c r="D4" s="1116"/>
      <c r="E4" s="1116"/>
      <c r="F4" s="1116"/>
      <c r="G4" s="1116"/>
      <c r="H4" s="1116"/>
    </row>
    <row r="5" spans="1:8" ht="13.5" customHeight="1">
      <c r="A5" s="36"/>
      <c r="B5" s="947"/>
      <c r="C5" s="947"/>
      <c r="D5" s="947"/>
      <c r="E5" s="947"/>
      <c r="F5" s="947"/>
      <c r="G5" s="1072" t="s">
        <v>993</v>
      </c>
      <c r="H5" s="947"/>
    </row>
    <row r="6" spans="1:8">
      <c r="A6" s="36"/>
      <c r="B6" s="889" t="s">
        <v>46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0</v>
      </c>
      <c r="C8" s="39"/>
      <c r="D8" s="40"/>
      <c r="E8" s="40"/>
      <c r="F8" s="884"/>
      <c r="G8" s="39"/>
      <c r="H8" s="39"/>
    </row>
    <row r="9" spans="1:8" ht="15" thickBot="1">
      <c r="A9" s="36"/>
      <c r="B9" s="36"/>
      <c r="C9" s="36"/>
      <c r="D9" s="37"/>
      <c r="E9" s="37"/>
      <c r="F9" s="885"/>
      <c r="G9" s="36"/>
      <c r="H9" s="36"/>
    </row>
    <row r="10" spans="1:8" ht="15" thickBot="1">
      <c r="A10" s="36"/>
      <c r="B10" s="1121" t="s">
        <v>823</v>
      </c>
      <c r="C10" s="1122"/>
      <c r="D10" s="1122"/>
      <c r="E10" s="1122"/>
      <c r="F10" s="1122"/>
      <c r="G10" s="1123"/>
      <c r="H10" s="886"/>
    </row>
    <row r="11" spans="1:8" ht="28.8">
      <c r="A11" s="36"/>
      <c r="B11" s="117" t="s">
        <v>29</v>
      </c>
      <c r="C11" s="113" t="s">
        <v>45</v>
      </c>
      <c r="D11" s="1119" t="s">
        <v>837</v>
      </c>
      <c r="E11" s="1119"/>
      <c r="F11" s="1119"/>
      <c r="G11" s="1120"/>
      <c r="H11" s="227"/>
    </row>
    <row r="12" spans="1:8">
      <c r="A12" s="36"/>
      <c r="B12" s="118" t="str">
        <f>IF(DATA!A1051="","",DATA!A1051)</f>
        <v>PL</v>
      </c>
      <c r="C12" s="898"/>
      <c r="D12" s="1113" t="str">
        <f>IF(B12="","",DATA!B1051)</f>
        <v>Project Leader</v>
      </c>
      <c r="E12" s="1113"/>
      <c r="F12" s="1113"/>
      <c r="G12" s="1114"/>
      <c r="H12" s="227"/>
    </row>
    <row r="13" spans="1:8">
      <c r="A13" s="36"/>
      <c r="B13" s="118" t="str">
        <f>IF(DATA!A1052="","",DATA!A1052)</f>
        <v>DS1</v>
      </c>
      <c r="C13" s="898"/>
      <c r="D13" s="1113" t="str">
        <f>IF(B13="","",DATA!B1052)</f>
        <v>Design Specialist 1 - Pavement and Materials</v>
      </c>
      <c r="E13" s="1113"/>
      <c r="F13" s="1113"/>
      <c r="G13" s="1114"/>
      <c r="H13" s="227"/>
    </row>
    <row r="14" spans="1:8">
      <c r="A14" s="36"/>
      <c r="B14" s="118" t="str">
        <f>IF(DATA!A1053="","",DATA!A1053)</f>
        <v/>
      </c>
      <c r="C14" s="898"/>
      <c r="D14" s="1113" t="str">
        <f>IF(B14="","",DATA!B1053)</f>
        <v/>
      </c>
      <c r="E14" s="1113"/>
      <c r="F14" s="1113"/>
      <c r="G14" s="1114"/>
      <c r="H14" s="227"/>
    </row>
    <row r="15" spans="1:8">
      <c r="A15" s="36"/>
      <c r="B15" s="118" t="str">
        <f>IF(DATA!A1054="","",DATA!A1054)</f>
        <v/>
      </c>
      <c r="C15" s="898"/>
      <c r="D15" s="1113" t="str">
        <f>IF(B15="","",DATA!B1054)</f>
        <v/>
      </c>
      <c r="E15" s="1113"/>
      <c r="F15" s="1113"/>
      <c r="G15" s="1114"/>
      <c r="H15" s="227"/>
    </row>
    <row r="16" spans="1:8">
      <c r="A16" s="36"/>
      <c r="B16" s="118" t="str">
        <f>IF(DATA!A1055="","",DATA!A1055)</f>
        <v/>
      </c>
      <c r="C16" s="898"/>
      <c r="D16" s="1113" t="str">
        <f>IF(B16="","",DATA!B1055)</f>
        <v/>
      </c>
      <c r="E16" s="1113"/>
      <c r="F16" s="1113"/>
      <c r="G16" s="1114"/>
      <c r="H16" s="227"/>
    </row>
    <row r="17" spans="1:8">
      <c r="A17" s="36"/>
      <c r="B17" s="118" t="str">
        <f>IF(DATA!A1056="","",DATA!A1056)</f>
        <v/>
      </c>
      <c r="C17" s="898"/>
      <c r="D17" s="1113" t="str">
        <f>IF(B17="","",DATA!B1056)</f>
        <v/>
      </c>
      <c r="E17" s="1113"/>
      <c r="F17" s="1113"/>
      <c r="G17" s="1114"/>
      <c r="H17" s="227"/>
    </row>
    <row r="18" spans="1:8">
      <c r="A18" s="36"/>
      <c r="B18" s="118" t="str">
        <f>IF(DATA!A1057="","",DATA!A1057)</f>
        <v/>
      </c>
      <c r="C18" s="898"/>
      <c r="D18" s="1113" t="str">
        <f>IF(B18="","",DATA!B1057)</f>
        <v/>
      </c>
      <c r="E18" s="1113"/>
      <c r="F18" s="1113"/>
      <c r="G18" s="1114"/>
      <c r="H18" s="227"/>
    </row>
    <row r="19" spans="1:8">
      <c r="A19" s="36"/>
      <c r="B19" s="118" t="str">
        <f>IF(DATA!A1058="","",DATA!A1058)</f>
        <v/>
      </c>
      <c r="C19" s="898"/>
      <c r="D19" s="1113" t="str">
        <f>IF(B19="","",DATA!B1058)</f>
        <v/>
      </c>
      <c r="E19" s="1113"/>
      <c r="F19" s="1113"/>
      <c r="G19" s="1114"/>
      <c r="H19" s="227"/>
    </row>
    <row r="20" spans="1:8">
      <c r="A20" s="36"/>
      <c r="B20" s="118" t="str">
        <f>IF(DATA!A1059="","",DATA!A1059)</f>
        <v/>
      </c>
      <c r="C20" s="898"/>
      <c r="D20" s="1113" t="str">
        <f>IF(B20="","",DATA!B1059)</f>
        <v/>
      </c>
      <c r="E20" s="1113"/>
      <c r="F20" s="1113"/>
      <c r="G20" s="1114"/>
      <c r="H20" s="227"/>
    </row>
    <row r="21" spans="1:8">
      <c r="A21" s="36"/>
      <c r="B21" s="118" t="str">
        <f>IF(DATA!A1060="","",DATA!A1060)</f>
        <v/>
      </c>
      <c r="C21" s="898"/>
      <c r="D21" s="1113" t="str">
        <f>IF(B21="","",DATA!B1060)</f>
        <v/>
      </c>
      <c r="E21" s="1113"/>
      <c r="F21" s="1113"/>
      <c r="G21" s="1114"/>
      <c r="H21" s="227"/>
    </row>
    <row r="22" spans="1:8" hidden="1">
      <c r="A22" s="36"/>
      <c r="B22" s="118"/>
      <c r="C22" s="898"/>
      <c r="D22" s="1113"/>
      <c r="E22" s="1113"/>
      <c r="F22" s="1113"/>
      <c r="G22" s="1114"/>
      <c r="H22" s="227"/>
    </row>
    <row r="23" spans="1:8" hidden="1">
      <c r="A23" s="36"/>
      <c r="B23" s="118"/>
      <c r="C23" s="898"/>
      <c r="D23" s="1113"/>
      <c r="E23" s="1113"/>
      <c r="F23" s="1113"/>
      <c r="G23" s="1114"/>
      <c r="H23" s="227"/>
    </row>
    <row r="24" spans="1:8" hidden="1">
      <c r="A24" s="36"/>
      <c r="B24" s="118"/>
      <c r="C24" s="898"/>
      <c r="D24" s="1113"/>
      <c r="E24" s="1113"/>
      <c r="F24" s="1113"/>
      <c r="G24" s="1114"/>
      <c r="H24" s="227"/>
    </row>
    <row r="25" spans="1:8" hidden="1">
      <c r="A25" s="36"/>
      <c r="B25" s="118"/>
      <c r="C25" s="898"/>
      <c r="D25" s="1113"/>
      <c r="E25" s="1113"/>
      <c r="F25" s="1113"/>
      <c r="G25" s="1114"/>
      <c r="H25" s="227"/>
    </row>
    <row r="26" spans="1:8" hidden="1">
      <c r="A26" s="36"/>
      <c r="B26" s="118"/>
      <c r="C26" s="898"/>
      <c r="D26" s="1113"/>
      <c r="E26" s="1113"/>
      <c r="F26" s="1113"/>
      <c r="G26" s="1114"/>
      <c r="H26" s="227"/>
    </row>
    <row r="27" spans="1:8" hidden="1">
      <c r="A27" s="36"/>
      <c r="B27" s="118"/>
      <c r="C27" s="898"/>
      <c r="D27" s="1113"/>
      <c r="E27" s="1113"/>
      <c r="F27" s="1113"/>
      <c r="G27" s="1114"/>
      <c r="H27" s="227"/>
    </row>
    <row r="28" spans="1:8" hidden="1">
      <c r="A28" s="36"/>
      <c r="B28" s="118"/>
      <c r="C28" s="898"/>
      <c r="D28" s="1113"/>
      <c r="E28" s="1113"/>
      <c r="F28" s="1113"/>
      <c r="G28" s="1114"/>
      <c r="H28" s="227"/>
    </row>
    <row r="29" spans="1:8" hidden="1">
      <c r="A29" s="36"/>
      <c r="B29" s="118"/>
      <c r="C29" s="898"/>
      <c r="D29" s="1113"/>
      <c r="E29" s="1113"/>
      <c r="F29" s="1113"/>
      <c r="G29" s="1114"/>
      <c r="H29" s="227"/>
    </row>
    <row r="30" spans="1:8" hidden="1">
      <c r="A30" s="36"/>
      <c r="B30" s="118"/>
      <c r="C30" s="898"/>
      <c r="D30" s="1113"/>
      <c r="E30" s="1113"/>
      <c r="F30" s="1113"/>
      <c r="G30" s="1114"/>
      <c r="H30" s="227"/>
    </row>
    <row r="31" spans="1:8" ht="15" hidden="1" thickBot="1">
      <c r="A31" s="36"/>
      <c r="B31" s="119"/>
      <c r="C31" s="927"/>
      <c r="D31" s="1117"/>
      <c r="E31" s="1117"/>
      <c r="F31" s="1117"/>
      <c r="G31" s="1118"/>
      <c r="H31" s="227"/>
    </row>
    <row r="32" spans="1:8" ht="15" thickBot="1">
      <c r="A32" s="36"/>
      <c r="B32" s="925" t="s">
        <v>9</v>
      </c>
      <c r="C32" s="926" t="s">
        <v>25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6" t="s">
        <v>987</v>
      </c>
      <c r="C34" s="1" t="s">
        <v>988</v>
      </c>
    </row>
  </sheetData>
  <sheetProtection algorithmName="SHA-512" hashValue="hHxid1QGJ13xjKpYWUSwqniedKEfjWiQONaTJE7sUAOm2quzIqkI2DOnBI5LZOF02FgqpIX9HZxK0H5de//euQ==" saltValue="xvbzffkGGAYV1W7JWMz6cA==" spinCount="100000" sheet="1" objects="1" scenarios="1"/>
  <mergeCells count="24"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B3:H3"/>
    <mergeCell ref="D12:G12"/>
    <mergeCell ref="D13:G13"/>
    <mergeCell ref="D14:G14"/>
    <mergeCell ref="D15:G15"/>
    <mergeCell ref="B4:H4"/>
  </mergeCells>
  <conditionalFormatting sqref="B12:B32">
    <cfRule type="containsBlanks" dxfId="13496" priority="97">
      <formula>LEN(TRIM(B12))=0</formula>
    </cfRule>
  </conditionalFormatting>
  <conditionalFormatting sqref="C12">
    <cfRule type="expression" dxfId="13495" priority="96">
      <formula>B12=""</formula>
    </cfRule>
  </conditionalFormatting>
  <conditionalFormatting sqref="C13">
    <cfRule type="expression" dxfId="13494" priority="95">
      <formula>B13=""</formula>
    </cfRule>
  </conditionalFormatting>
  <conditionalFormatting sqref="C14">
    <cfRule type="expression" dxfId="13493" priority="94">
      <formula>B14=""</formula>
    </cfRule>
  </conditionalFormatting>
  <conditionalFormatting sqref="C15">
    <cfRule type="expression" dxfId="13492" priority="93">
      <formula>B15=""</formula>
    </cfRule>
  </conditionalFormatting>
  <conditionalFormatting sqref="C16:C31">
    <cfRule type="expression" dxfId="13491" priority="92">
      <formula>B16=""</formula>
    </cfRule>
  </conditionalFormatting>
  <conditionalFormatting sqref="C27">
    <cfRule type="expression" dxfId="13490" priority="91">
      <formula>B27=""</formula>
    </cfRule>
  </conditionalFormatting>
  <conditionalFormatting sqref="C28">
    <cfRule type="expression" dxfId="13489" priority="90">
      <formula>B28=""</formula>
    </cfRule>
  </conditionalFormatting>
  <conditionalFormatting sqref="C29">
    <cfRule type="expression" dxfId="13488" priority="89">
      <formula>B29=""</formula>
    </cfRule>
  </conditionalFormatting>
  <conditionalFormatting sqref="C30">
    <cfRule type="expression" dxfId="13487" priority="88">
      <formula>B30=""</formula>
    </cfRule>
  </conditionalFormatting>
  <conditionalFormatting sqref="C31">
    <cfRule type="expression" dxfId="13486" priority="87">
      <formula>B31=""</formula>
    </cfRule>
  </conditionalFormatting>
  <conditionalFormatting sqref="C32">
    <cfRule type="expression" dxfId="13485" priority="86">
      <formula>B32=""</formula>
    </cfRule>
  </conditionalFormatting>
  <conditionalFormatting sqref="D12:G12">
    <cfRule type="expression" dxfId="13484" priority="20">
      <formula>B12=""</formula>
    </cfRule>
  </conditionalFormatting>
  <conditionalFormatting sqref="D13:G13">
    <cfRule type="expression" dxfId="13483" priority="19">
      <formula>B13=""</formula>
    </cfRule>
  </conditionalFormatting>
  <conditionalFormatting sqref="D14:G14">
    <cfRule type="expression" dxfId="13482" priority="18">
      <formula>B14=""</formula>
    </cfRule>
  </conditionalFormatting>
  <conditionalFormatting sqref="D15:G15">
    <cfRule type="expression" dxfId="13481" priority="17">
      <formula>B15=""</formula>
    </cfRule>
  </conditionalFormatting>
  <conditionalFormatting sqref="D16:G31">
    <cfRule type="expression" dxfId="13480" priority="16">
      <formula>B16=""</formula>
    </cfRule>
  </conditionalFormatting>
  <conditionalFormatting sqref="D27:G27">
    <cfRule type="expression" dxfId="13479" priority="15">
      <formula>B27=""</formula>
    </cfRule>
  </conditionalFormatting>
  <conditionalFormatting sqref="D28:G28">
    <cfRule type="expression" dxfId="13478" priority="14">
      <formula>B28=""</formula>
    </cfRule>
  </conditionalFormatting>
  <conditionalFormatting sqref="D29:G29">
    <cfRule type="expression" dxfId="13477" priority="13">
      <formula>B29=""</formula>
    </cfRule>
  </conditionalFormatting>
  <conditionalFormatting sqref="D30:G30">
    <cfRule type="expression" dxfId="13476" priority="12">
      <formula>B30=""</formula>
    </cfRule>
  </conditionalFormatting>
  <conditionalFormatting sqref="D31:G31">
    <cfRule type="expression" dxfId="13475" priority="11">
      <formula>B31=""</formula>
    </cfRule>
  </conditionalFormatting>
  <conditionalFormatting sqref="D17:G17">
    <cfRule type="expression" dxfId="13474" priority="10">
      <formula>B17=""</formula>
    </cfRule>
  </conditionalFormatting>
  <conditionalFormatting sqref="D18:G18">
    <cfRule type="expression" dxfId="13473" priority="9">
      <formula>B18=""</formula>
    </cfRule>
  </conditionalFormatting>
  <conditionalFormatting sqref="D19:G19">
    <cfRule type="expression" dxfId="13472" priority="8">
      <formula>B19=""</formula>
    </cfRule>
  </conditionalFormatting>
  <conditionalFormatting sqref="D20:G20">
    <cfRule type="expression" dxfId="13471" priority="7">
      <formula>B20=""</formula>
    </cfRule>
  </conditionalFormatting>
  <conditionalFormatting sqref="D21:G21">
    <cfRule type="expression" dxfId="13470" priority="6">
      <formula>B21=""</formula>
    </cfRule>
  </conditionalFormatting>
  <conditionalFormatting sqref="D22:G22">
    <cfRule type="expression" dxfId="13469" priority="5">
      <formula>B22=""</formula>
    </cfRule>
  </conditionalFormatting>
  <conditionalFormatting sqref="D23:G23">
    <cfRule type="expression" dxfId="13468" priority="4">
      <formula>B23=""</formula>
    </cfRule>
  </conditionalFormatting>
  <conditionalFormatting sqref="D24:G24">
    <cfRule type="expression" dxfId="13467" priority="3">
      <formula>B24=""</formula>
    </cfRule>
  </conditionalFormatting>
  <conditionalFormatting sqref="D25:G25">
    <cfRule type="expression" dxfId="13466" priority="2">
      <formula>B25=""</formula>
    </cfRule>
  </conditionalFormatting>
  <conditionalFormatting sqref="D26:G26">
    <cfRule type="expression" dxfId="13465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10" style="13" customWidth="1"/>
    <col min="5" max="5" width="10.33203125" style="13" customWidth="1"/>
    <col min="6" max="6" width="12" style="18" customWidth="1"/>
    <col min="7" max="7" width="14.554687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">
        <v>218</v>
      </c>
    </row>
    <row r="2" spans="2:8">
      <c r="C2" s="232" t="str">
        <f>'All Hours'!D1</f>
        <v>PLEASE INSERT TENDERER NAME ON INPUT DATA SHEET</v>
      </c>
      <c r="E2" s="232" t="s">
        <v>896</v>
      </c>
    </row>
    <row r="4" spans="2:8" ht="15" thickBot="1">
      <c r="B4" s="1" t="s">
        <v>0</v>
      </c>
      <c r="C4" s="1" t="str">
        <f>IF('Pricing Schedule'!G13="n","NOT REQUIRED FOR THIS TENDER","")</f>
        <v/>
      </c>
      <c r="D4" s="11" t="s">
        <v>1</v>
      </c>
      <c r="E4" s="11" t="s">
        <v>2</v>
      </c>
      <c r="F4" s="216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30">
        <v>32.01</v>
      </c>
      <c r="C6" s="31" t="s">
        <v>207</v>
      </c>
      <c r="D6" s="215" t="s">
        <v>6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si="0"/>
        <v/>
      </c>
      <c r="G10" s="61" t="str">
        <f t="shared" si="1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0"/>
        <v/>
      </c>
      <c r="G11" s="61" t="str">
        <f t="shared" si="1"/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5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/>
      </c>
      <c r="C32" s="59" t="str">
        <f t="shared" si="2"/>
        <v/>
      </c>
      <c r="D32" s="59"/>
      <c r="E32" s="895">
        <v>0</v>
      </c>
      <c r="F32" s="16" t="str">
        <f t="shared" si="3"/>
        <v/>
      </c>
      <c r="G32" s="61" t="str">
        <f t="shared" si="4"/>
        <v/>
      </c>
      <c r="H32" s="62"/>
    </row>
    <row r="33" spans="2:8">
      <c r="B33" s="118" t="str">
        <f t="shared" ref="B33:C33" si="5">B11</f>
        <v/>
      </c>
      <c r="C33" s="59" t="str">
        <f t="shared" si="5"/>
        <v/>
      </c>
      <c r="D33" s="59"/>
      <c r="E33" s="895">
        <v>0</v>
      </c>
      <c r="F33" s="16" t="str">
        <f t="shared" si="3"/>
        <v/>
      </c>
      <c r="G33" s="61" t="str">
        <f t="shared" ref="G33:G39" si="6">IF(B33="","",(F33*E33))</f>
        <v/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5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5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5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5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5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5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5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5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5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/>
      </c>
      <c r="C54" s="59" t="str">
        <f t="shared" si="17"/>
        <v/>
      </c>
      <c r="D54" s="5"/>
      <c r="E54" s="895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5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5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5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5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5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5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5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5"/>
      <c r="F62" s="16"/>
      <c r="G62" s="6"/>
      <c r="H62" s="7"/>
    </row>
    <row r="63" spans="2:8" hidden="1">
      <c r="B63" s="118"/>
      <c r="C63" s="59"/>
      <c r="D63" s="5"/>
      <c r="E63" s="895"/>
      <c r="F63" s="16"/>
      <c r="G63" s="6"/>
      <c r="H63" s="7"/>
    </row>
    <row r="64" spans="2:8" hidden="1">
      <c r="B64" s="118"/>
      <c r="C64" s="59"/>
      <c r="D64" s="5"/>
      <c r="E64" s="895"/>
      <c r="F64" s="16"/>
      <c r="G64" s="6"/>
      <c r="H64" s="7"/>
    </row>
    <row r="65" spans="2:8" hidden="1">
      <c r="B65" s="118"/>
      <c r="C65" s="59"/>
      <c r="D65" s="5"/>
      <c r="E65" s="895"/>
      <c r="F65" s="16"/>
      <c r="G65" s="6"/>
      <c r="H65" s="7"/>
    </row>
    <row r="66" spans="2:8" hidden="1">
      <c r="B66" s="118"/>
      <c r="C66" s="59"/>
      <c r="D66" s="5"/>
      <c r="E66" s="895"/>
      <c r="F66" s="16"/>
      <c r="G66" s="6"/>
      <c r="H66" s="7"/>
    </row>
    <row r="67" spans="2:8" hidden="1">
      <c r="B67" s="118"/>
      <c r="C67" s="59"/>
      <c r="D67" s="5"/>
      <c r="E67" s="895"/>
      <c r="F67" s="16"/>
      <c r="G67" s="6"/>
      <c r="H67" s="7"/>
    </row>
    <row r="68" spans="2:8" hidden="1">
      <c r="B68" s="118"/>
      <c r="C68" s="59"/>
      <c r="D68" s="5"/>
      <c r="E68" s="895"/>
      <c r="F68" s="16"/>
      <c r="G68" s="6"/>
      <c r="H68" s="7"/>
    </row>
    <row r="69" spans="2:8" hidden="1">
      <c r="B69" s="118"/>
      <c r="C69" s="59"/>
      <c r="D69" s="5"/>
      <c r="E69" s="895"/>
      <c r="F69" s="16"/>
      <c r="G69" s="6"/>
      <c r="H69" s="7"/>
    </row>
    <row r="70" spans="2:8" hidden="1">
      <c r="B70" s="118"/>
      <c r="C70" s="59"/>
      <c r="D70" s="5"/>
      <c r="E70" s="895"/>
      <c r="F70" s="16"/>
      <c r="G70" s="6"/>
      <c r="H70" s="7"/>
    </row>
    <row r="71" spans="2:8" hidden="1">
      <c r="B71" s="118"/>
      <c r="C71" s="59"/>
      <c r="D71" s="5"/>
      <c r="E71" s="895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5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5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5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5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5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5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5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5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5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5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5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5"/>
      <c r="F84" s="16"/>
      <c r="G84" s="6"/>
      <c r="H84" s="7"/>
    </row>
    <row r="85" spans="2:8" hidden="1">
      <c r="B85" s="118"/>
      <c r="C85" s="59"/>
      <c r="D85" s="5"/>
      <c r="E85" s="895"/>
      <c r="F85" s="16"/>
      <c r="G85" s="6"/>
      <c r="H85" s="7"/>
    </row>
    <row r="86" spans="2:8" hidden="1">
      <c r="B86" s="118"/>
      <c r="C86" s="59"/>
      <c r="D86" s="5"/>
      <c r="E86" s="895"/>
      <c r="F86" s="16"/>
      <c r="G86" s="6"/>
      <c r="H86" s="7"/>
    </row>
    <row r="87" spans="2:8" hidden="1">
      <c r="B87" s="118"/>
      <c r="C87" s="59"/>
      <c r="D87" s="5"/>
      <c r="E87" s="895"/>
      <c r="F87" s="16"/>
      <c r="G87" s="6"/>
      <c r="H87" s="7"/>
    </row>
    <row r="88" spans="2:8" hidden="1">
      <c r="B88" s="118"/>
      <c r="C88" s="59"/>
      <c r="D88" s="5"/>
      <c r="E88" s="895"/>
      <c r="F88" s="16"/>
      <c r="G88" s="6"/>
      <c r="H88" s="7"/>
    </row>
    <row r="89" spans="2:8" hidden="1">
      <c r="B89" s="118"/>
      <c r="C89" s="59"/>
      <c r="D89" s="5"/>
      <c r="E89" s="895"/>
      <c r="F89" s="16"/>
      <c r="G89" s="6"/>
      <c r="H89" s="7"/>
    </row>
    <row r="90" spans="2:8" hidden="1">
      <c r="B90" s="118"/>
      <c r="C90" s="59"/>
      <c r="D90" s="5"/>
      <c r="E90" s="895"/>
      <c r="F90" s="16"/>
      <c r="G90" s="6"/>
      <c r="H90" s="7"/>
    </row>
    <row r="91" spans="2:8" hidden="1">
      <c r="B91" s="118"/>
      <c r="C91" s="59"/>
      <c r="D91" s="5"/>
      <c r="E91" s="895"/>
      <c r="F91" s="16"/>
      <c r="G91" s="6"/>
      <c r="H91" s="7"/>
    </row>
    <row r="92" spans="2:8" hidden="1">
      <c r="B92" s="118"/>
      <c r="C92" s="59"/>
      <c r="D92" s="5"/>
      <c r="E92" s="895"/>
      <c r="F92" s="16"/>
      <c r="G92" s="6"/>
      <c r="H92" s="7"/>
    </row>
    <row r="93" spans="2:8" hidden="1">
      <c r="B93" s="118"/>
      <c r="C93" s="59"/>
      <c r="D93" s="5"/>
      <c r="E93" s="895"/>
      <c r="F93" s="16"/>
      <c r="G93" s="6"/>
      <c r="H93" s="7"/>
    </row>
    <row r="94" spans="2:8" ht="15" thickBot="1">
      <c r="B94" s="119" t="str">
        <f>B28</f>
        <v>OTHER</v>
      </c>
      <c r="C94" s="63" t="str">
        <f>C28</f>
        <v>Various non-key personnel</v>
      </c>
      <c r="D94" s="8"/>
      <c r="E94" s="896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  <row r="104" spans="2:8" ht="15" thickBot="1">
      <c r="B104" s="1" t="s">
        <v>0</v>
      </c>
      <c r="C104" s="1" t="str">
        <f>IF('Pricing Schedule'!G16="n","NOT REQUIRED","")</f>
        <v/>
      </c>
      <c r="D104" s="11" t="s">
        <v>1</v>
      </c>
      <c r="E104" s="11" t="s">
        <v>2</v>
      </c>
      <c r="F104" s="216" t="s">
        <v>3</v>
      </c>
      <c r="G104" s="1"/>
      <c r="H104" s="1" t="s">
        <v>4</v>
      </c>
    </row>
    <row r="105" spans="2:8" ht="15" thickBot="1">
      <c r="B105" s="2" t="s">
        <v>5</v>
      </c>
      <c r="C105" s="3"/>
      <c r="D105" s="12"/>
      <c r="E105" s="12"/>
      <c r="F105" s="15"/>
      <c r="G105" s="3"/>
      <c r="H105" s="4"/>
    </row>
    <row r="106" spans="2:8" ht="15" thickBot="1">
      <c r="B106" s="30">
        <v>32.020000000000003</v>
      </c>
      <c r="C106" s="31" t="s">
        <v>208</v>
      </c>
      <c r="D106" s="215" t="s">
        <v>6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7</v>
      </c>
      <c r="C107" s="20"/>
      <c r="D107" s="21" t="s">
        <v>8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5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5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/>
      </c>
      <c r="C110" s="59" t="str">
        <f>$C$10</f>
        <v/>
      </c>
      <c r="D110" s="59"/>
      <c r="E110" s="895">
        <v>0</v>
      </c>
      <c r="F110" s="16" t="str">
        <f>IF(B110="","",$F$107)</f>
        <v/>
      </c>
      <c r="G110" s="61" t="str">
        <f t="shared" si="38"/>
        <v/>
      </c>
      <c r="H110" s="62"/>
    </row>
    <row r="111" spans="2:8">
      <c r="B111" s="118" t="str">
        <f>$B$11</f>
        <v/>
      </c>
      <c r="C111" s="59" t="str">
        <f>$C$11</f>
        <v/>
      </c>
      <c r="D111" s="59"/>
      <c r="E111" s="895">
        <v>0</v>
      </c>
      <c r="F111" s="16" t="str">
        <f t="shared" ref="F111:F128" si="39">IF(B111="","",$F$107)</f>
        <v/>
      </c>
      <c r="G111" s="61" t="str">
        <f t="shared" ref="G111:G128" si="40">IF(B111="","",(F111*E111))</f>
        <v/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5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5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5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5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5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5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5"/>
      <c r="F118" s="16"/>
      <c r="G118" s="61"/>
      <c r="H118" s="62"/>
    </row>
    <row r="119" spans="2:8" hidden="1">
      <c r="B119" s="118"/>
      <c r="C119" s="59"/>
      <c r="D119" s="59"/>
      <c r="E119" s="895"/>
      <c r="F119" s="16"/>
      <c r="G119" s="61"/>
      <c r="H119" s="62"/>
    </row>
    <row r="120" spans="2:8" hidden="1">
      <c r="B120" s="118"/>
      <c r="C120" s="59"/>
      <c r="D120" s="59"/>
      <c r="E120" s="895"/>
      <c r="F120" s="16"/>
      <c r="G120" s="61"/>
      <c r="H120" s="62"/>
    </row>
    <row r="121" spans="2:8" hidden="1">
      <c r="B121" s="118"/>
      <c r="C121" s="59"/>
      <c r="D121" s="59"/>
      <c r="E121" s="895"/>
      <c r="F121" s="16"/>
      <c r="G121" s="61"/>
      <c r="H121" s="62"/>
    </row>
    <row r="122" spans="2:8" hidden="1">
      <c r="B122" s="118"/>
      <c r="C122" s="59"/>
      <c r="D122" s="59"/>
      <c r="E122" s="895"/>
      <c r="F122" s="16"/>
      <c r="G122" s="61"/>
      <c r="H122" s="62"/>
    </row>
    <row r="123" spans="2:8" hidden="1">
      <c r="B123" s="118"/>
      <c r="C123" s="59"/>
      <c r="D123" s="59"/>
      <c r="E123" s="895"/>
      <c r="F123" s="16"/>
      <c r="G123" s="61"/>
      <c r="H123" s="62"/>
    </row>
    <row r="124" spans="2:8" hidden="1">
      <c r="B124" s="118"/>
      <c r="C124" s="59"/>
      <c r="D124" s="59"/>
      <c r="E124" s="895"/>
      <c r="F124" s="16"/>
      <c r="G124" s="61"/>
      <c r="H124" s="62"/>
    </row>
    <row r="125" spans="2:8" hidden="1">
      <c r="B125" s="118"/>
      <c r="C125" s="59"/>
      <c r="D125" s="59"/>
      <c r="E125" s="895"/>
      <c r="F125" s="16"/>
      <c r="G125" s="61"/>
      <c r="H125" s="62"/>
    </row>
    <row r="126" spans="2:8" hidden="1">
      <c r="B126" s="118"/>
      <c r="C126" s="59"/>
      <c r="D126" s="59"/>
      <c r="E126" s="895"/>
      <c r="F126" s="16"/>
      <c r="G126" s="61"/>
      <c r="H126" s="62"/>
    </row>
    <row r="127" spans="2:8" hidden="1">
      <c r="B127" s="118"/>
      <c r="C127" s="59"/>
      <c r="D127" s="59"/>
      <c r="E127" s="895"/>
      <c r="F127" s="16"/>
      <c r="G127" s="61"/>
      <c r="H127" s="62"/>
    </row>
    <row r="128" spans="2:8" ht="15" thickBot="1">
      <c r="B128" s="118" t="str">
        <f>$B$28</f>
        <v>OTHER</v>
      </c>
      <c r="C128" s="59" t="str">
        <f>$C$28</f>
        <v>Various non-key personnel</v>
      </c>
      <c r="D128" s="5"/>
      <c r="E128" s="895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10</v>
      </c>
      <c r="C129" s="20"/>
      <c r="D129" s="21" t="s">
        <v>8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5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5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/>
      </c>
      <c r="C132" s="59" t="str">
        <f t="shared" si="43"/>
        <v/>
      </c>
      <c r="D132" s="59"/>
      <c r="E132" s="895">
        <v>0</v>
      </c>
      <c r="F132" s="16" t="str">
        <f t="shared" ref="F132:F139" si="44">IF(B132="","",$F$129)</f>
        <v/>
      </c>
      <c r="G132" s="61" t="str">
        <f t="shared" si="42"/>
        <v/>
      </c>
      <c r="H132" s="62"/>
    </row>
    <row r="133" spans="2:8">
      <c r="B133" s="118" t="str">
        <f t="shared" ref="B133:C133" si="45">B111</f>
        <v/>
      </c>
      <c r="C133" s="59" t="str">
        <f t="shared" si="45"/>
        <v/>
      </c>
      <c r="D133" s="59"/>
      <c r="E133" s="895">
        <v>0</v>
      </c>
      <c r="F133" s="16" t="str">
        <f t="shared" si="44"/>
        <v/>
      </c>
      <c r="G133" s="61" t="str">
        <f t="shared" ref="G133:G139" si="46">IF(B133="","",(F133*E133))</f>
        <v/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5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5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5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5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5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5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5"/>
      <c r="F140" s="16"/>
      <c r="G140" s="61"/>
      <c r="H140" s="62"/>
    </row>
    <row r="141" spans="2:8" hidden="1">
      <c r="B141" s="118"/>
      <c r="C141" s="59"/>
      <c r="D141" s="59"/>
      <c r="E141" s="895"/>
      <c r="F141" s="16"/>
      <c r="G141" s="61"/>
      <c r="H141" s="62"/>
    </row>
    <row r="142" spans="2:8" hidden="1">
      <c r="B142" s="118"/>
      <c r="C142" s="59"/>
      <c r="D142" s="59"/>
      <c r="E142" s="895"/>
      <c r="F142" s="16"/>
      <c r="G142" s="61"/>
      <c r="H142" s="62"/>
    </row>
    <row r="143" spans="2:8" hidden="1">
      <c r="B143" s="118"/>
      <c r="C143" s="59"/>
      <c r="D143" s="59"/>
      <c r="E143" s="895"/>
      <c r="F143" s="16"/>
      <c r="G143" s="61"/>
      <c r="H143" s="62"/>
    </row>
    <row r="144" spans="2:8" hidden="1">
      <c r="B144" s="118"/>
      <c r="C144" s="59"/>
      <c r="D144" s="59"/>
      <c r="E144" s="895"/>
      <c r="F144" s="16"/>
      <c r="G144" s="61"/>
      <c r="H144" s="62"/>
    </row>
    <row r="145" spans="2:8" hidden="1">
      <c r="B145" s="118"/>
      <c r="C145" s="59"/>
      <c r="D145" s="59"/>
      <c r="E145" s="895"/>
      <c r="F145" s="16"/>
      <c r="G145" s="61"/>
      <c r="H145" s="62"/>
    </row>
    <row r="146" spans="2:8" hidden="1">
      <c r="B146" s="118"/>
      <c r="C146" s="59"/>
      <c r="D146" s="59"/>
      <c r="E146" s="895"/>
      <c r="F146" s="16"/>
      <c r="G146" s="61"/>
      <c r="H146" s="62"/>
    </row>
    <row r="147" spans="2:8" hidden="1">
      <c r="B147" s="118"/>
      <c r="C147" s="59"/>
      <c r="D147" s="59"/>
      <c r="E147" s="895"/>
      <c r="F147" s="16"/>
      <c r="G147" s="61"/>
      <c r="H147" s="62"/>
    </row>
    <row r="148" spans="2:8" hidden="1">
      <c r="B148" s="118"/>
      <c r="C148" s="59"/>
      <c r="D148" s="59"/>
      <c r="E148" s="895"/>
      <c r="F148" s="16"/>
      <c r="G148" s="61"/>
      <c r="H148" s="62"/>
    </row>
    <row r="149" spans="2:8" hidden="1">
      <c r="B149" s="118"/>
      <c r="C149" s="59"/>
      <c r="D149" s="59"/>
      <c r="E149" s="895"/>
      <c r="F149" s="16"/>
      <c r="G149" s="61"/>
      <c r="H149" s="62"/>
    </row>
    <row r="150" spans="2:8" ht="1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5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11</v>
      </c>
      <c r="C151" s="20"/>
      <c r="D151" s="21" t="s">
        <v>8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5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5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/>
      </c>
      <c r="C154" s="59" t="str">
        <f t="shared" si="56"/>
        <v/>
      </c>
      <c r="D154" s="5"/>
      <c r="E154" s="895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18" t="str">
        <f t="shared" ref="B155:C155" si="58">B111</f>
        <v/>
      </c>
      <c r="C155" s="59" t="str">
        <f t="shared" si="58"/>
        <v/>
      </c>
      <c r="D155" s="5"/>
      <c r="E155" s="895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5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5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5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5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5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5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5"/>
      <c r="F162" s="16"/>
      <c r="G162" s="6"/>
      <c r="H162" s="7"/>
    </row>
    <row r="163" spans="2:8" hidden="1">
      <c r="B163" s="118"/>
      <c r="C163" s="59"/>
      <c r="D163" s="5"/>
      <c r="E163" s="895"/>
      <c r="F163" s="16"/>
      <c r="G163" s="6"/>
      <c r="H163" s="7"/>
    </row>
    <row r="164" spans="2:8" hidden="1">
      <c r="B164" s="118"/>
      <c r="C164" s="59"/>
      <c r="D164" s="5"/>
      <c r="E164" s="895"/>
      <c r="F164" s="16"/>
      <c r="G164" s="6"/>
      <c r="H164" s="7"/>
    </row>
    <row r="165" spans="2:8" hidden="1">
      <c r="B165" s="118"/>
      <c r="C165" s="59"/>
      <c r="D165" s="5"/>
      <c r="E165" s="895"/>
      <c r="F165" s="16"/>
      <c r="G165" s="6"/>
      <c r="H165" s="7"/>
    </row>
    <row r="166" spans="2:8" hidden="1">
      <c r="B166" s="118"/>
      <c r="C166" s="59"/>
      <c r="D166" s="5"/>
      <c r="E166" s="895"/>
      <c r="F166" s="16"/>
      <c r="G166" s="6"/>
      <c r="H166" s="7"/>
    </row>
    <row r="167" spans="2:8" hidden="1">
      <c r="B167" s="118"/>
      <c r="C167" s="59"/>
      <c r="D167" s="5"/>
      <c r="E167" s="895"/>
      <c r="F167" s="16"/>
      <c r="G167" s="6"/>
      <c r="H167" s="7"/>
    </row>
    <row r="168" spans="2:8" hidden="1">
      <c r="B168" s="118"/>
      <c r="C168" s="59"/>
      <c r="D168" s="5"/>
      <c r="E168" s="895"/>
      <c r="F168" s="16"/>
      <c r="G168" s="6"/>
      <c r="H168" s="7"/>
    </row>
    <row r="169" spans="2:8" hidden="1">
      <c r="B169" s="118"/>
      <c r="C169" s="59"/>
      <c r="D169" s="5"/>
      <c r="E169" s="895"/>
      <c r="F169" s="16"/>
      <c r="G169" s="6"/>
      <c r="H169" s="7"/>
    </row>
    <row r="170" spans="2:8" hidden="1">
      <c r="B170" s="118"/>
      <c r="C170" s="59"/>
      <c r="D170" s="5"/>
      <c r="E170" s="895"/>
      <c r="F170" s="16"/>
      <c r="G170" s="6"/>
      <c r="H170" s="7"/>
    </row>
    <row r="171" spans="2:8" hidden="1">
      <c r="B171" s="118"/>
      <c r="C171" s="59"/>
      <c r="D171" s="5"/>
      <c r="E171" s="895"/>
      <c r="F171" s="16"/>
      <c r="G171" s="6"/>
      <c r="H171" s="7"/>
    </row>
    <row r="172" spans="2:8" ht="15" thickBot="1">
      <c r="B172" s="119" t="str">
        <f>B128</f>
        <v>OTHER</v>
      </c>
      <c r="C172" s="63" t="str">
        <f>C128</f>
        <v>Various non-key personnel</v>
      </c>
      <c r="D172" s="5"/>
      <c r="E172" s="895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12</v>
      </c>
      <c r="C173" s="20"/>
      <c r="D173" s="21" t="s">
        <v>8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5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5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/>
      </c>
      <c r="C176" s="59" t="str">
        <f t="shared" si="68"/>
        <v/>
      </c>
      <c r="D176" s="5"/>
      <c r="E176" s="895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18" t="str">
        <f t="shared" ref="B177:C177" si="70">B111</f>
        <v/>
      </c>
      <c r="C177" s="59" t="str">
        <f t="shared" si="70"/>
        <v/>
      </c>
      <c r="D177" s="5"/>
      <c r="E177" s="895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5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5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5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5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5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5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5"/>
      <c r="F184" s="16"/>
      <c r="G184" s="6"/>
      <c r="H184" s="7"/>
    </row>
    <row r="185" spans="2:8" hidden="1">
      <c r="B185" s="118"/>
      <c r="C185" s="59"/>
      <c r="D185" s="5"/>
      <c r="E185" s="895"/>
      <c r="F185" s="16"/>
      <c r="G185" s="6"/>
      <c r="H185" s="7"/>
    </row>
    <row r="186" spans="2:8" hidden="1">
      <c r="B186" s="118"/>
      <c r="C186" s="59"/>
      <c r="D186" s="5"/>
      <c r="E186" s="895"/>
      <c r="F186" s="16"/>
      <c r="G186" s="6"/>
      <c r="H186" s="7"/>
    </row>
    <row r="187" spans="2:8" hidden="1">
      <c r="B187" s="118"/>
      <c r="C187" s="59"/>
      <c r="D187" s="5"/>
      <c r="E187" s="895"/>
      <c r="F187" s="16"/>
      <c r="G187" s="6"/>
      <c r="H187" s="7"/>
    </row>
    <row r="188" spans="2:8" hidden="1">
      <c r="B188" s="118"/>
      <c r="C188" s="59"/>
      <c r="D188" s="5"/>
      <c r="E188" s="895"/>
      <c r="F188" s="16"/>
      <c r="G188" s="6"/>
      <c r="H188" s="7"/>
    </row>
    <row r="189" spans="2:8" hidden="1">
      <c r="B189" s="118"/>
      <c r="C189" s="59"/>
      <c r="D189" s="5"/>
      <c r="E189" s="895"/>
      <c r="F189" s="16"/>
      <c r="G189" s="6"/>
      <c r="H189" s="7"/>
    </row>
    <row r="190" spans="2:8" hidden="1">
      <c r="B190" s="118"/>
      <c r="C190" s="59"/>
      <c r="D190" s="5"/>
      <c r="E190" s="895"/>
      <c r="F190" s="16"/>
      <c r="G190" s="6"/>
      <c r="H190" s="7"/>
    </row>
    <row r="191" spans="2:8" hidden="1">
      <c r="B191" s="118"/>
      <c r="C191" s="59"/>
      <c r="D191" s="5"/>
      <c r="E191" s="895"/>
      <c r="F191" s="16"/>
      <c r="G191" s="6"/>
      <c r="H191" s="7"/>
    </row>
    <row r="192" spans="2:8" hidden="1">
      <c r="B192" s="118"/>
      <c r="C192" s="59"/>
      <c r="D192" s="5"/>
      <c r="E192" s="895"/>
      <c r="F192" s="16"/>
      <c r="G192" s="6"/>
      <c r="H192" s="7"/>
    </row>
    <row r="193" spans="2:8" hidden="1">
      <c r="B193" s="118"/>
      <c r="C193" s="59"/>
      <c r="D193" s="5"/>
      <c r="E193" s="895"/>
      <c r="F193" s="16"/>
      <c r="G193" s="6"/>
      <c r="H193" s="7"/>
    </row>
    <row r="194" spans="2:8" ht="1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6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6" t="s">
        <v>987</v>
      </c>
      <c r="C196" s="1" t="s">
        <v>988</v>
      </c>
    </row>
    <row r="204" spans="2:8" ht="15" thickBot="1">
      <c r="B204" s="1" t="s">
        <v>0</v>
      </c>
      <c r="C204" s="1" t="str">
        <f>IF('Pricing Schedule'!G19="n","NOT REQUIRED","")</f>
        <v/>
      </c>
      <c r="D204" s="11" t="s">
        <v>1</v>
      </c>
      <c r="E204" s="11" t="s">
        <v>2</v>
      </c>
      <c r="F204" s="216" t="s">
        <v>3</v>
      </c>
      <c r="G204" s="1"/>
      <c r="H204" s="1" t="s">
        <v>4</v>
      </c>
    </row>
    <row r="205" spans="2:8" ht="15" thickBot="1">
      <c r="B205" s="2" t="s">
        <v>5</v>
      </c>
      <c r="C205" s="3"/>
      <c r="D205" s="12"/>
      <c r="E205" s="12"/>
      <c r="F205" s="15"/>
      <c r="G205" s="3"/>
      <c r="H205" s="4"/>
    </row>
    <row r="206" spans="2:8" ht="15" thickBot="1">
      <c r="B206" s="30">
        <v>32.03</v>
      </c>
      <c r="C206" s="31" t="s">
        <v>209</v>
      </c>
      <c r="D206" s="215" t="s">
        <v>6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7</v>
      </c>
      <c r="C207" s="20"/>
      <c r="D207" s="21" t="s">
        <v>8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5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5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/>
      </c>
      <c r="C210" s="59" t="str">
        <f>$C$10</f>
        <v/>
      </c>
      <c r="D210" s="59"/>
      <c r="E210" s="895">
        <v>0</v>
      </c>
      <c r="F210" s="16" t="str">
        <f t="shared" ref="F210:F217" si="80">IF(B210="","",$F$207)</f>
        <v/>
      </c>
      <c r="G210" s="61" t="str">
        <f t="shared" si="79"/>
        <v/>
      </c>
      <c r="H210" s="62"/>
    </row>
    <row r="211" spans="2:8">
      <c r="B211" s="118" t="str">
        <f>$B$11</f>
        <v/>
      </c>
      <c r="C211" s="59" t="str">
        <f>$C$11</f>
        <v/>
      </c>
      <c r="D211" s="59"/>
      <c r="E211" s="895">
        <v>0</v>
      </c>
      <c r="F211" s="16" t="str">
        <f t="shared" si="80"/>
        <v/>
      </c>
      <c r="G211" s="61" t="str">
        <f t="shared" ref="G211:G217" si="81">IF(B211="","",(F211*E211))</f>
        <v/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5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5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5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5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5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5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5"/>
      <c r="F218" s="16"/>
      <c r="G218" s="61"/>
      <c r="H218" s="62"/>
    </row>
    <row r="219" spans="2:8" hidden="1">
      <c r="B219" s="118"/>
      <c r="C219" s="59"/>
      <c r="D219" s="59"/>
      <c r="E219" s="895"/>
      <c r="F219" s="16"/>
      <c r="G219" s="61"/>
      <c r="H219" s="62"/>
    </row>
    <row r="220" spans="2:8" hidden="1">
      <c r="B220" s="118"/>
      <c r="C220" s="59"/>
      <c r="D220" s="59"/>
      <c r="E220" s="895"/>
      <c r="F220" s="16"/>
      <c r="G220" s="61"/>
      <c r="H220" s="62"/>
    </row>
    <row r="221" spans="2:8" hidden="1">
      <c r="B221" s="118"/>
      <c r="C221" s="59"/>
      <c r="D221" s="59"/>
      <c r="E221" s="895"/>
      <c r="F221" s="16"/>
      <c r="G221" s="61"/>
      <c r="H221" s="62"/>
    </row>
    <row r="222" spans="2:8" hidden="1">
      <c r="B222" s="118"/>
      <c r="C222" s="59"/>
      <c r="D222" s="59"/>
      <c r="E222" s="895"/>
      <c r="F222" s="16"/>
      <c r="G222" s="61"/>
      <c r="H222" s="62"/>
    </row>
    <row r="223" spans="2:8" hidden="1">
      <c r="B223" s="118"/>
      <c r="C223" s="59"/>
      <c r="D223" s="59"/>
      <c r="E223" s="895"/>
      <c r="F223" s="16"/>
      <c r="G223" s="61"/>
      <c r="H223" s="62"/>
    </row>
    <row r="224" spans="2:8" hidden="1">
      <c r="B224" s="118"/>
      <c r="C224" s="59"/>
      <c r="D224" s="59"/>
      <c r="E224" s="895"/>
      <c r="F224" s="16"/>
      <c r="G224" s="61"/>
      <c r="H224" s="62"/>
    </row>
    <row r="225" spans="2:8" hidden="1">
      <c r="B225" s="118"/>
      <c r="C225" s="59"/>
      <c r="D225" s="59"/>
      <c r="E225" s="895"/>
      <c r="F225" s="16"/>
      <c r="G225" s="61"/>
      <c r="H225" s="62"/>
    </row>
    <row r="226" spans="2:8" hidden="1">
      <c r="B226" s="118"/>
      <c r="C226" s="59"/>
      <c r="D226" s="59"/>
      <c r="E226" s="895"/>
      <c r="F226" s="16"/>
      <c r="G226" s="61"/>
      <c r="H226" s="62"/>
    </row>
    <row r="227" spans="2:8" hidden="1">
      <c r="B227" s="118"/>
      <c r="C227" s="59"/>
      <c r="D227" s="59"/>
      <c r="E227" s="895"/>
      <c r="F227" s="16"/>
      <c r="G227" s="61"/>
      <c r="H227" s="62"/>
    </row>
    <row r="228" spans="2:8" ht="15" thickBot="1">
      <c r="B228" s="118" t="str">
        <f>$B$28</f>
        <v>OTHER</v>
      </c>
      <c r="C228" s="59" t="str">
        <f>$C$28</f>
        <v>Various non-key personnel</v>
      </c>
      <c r="D228" s="5"/>
      <c r="E228" s="895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</v>
      </c>
      <c r="C229" s="20"/>
      <c r="D229" s="21" t="s">
        <v>8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5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5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/>
      </c>
      <c r="C232" s="59" t="str">
        <f t="shared" si="84"/>
        <v/>
      </c>
      <c r="D232" s="59"/>
      <c r="E232" s="895">
        <v>0</v>
      </c>
      <c r="F232" s="16" t="str">
        <f t="shared" ref="F232:F239" si="85">IF(B232="","",$F$229)</f>
        <v/>
      </c>
      <c r="G232" s="61" t="str">
        <f t="shared" si="83"/>
        <v/>
      </c>
      <c r="H232" s="62"/>
    </row>
    <row r="233" spans="2:8">
      <c r="B233" s="118" t="str">
        <f t="shared" ref="B233:C233" si="86">B211</f>
        <v/>
      </c>
      <c r="C233" s="59" t="str">
        <f t="shared" si="86"/>
        <v/>
      </c>
      <c r="D233" s="59"/>
      <c r="E233" s="895">
        <v>0</v>
      </c>
      <c r="F233" s="16" t="str">
        <f t="shared" si="85"/>
        <v/>
      </c>
      <c r="G233" s="61" t="str">
        <f t="shared" ref="G233:G239" si="87">IF(B233="","",(F233*E233))</f>
        <v/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5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5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5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5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5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5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5"/>
      <c r="F240" s="16"/>
      <c r="G240" s="61"/>
      <c r="H240" s="62"/>
    </row>
    <row r="241" spans="2:8" hidden="1">
      <c r="B241" s="118"/>
      <c r="C241" s="59"/>
      <c r="D241" s="59"/>
      <c r="E241" s="895"/>
      <c r="F241" s="16"/>
      <c r="G241" s="61"/>
      <c r="H241" s="62"/>
    </row>
    <row r="242" spans="2:8" hidden="1">
      <c r="B242" s="118"/>
      <c r="C242" s="59"/>
      <c r="D242" s="59"/>
      <c r="E242" s="895"/>
      <c r="F242" s="16"/>
      <c r="G242" s="61"/>
      <c r="H242" s="62"/>
    </row>
    <row r="243" spans="2:8" hidden="1">
      <c r="B243" s="118"/>
      <c r="C243" s="59"/>
      <c r="D243" s="59"/>
      <c r="E243" s="895"/>
      <c r="F243" s="16"/>
      <c r="G243" s="61"/>
      <c r="H243" s="62"/>
    </row>
    <row r="244" spans="2:8" hidden="1">
      <c r="B244" s="118"/>
      <c r="C244" s="59"/>
      <c r="D244" s="59"/>
      <c r="E244" s="895"/>
      <c r="F244" s="16"/>
      <c r="G244" s="61"/>
      <c r="H244" s="62"/>
    </row>
    <row r="245" spans="2:8" hidden="1">
      <c r="B245" s="118"/>
      <c r="C245" s="59"/>
      <c r="D245" s="59"/>
      <c r="E245" s="895"/>
      <c r="F245" s="16"/>
      <c r="G245" s="61"/>
      <c r="H245" s="62"/>
    </row>
    <row r="246" spans="2:8" hidden="1">
      <c r="B246" s="118"/>
      <c r="C246" s="59"/>
      <c r="D246" s="59"/>
      <c r="E246" s="895"/>
      <c r="F246" s="16"/>
      <c r="G246" s="61"/>
      <c r="H246" s="62"/>
    </row>
    <row r="247" spans="2:8" hidden="1">
      <c r="B247" s="118"/>
      <c r="C247" s="59"/>
      <c r="D247" s="59"/>
      <c r="E247" s="895"/>
      <c r="F247" s="16"/>
      <c r="G247" s="61"/>
      <c r="H247" s="62"/>
    </row>
    <row r="248" spans="2:8" hidden="1">
      <c r="B248" s="118"/>
      <c r="C248" s="59"/>
      <c r="D248" s="59"/>
      <c r="E248" s="895"/>
      <c r="F248" s="16"/>
      <c r="G248" s="61"/>
      <c r="H248" s="62"/>
    </row>
    <row r="249" spans="2:8" hidden="1">
      <c r="B249" s="118"/>
      <c r="C249" s="59"/>
      <c r="D249" s="59"/>
      <c r="E249" s="895"/>
      <c r="F249" s="16"/>
      <c r="G249" s="61"/>
      <c r="H249" s="62"/>
    </row>
    <row r="250" spans="2:8" ht="1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5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11</v>
      </c>
      <c r="C251" s="20"/>
      <c r="D251" s="21" t="s">
        <v>8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5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5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/>
      </c>
      <c r="C254" s="59" t="str">
        <f t="shared" si="97"/>
        <v/>
      </c>
      <c r="D254" s="5"/>
      <c r="E254" s="895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18" t="str">
        <f t="shared" ref="B255:C255" si="99">B211</f>
        <v/>
      </c>
      <c r="C255" s="59" t="str">
        <f t="shared" si="99"/>
        <v/>
      </c>
      <c r="D255" s="5"/>
      <c r="E255" s="895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5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5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5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5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5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5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5"/>
      <c r="F262" s="16"/>
      <c r="G262" s="6"/>
      <c r="H262" s="7"/>
    </row>
    <row r="263" spans="2:8" hidden="1">
      <c r="B263" s="118"/>
      <c r="C263" s="59"/>
      <c r="D263" s="5"/>
      <c r="E263" s="895"/>
      <c r="F263" s="16"/>
      <c r="G263" s="6"/>
      <c r="H263" s="7"/>
    </row>
    <row r="264" spans="2:8" hidden="1">
      <c r="B264" s="118"/>
      <c r="C264" s="59"/>
      <c r="D264" s="5"/>
      <c r="E264" s="895"/>
      <c r="F264" s="16"/>
      <c r="G264" s="6"/>
      <c r="H264" s="7"/>
    </row>
    <row r="265" spans="2:8" hidden="1">
      <c r="B265" s="118"/>
      <c r="C265" s="59"/>
      <c r="D265" s="5"/>
      <c r="E265" s="895"/>
      <c r="F265" s="16"/>
      <c r="G265" s="6"/>
      <c r="H265" s="7"/>
    </row>
    <row r="266" spans="2:8" hidden="1">
      <c r="B266" s="118"/>
      <c r="C266" s="59"/>
      <c r="D266" s="5"/>
      <c r="E266" s="895"/>
      <c r="F266" s="16"/>
      <c r="G266" s="6"/>
      <c r="H266" s="7"/>
    </row>
    <row r="267" spans="2:8" hidden="1">
      <c r="B267" s="118"/>
      <c r="C267" s="59"/>
      <c r="D267" s="5"/>
      <c r="E267" s="895"/>
      <c r="F267" s="16"/>
      <c r="G267" s="6"/>
      <c r="H267" s="7"/>
    </row>
    <row r="268" spans="2:8" hidden="1">
      <c r="B268" s="118"/>
      <c r="C268" s="59"/>
      <c r="D268" s="5"/>
      <c r="E268" s="895"/>
      <c r="F268" s="16"/>
      <c r="G268" s="6"/>
      <c r="H268" s="7"/>
    </row>
    <row r="269" spans="2:8" hidden="1">
      <c r="B269" s="118"/>
      <c r="C269" s="59"/>
      <c r="D269" s="5"/>
      <c r="E269" s="895"/>
      <c r="F269" s="16"/>
      <c r="G269" s="6"/>
      <c r="H269" s="7"/>
    </row>
    <row r="270" spans="2:8" hidden="1">
      <c r="B270" s="118"/>
      <c r="C270" s="59"/>
      <c r="D270" s="5"/>
      <c r="E270" s="895"/>
      <c r="F270" s="16"/>
      <c r="G270" s="6"/>
      <c r="H270" s="7"/>
    </row>
    <row r="271" spans="2:8" hidden="1">
      <c r="B271" s="118"/>
      <c r="C271" s="59"/>
      <c r="D271" s="5"/>
      <c r="E271" s="895"/>
      <c r="F271" s="16"/>
      <c r="G271" s="6"/>
      <c r="H271" s="7"/>
    </row>
    <row r="272" spans="2:8" ht="15" thickBot="1">
      <c r="B272" s="119" t="str">
        <f>B228</f>
        <v>OTHER</v>
      </c>
      <c r="C272" s="63" t="str">
        <f>C228</f>
        <v>Various non-key personnel</v>
      </c>
      <c r="D272" s="5"/>
      <c r="E272" s="895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12</v>
      </c>
      <c r="C273" s="20"/>
      <c r="D273" s="21" t="s">
        <v>8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5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5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/>
      </c>
      <c r="C276" s="59" t="str">
        <f t="shared" si="109"/>
        <v/>
      </c>
      <c r="D276" s="5"/>
      <c r="E276" s="895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18" t="str">
        <f t="shared" ref="B277:C277" si="111">B211</f>
        <v/>
      </c>
      <c r="C277" s="59" t="str">
        <f t="shared" si="111"/>
        <v/>
      </c>
      <c r="D277" s="5"/>
      <c r="E277" s="895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5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5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5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5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5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5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5"/>
      <c r="F284" s="16"/>
      <c r="G284" s="6"/>
      <c r="H284" s="7"/>
    </row>
    <row r="285" spans="2:8" hidden="1">
      <c r="B285" s="118"/>
      <c r="C285" s="59"/>
      <c r="D285" s="5"/>
      <c r="E285" s="895"/>
      <c r="F285" s="16"/>
      <c r="G285" s="6"/>
      <c r="H285" s="7"/>
    </row>
    <row r="286" spans="2:8" hidden="1">
      <c r="B286" s="118"/>
      <c r="C286" s="59"/>
      <c r="D286" s="5"/>
      <c r="E286" s="895"/>
      <c r="F286" s="16"/>
      <c r="G286" s="6"/>
      <c r="H286" s="7"/>
    </row>
    <row r="287" spans="2:8" hidden="1">
      <c r="B287" s="118"/>
      <c r="C287" s="59"/>
      <c r="D287" s="5"/>
      <c r="E287" s="895"/>
      <c r="F287" s="16"/>
      <c r="G287" s="6"/>
      <c r="H287" s="7"/>
    </row>
    <row r="288" spans="2:8" hidden="1">
      <c r="B288" s="118"/>
      <c r="C288" s="59"/>
      <c r="D288" s="5"/>
      <c r="E288" s="895"/>
      <c r="F288" s="16"/>
      <c r="G288" s="6"/>
      <c r="H288" s="7"/>
    </row>
    <row r="289" spans="2:8" hidden="1">
      <c r="B289" s="118"/>
      <c r="C289" s="59"/>
      <c r="D289" s="5"/>
      <c r="E289" s="895"/>
      <c r="F289" s="16"/>
      <c r="G289" s="6"/>
      <c r="H289" s="7"/>
    </row>
    <row r="290" spans="2:8" hidden="1">
      <c r="B290" s="118"/>
      <c r="C290" s="59"/>
      <c r="D290" s="5"/>
      <c r="E290" s="895"/>
      <c r="F290" s="16"/>
      <c r="G290" s="6"/>
      <c r="H290" s="7"/>
    </row>
    <row r="291" spans="2:8" hidden="1">
      <c r="B291" s="118"/>
      <c r="C291" s="59"/>
      <c r="D291" s="5"/>
      <c r="E291" s="895"/>
      <c r="F291" s="16"/>
      <c r="G291" s="6"/>
      <c r="H291" s="7"/>
    </row>
    <row r="292" spans="2:8" hidden="1">
      <c r="B292" s="118"/>
      <c r="C292" s="59"/>
      <c r="D292" s="5"/>
      <c r="E292" s="895"/>
      <c r="F292" s="16"/>
      <c r="G292" s="6"/>
      <c r="H292" s="7"/>
    </row>
    <row r="293" spans="2:8" hidden="1">
      <c r="B293" s="118"/>
      <c r="C293" s="59"/>
      <c r="D293" s="5"/>
      <c r="E293" s="895"/>
      <c r="F293" s="16"/>
      <c r="G293" s="6"/>
      <c r="H293" s="7"/>
    </row>
    <row r="294" spans="2:8" ht="1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6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6" t="s">
        <v>987</v>
      </c>
      <c r="C296" s="1" t="s">
        <v>988</v>
      </c>
    </row>
    <row r="304" spans="2:8" ht="15" thickBot="1">
      <c r="B304" s="1" t="s">
        <v>0</v>
      </c>
      <c r="C304" s="1" t="str">
        <f>IF('Pricing Schedule'!G240="n","NOT REQUIRED","")</f>
        <v/>
      </c>
      <c r="D304" s="11" t="s">
        <v>1</v>
      </c>
      <c r="E304" s="11" t="s">
        <v>2</v>
      </c>
      <c r="F304" s="216" t="s">
        <v>3</v>
      </c>
      <c r="G304" s="1"/>
      <c r="H304" s="1" t="s">
        <v>4</v>
      </c>
    </row>
    <row r="305" spans="2:8" ht="15" thickBot="1">
      <c r="B305" s="2" t="s">
        <v>5</v>
      </c>
      <c r="C305" s="3"/>
      <c r="D305" s="12"/>
      <c r="E305" s="12"/>
      <c r="F305" s="15"/>
      <c r="G305" s="3"/>
      <c r="H305" s="4"/>
    </row>
    <row r="306" spans="2:8" ht="15" thickBot="1">
      <c r="B306" s="217" t="s">
        <v>210</v>
      </c>
      <c r="C306" s="31" t="s">
        <v>211</v>
      </c>
      <c r="D306" s="215" t="s">
        <v>6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7</v>
      </c>
      <c r="C307" s="20"/>
      <c r="D307" s="21" t="s">
        <v>8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5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5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/>
      </c>
      <c r="C310" s="59" t="str">
        <f>$C$10</f>
        <v/>
      </c>
      <c r="D310" s="59"/>
      <c r="E310" s="895">
        <v>0</v>
      </c>
      <c r="F310" s="16" t="str">
        <f t="shared" ref="F310:F317" si="121">IF(B310="","",$F$307)</f>
        <v/>
      </c>
      <c r="G310" s="61" t="str">
        <f t="shared" si="120"/>
        <v/>
      </c>
      <c r="H310" s="62"/>
    </row>
    <row r="311" spans="2:8">
      <c r="B311" s="118" t="str">
        <f>$B$11</f>
        <v/>
      </c>
      <c r="C311" s="59" t="str">
        <f>$C$11</f>
        <v/>
      </c>
      <c r="D311" s="59"/>
      <c r="E311" s="895">
        <v>0</v>
      </c>
      <c r="F311" s="16" t="str">
        <f t="shared" si="121"/>
        <v/>
      </c>
      <c r="G311" s="61" t="str">
        <f t="shared" ref="G311:G317" si="122">IF(B311="","",(F311*E311))</f>
        <v/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5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5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5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5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5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5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5"/>
      <c r="F318" s="16"/>
      <c r="G318" s="61"/>
      <c r="H318" s="62"/>
    </row>
    <row r="319" spans="2:8" hidden="1">
      <c r="B319" s="118"/>
      <c r="C319" s="59"/>
      <c r="D319" s="59"/>
      <c r="E319" s="895"/>
      <c r="F319" s="16"/>
      <c r="G319" s="61"/>
      <c r="H319" s="62"/>
    </row>
    <row r="320" spans="2:8" hidden="1">
      <c r="B320" s="118"/>
      <c r="C320" s="59"/>
      <c r="D320" s="59"/>
      <c r="E320" s="895"/>
      <c r="F320" s="16"/>
      <c r="G320" s="61"/>
      <c r="H320" s="62"/>
    </row>
    <row r="321" spans="2:8" hidden="1">
      <c r="B321" s="118"/>
      <c r="C321" s="59"/>
      <c r="D321" s="59"/>
      <c r="E321" s="895"/>
      <c r="F321" s="16"/>
      <c r="G321" s="61"/>
      <c r="H321" s="62"/>
    </row>
    <row r="322" spans="2:8" hidden="1">
      <c r="B322" s="118"/>
      <c r="C322" s="59"/>
      <c r="D322" s="59"/>
      <c r="E322" s="895"/>
      <c r="F322" s="16"/>
      <c r="G322" s="61"/>
      <c r="H322" s="62"/>
    </row>
    <row r="323" spans="2:8" hidden="1">
      <c r="B323" s="118"/>
      <c r="C323" s="59"/>
      <c r="D323" s="59"/>
      <c r="E323" s="895"/>
      <c r="F323" s="16"/>
      <c r="G323" s="61"/>
      <c r="H323" s="62"/>
    </row>
    <row r="324" spans="2:8" hidden="1">
      <c r="B324" s="118"/>
      <c r="C324" s="59"/>
      <c r="D324" s="59"/>
      <c r="E324" s="895"/>
      <c r="F324" s="16"/>
      <c r="G324" s="61"/>
      <c r="H324" s="62"/>
    </row>
    <row r="325" spans="2:8" hidden="1">
      <c r="B325" s="118"/>
      <c r="C325" s="59"/>
      <c r="D325" s="59"/>
      <c r="E325" s="895"/>
      <c r="F325" s="16"/>
      <c r="G325" s="61"/>
      <c r="H325" s="62"/>
    </row>
    <row r="326" spans="2:8" hidden="1">
      <c r="B326" s="118"/>
      <c r="C326" s="59"/>
      <c r="D326" s="59"/>
      <c r="E326" s="895"/>
      <c r="F326" s="16"/>
      <c r="G326" s="61"/>
      <c r="H326" s="62"/>
    </row>
    <row r="327" spans="2:8" hidden="1">
      <c r="B327" s="118"/>
      <c r="C327" s="59"/>
      <c r="D327" s="59"/>
      <c r="E327" s="895"/>
      <c r="F327" s="16"/>
      <c r="G327" s="61"/>
      <c r="H327" s="62"/>
    </row>
    <row r="328" spans="2:8" ht="15" thickBot="1">
      <c r="B328" s="118" t="str">
        <f>$B$28</f>
        <v>OTHER</v>
      </c>
      <c r="C328" s="59" t="str">
        <f>$C$28</f>
        <v>Various non-key personnel</v>
      </c>
      <c r="D328" s="5"/>
      <c r="E328" s="895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</v>
      </c>
      <c r="C329" s="20"/>
      <c r="D329" s="21" t="s">
        <v>8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5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5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/>
      </c>
      <c r="C332" s="59" t="str">
        <f t="shared" si="125"/>
        <v/>
      </c>
      <c r="D332" s="59"/>
      <c r="E332" s="895">
        <v>0</v>
      </c>
      <c r="F332" s="16" t="str">
        <f t="shared" ref="F332:F339" si="126">IF(B332="","",$F$329)</f>
        <v/>
      </c>
      <c r="G332" s="61" t="str">
        <f t="shared" si="124"/>
        <v/>
      </c>
      <c r="H332" s="62"/>
    </row>
    <row r="333" spans="2:8">
      <c r="B333" s="118" t="str">
        <f t="shared" ref="B333:C333" si="127">B311</f>
        <v/>
      </c>
      <c r="C333" s="59" t="str">
        <f t="shared" si="127"/>
        <v/>
      </c>
      <c r="D333" s="59"/>
      <c r="E333" s="895">
        <v>0</v>
      </c>
      <c r="F333" s="16" t="str">
        <f t="shared" si="126"/>
        <v/>
      </c>
      <c r="G333" s="61" t="str">
        <f t="shared" ref="G333:G339" si="128">IF(B333="","",(F333*E333))</f>
        <v/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5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5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5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5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5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5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5"/>
      <c r="F340" s="16"/>
      <c r="G340" s="61"/>
      <c r="H340" s="62"/>
    </row>
    <row r="341" spans="2:8" hidden="1">
      <c r="B341" s="118"/>
      <c r="C341" s="59"/>
      <c r="D341" s="59"/>
      <c r="E341" s="895"/>
      <c r="F341" s="16"/>
      <c r="G341" s="61"/>
      <c r="H341" s="62"/>
    </row>
    <row r="342" spans="2:8" hidden="1">
      <c r="B342" s="118"/>
      <c r="C342" s="59"/>
      <c r="D342" s="59"/>
      <c r="E342" s="895"/>
      <c r="F342" s="16"/>
      <c r="G342" s="61"/>
      <c r="H342" s="62"/>
    </row>
    <row r="343" spans="2:8" hidden="1">
      <c r="B343" s="118"/>
      <c r="C343" s="59"/>
      <c r="D343" s="59"/>
      <c r="E343" s="895"/>
      <c r="F343" s="16"/>
      <c r="G343" s="61"/>
      <c r="H343" s="62"/>
    </row>
    <row r="344" spans="2:8" hidden="1">
      <c r="B344" s="118"/>
      <c r="C344" s="59"/>
      <c r="D344" s="59"/>
      <c r="E344" s="895"/>
      <c r="F344" s="16"/>
      <c r="G344" s="61"/>
      <c r="H344" s="62"/>
    </row>
    <row r="345" spans="2:8" hidden="1">
      <c r="B345" s="118"/>
      <c r="C345" s="59"/>
      <c r="D345" s="59"/>
      <c r="E345" s="895"/>
      <c r="F345" s="16"/>
      <c r="G345" s="61"/>
      <c r="H345" s="62"/>
    </row>
    <row r="346" spans="2:8" hidden="1">
      <c r="B346" s="118"/>
      <c r="C346" s="59"/>
      <c r="D346" s="59"/>
      <c r="E346" s="895"/>
      <c r="F346" s="16"/>
      <c r="G346" s="61"/>
      <c r="H346" s="62"/>
    </row>
    <row r="347" spans="2:8" hidden="1">
      <c r="B347" s="118"/>
      <c r="C347" s="59"/>
      <c r="D347" s="59"/>
      <c r="E347" s="895"/>
      <c r="F347" s="16"/>
      <c r="G347" s="61"/>
      <c r="H347" s="62"/>
    </row>
    <row r="348" spans="2:8" hidden="1">
      <c r="B348" s="118"/>
      <c r="C348" s="59"/>
      <c r="D348" s="59"/>
      <c r="E348" s="895"/>
      <c r="F348" s="16"/>
      <c r="G348" s="61"/>
      <c r="H348" s="62"/>
    </row>
    <row r="349" spans="2:8" hidden="1">
      <c r="B349" s="118"/>
      <c r="C349" s="59"/>
      <c r="D349" s="59"/>
      <c r="E349" s="895"/>
      <c r="F349" s="16"/>
      <c r="G349" s="61"/>
      <c r="H349" s="62"/>
    </row>
    <row r="350" spans="2:8" ht="1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5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11</v>
      </c>
      <c r="C351" s="20"/>
      <c r="D351" s="21" t="s">
        <v>8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5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5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/>
      </c>
      <c r="C354" s="59" t="str">
        <f t="shared" si="138"/>
        <v/>
      </c>
      <c r="D354" s="5"/>
      <c r="E354" s="895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18" t="str">
        <f t="shared" ref="B355:C355" si="140">B311</f>
        <v/>
      </c>
      <c r="C355" s="59" t="str">
        <f t="shared" si="140"/>
        <v/>
      </c>
      <c r="D355" s="5"/>
      <c r="E355" s="895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5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5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5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5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5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5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5"/>
      <c r="F362" s="16"/>
      <c r="G362" s="6"/>
      <c r="H362" s="7"/>
    </row>
    <row r="363" spans="2:8" hidden="1">
      <c r="B363" s="118"/>
      <c r="C363" s="59"/>
      <c r="D363" s="5"/>
      <c r="E363" s="895"/>
      <c r="F363" s="16"/>
      <c r="G363" s="6"/>
      <c r="H363" s="7"/>
    </row>
    <row r="364" spans="2:8" hidden="1">
      <c r="B364" s="118"/>
      <c r="C364" s="59"/>
      <c r="D364" s="5"/>
      <c r="E364" s="895"/>
      <c r="F364" s="16"/>
      <c r="G364" s="6"/>
      <c r="H364" s="7"/>
    </row>
    <row r="365" spans="2:8" hidden="1">
      <c r="B365" s="118"/>
      <c r="C365" s="59"/>
      <c r="D365" s="5"/>
      <c r="E365" s="895"/>
      <c r="F365" s="16"/>
      <c r="G365" s="6"/>
      <c r="H365" s="7"/>
    </row>
    <row r="366" spans="2:8" hidden="1">
      <c r="B366" s="118"/>
      <c r="C366" s="59"/>
      <c r="D366" s="5"/>
      <c r="E366" s="895"/>
      <c r="F366" s="16"/>
      <c r="G366" s="6"/>
      <c r="H366" s="7"/>
    </row>
    <row r="367" spans="2:8" hidden="1">
      <c r="B367" s="118"/>
      <c r="C367" s="59"/>
      <c r="D367" s="5"/>
      <c r="E367" s="895"/>
      <c r="F367" s="16"/>
      <c r="G367" s="6"/>
      <c r="H367" s="7"/>
    </row>
    <row r="368" spans="2:8" hidden="1">
      <c r="B368" s="118"/>
      <c r="C368" s="59"/>
      <c r="D368" s="5"/>
      <c r="E368" s="895"/>
      <c r="F368" s="16"/>
      <c r="G368" s="6"/>
      <c r="H368" s="7"/>
    </row>
    <row r="369" spans="2:8" hidden="1">
      <c r="B369" s="118"/>
      <c r="C369" s="59"/>
      <c r="D369" s="5"/>
      <c r="E369" s="895"/>
      <c r="F369" s="16"/>
      <c r="G369" s="6"/>
      <c r="H369" s="7"/>
    </row>
    <row r="370" spans="2:8" hidden="1">
      <c r="B370" s="118"/>
      <c r="C370" s="59"/>
      <c r="D370" s="5"/>
      <c r="E370" s="895"/>
      <c r="F370" s="16"/>
      <c r="G370" s="6"/>
      <c r="H370" s="7"/>
    </row>
    <row r="371" spans="2:8" hidden="1">
      <c r="B371" s="118"/>
      <c r="C371" s="59"/>
      <c r="D371" s="5"/>
      <c r="E371" s="895"/>
      <c r="F371" s="16"/>
      <c r="G371" s="6"/>
      <c r="H371" s="7"/>
    </row>
    <row r="372" spans="2:8" ht="15" thickBot="1">
      <c r="B372" s="119" t="str">
        <f>B328</f>
        <v>OTHER</v>
      </c>
      <c r="C372" s="63" t="str">
        <f>C328</f>
        <v>Various non-key personnel</v>
      </c>
      <c r="D372" s="5"/>
      <c r="E372" s="895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12</v>
      </c>
      <c r="C373" s="20"/>
      <c r="D373" s="21" t="s">
        <v>8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5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5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/>
      </c>
      <c r="C376" s="59" t="str">
        <f t="shared" si="150"/>
        <v/>
      </c>
      <c r="D376" s="5"/>
      <c r="E376" s="895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18" t="str">
        <f t="shared" ref="B377:C377" si="152">B311</f>
        <v/>
      </c>
      <c r="C377" s="59" t="str">
        <f t="shared" si="152"/>
        <v/>
      </c>
      <c r="D377" s="5"/>
      <c r="E377" s="895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5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5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5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5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5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5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5"/>
      <c r="F384" s="16"/>
      <c r="G384" s="6"/>
      <c r="H384" s="7"/>
    </row>
    <row r="385" spans="2:8" hidden="1">
      <c r="B385" s="118"/>
      <c r="C385" s="59"/>
      <c r="D385" s="5"/>
      <c r="E385" s="895"/>
      <c r="F385" s="16"/>
      <c r="G385" s="6"/>
      <c r="H385" s="7"/>
    </row>
    <row r="386" spans="2:8" hidden="1">
      <c r="B386" s="118"/>
      <c r="C386" s="59"/>
      <c r="D386" s="5"/>
      <c r="E386" s="895"/>
      <c r="F386" s="16"/>
      <c r="G386" s="6"/>
      <c r="H386" s="7"/>
    </row>
    <row r="387" spans="2:8" hidden="1">
      <c r="B387" s="118"/>
      <c r="C387" s="59"/>
      <c r="D387" s="5"/>
      <c r="E387" s="895"/>
      <c r="F387" s="16"/>
      <c r="G387" s="6"/>
      <c r="H387" s="7"/>
    </row>
    <row r="388" spans="2:8" hidden="1">
      <c r="B388" s="118"/>
      <c r="C388" s="59"/>
      <c r="D388" s="5"/>
      <c r="E388" s="895"/>
      <c r="F388" s="16"/>
      <c r="G388" s="6"/>
      <c r="H388" s="7"/>
    </row>
    <row r="389" spans="2:8" hidden="1">
      <c r="B389" s="118"/>
      <c r="C389" s="59"/>
      <c r="D389" s="5"/>
      <c r="E389" s="895"/>
      <c r="F389" s="16"/>
      <c r="G389" s="6"/>
      <c r="H389" s="7"/>
    </row>
    <row r="390" spans="2:8" hidden="1">
      <c r="B390" s="118"/>
      <c r="C390" s="59"/>
      <c r="D390" s="5"/>
      <c r="E390" s="895"/>
      <c r="F390" s="16"/>
      <c r="G390" s="6"/>
      <c r="H390" s="7"/>
    </row>
    <row r="391" spans="2:8" hidden="1">
      <c r="B391" s="118"/>
      <c r="C391" s="59"/>
      <c r="D391" s="5"/>
      <c r="E391" s="895"/>
      <c r="F391" s="16"/>
      <c r="G391" s="6"/>
      <c r="H391" s="7"/>
    </row>
    <row r="392" spans="2:8" hidden="1">
      <c r="B392" s="118"/>
      <c r="C392" s="59"/>
      <c r="D392" s="5"/>
      <c r="E392" s="895"/>
      <c r="F392" s="16"/>
      <c r="G392" s="6"/>
      <c r="H392" s="7"/>
    </row>
    <row r="393" spans="2:8" hidden="1">
      <c r="B393" s="118"/>
      <c r="C393" s="59"/>
      <c r="D393" s="5"/>
      <c r="E393" s="895"/>
      <c r="F393" s="16"/>
      <c r="G393" s="6"/>
      <c r="H393" s="7"/>
    </row>
    <row r="394" spans="2:8" ht="1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6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6" t="s">
        <v>987</v>
      </c>
      <c r="C396" s="1" t="s">
        <v>988</v>
      </c>
    </row>
    <row r="404" spans="2:8" ht="15" thickBot="1">
      <c r="B404" s="1" t="s">
        <v>0</v>
      </c>
      <c r="C404" s="1" t="str">
        <f>IF('Pricing Schedule'!G250="n","NOT REQUIRED","")</f>
        <v/>
      </c>
      <c r="D404" s="11" t="s">
        <v>1</v>
      </c>
      <c r="E404" s="11" t="s">
        <v>2</v>
      </c>
      <c r="F404" s="216" t="s">
        <v>3</v>
      </c>
      <c r="G404" s="1"/>
      <c r="H404" s="1" t="s">
        <v>4</v>
      </c>
    </row>
    <row r="405" spans="2:8" ht="15" thickBot="1">
      <c r="B405" s="2" t="s">
        <v>5</v>
      </c>
      <c r="C405" s="3"/>
      <c r="D405" s="12"/>
      <c r="E405" s="12"/>
      <c r="F405" s="15"/>
      <c r="G405" s="3"/>
      <c r="H405" s="4"/>
    </row>
    <row r="406" spans="2:8" ht="15" thickBot="1">
      <c r="B406" s="217">
        <v>36.020000000000003</v>
      </c>
      <c r="C406" s="31" t="s">
        <v>215</v>
      </c>
      <c r="D406" s="215" t="s">
        <v>6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7</v>
      </c>
      <c r="C407" s="20"/>
      <c r="D407" s="21" t="s">
        <v>8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5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5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/>
      </c>
      <c r="C410" s="59" t="str">
        <f>$C$10</f>
        <v/>
      </c>
      <c r="D410" s="59"/>
      <c r="E410" s="895">
        <v>0</v>
      </c>
      <c r="F410" s="16" t="str">
        <f t="shared" ref="F410:F417" si="162">IF(B410="","",$F$407)</f>
        <v/>
      </c>
      <c r="G410" s="61" t="str">
        <f t="shared" si="161"/>
        <v/>
      </c>
      <c r="H410" s="62"/>
    </row>
    <row r="411" spans="2:8">
      <c r="B411" s="118" t="str">
        <f>$B$11</f>
        <v/>
      </c>
      <c r="C411" s="59" t="str">
        <f>$C$11</f>
        <v/>
      </c>
      <c r="D411" s="59"/>
      <c r="E411" s="895">
        <v>0</v>
      </c>
      <c r="F411" s="16" t="str">
        <f t="shared" si="162"/>
        <v/>
      </c>
      <c r="G411" s="61" t="str">
        <f t="shared" ref="G411:G417" si="163">IF(B411="","",(F411*E411))</f>
        <v/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5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5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5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5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5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5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5"/>
      <c r="F418" s="16"/>
      <c r="G418" s="61"/>
      <c r="H418" s="62"/>
    </row>
    <row r="419" spans="2:8" hidden="1">
      <c r="B419" s="118"/>
      <c r="C419" s="59"/>
      <c r="D419" s="59"/>
      <c r="E419" s="895"/>
      <c r="F419" s="16"/>
      <c r="G419" s="61"/>
      <c r="H419" s="62"/>
    </row>
    <row r="420" spans="2:8" hidden="1">
      <c r="B420" s="118"/>
      <c r="C420" s="59"/>
      <c r="D420" s="59"/>
      <c r="E420" s="895"/>
      <c r="F420" s="16"/>
      <c r="G420" s="61"/>
      <c r="H420" s="62"/>
    </row>
    <row r="421" spans="2:8" hidden="1">
      <c r="B421" s="118"/>
      <c r="C421" s="59"/>
      <c r="D421" s="59"/>
      <c r="E421" s="895"/>
      <c r="F421" s="16"/>
      <c r="G421" s="61"/>
      <c r="H421" s="62"/>
    </row>
    <row r="422" spans="2:8" hidden="1">
      <c r="B422" s="118"/>
      <c r="C422" s="59"/>
      <c r="D422" s="59"/>
      <c r="E422" s="895"/>
      <c r="F422" s="16"/>
      <c r="G422" s="61"/>
      <c r="H422" s="62"/>
    </row>
    <row r="423" spans="2:8" hidden="1">
      <c r="B423" s="118"/>
      <c r="C423" s="59"/>
      <c r="D423" s="59"/>
      <c r="E423" s="895"/>
      <c r="F423" s="16"/>
      <c r="G423" s="61"/>
      <c r="H423" s="62"/>
    </row>
    <row r="424" spans="2:8" hidden="1">
      <c r="B424" s="118"/>
      <c r="C424" s="59"/>
      <c r="D424" s="59"/>
      <c r="E424" s="895"/>
      <c r="F424" s="16"/>
      <c r="G424" s="61"/>
      <c r="H424" s="62"/>
    </row>
    <row r="425" spans="2:8" hidden="1">
      <c r="B425" s="118"/>
      <c r="C425" s="59"/>
      <c r="D425" s="59"/>
      <c r="E425" s="895"/>
      <c r="F425" s="16"/>
      <c r="G425" s="61"/>
      <c r="H425" s="62"/>
    </row>
    <row r="426" spans="2:8" hidden="1">
      <c r="B426" s="118"/>
      <c r="C426" s="59"/>
      <c r="D426" s="59"/>
      <c r="E426" s="895"/>
      <c r="F426" s="16"/>
      <c r="G426" s="61"/>
      <c r="H426" s="62"/>
    </row>
    <row r="427" spans="2:8" hidden="1">
      <c r="B427" s="118"/>
      <c r="C427" s="59"/>
      <c r="D427" s="59"/>
      <c r="E427" s="895"/>
      <c r="F427" s="16"/>
      <c r="G427" s="61"/>
      <c r="H427" s="62"/>
    </row>
    <row r="428" spans="2:8" ht="15" thickBot="1">
      <c r="B428" s="118" t="str">
        <f>$B$28</f>
        <v>OTHER</v>
      </c>
      <c r="C428" s="59" t="str">
        <f>$C$28</f>
        <v>Various non-key personnel</v>
      </c>
      <c r="D428" s="5"/>
      <c r="E428" s="895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</v>
      </c>
      <c r="C429" s="20"/>
      <c r="D429" s="21" t="s">
        <v>8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5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5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/>
      </c>
      <c r="C432" s="59" t="str">
        <f t="shared" si="166"/>
        <v/>
      </c>
      <c r="D432" s="59"/>
      <c r="E432" s="895">
        <v>0</v>
      </c>
      <c r="F432" s="16" t="str">
        <f t="shared" ref="F432:F439" si="167">IF(B432="","",$F$429)</f>
        <v/>
      </c>
      <c r="G432" s="61" t="str">
        <f t="shared" si="165"/>
        <v/>
      </c>
      <c r="H432" s="62"/>
    </row>
    <row r="433" spans="2:8">
      <c r="B433" s="118" t="str">
        <f t="shared" ref="B433:C433" si="168">B411</f>
        <v/>
      </c>
      <c r="C433" s="59" t="str">
        <f t="shared" si="168"/>
        <v/>
      </c>
      <c r="D433" s="59"/>
      <c r="E433" s="895">
        <v>0</v>
      </c>
      <c r="F433" s="16" t="str">
        <f t="shared" si="167"/>
        <v/>
      </c>
      <c r="G433" s="61" t="str">
        <f t="shared" ref="G433:G439" si="169">IF(B433="","",(F433*E433))</f>
        <v/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5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5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5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5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5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5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5"/>
      <c r="F440" s="16"/>
      <c r="G440" s="61"/>
      <c r="H440" s="62"/>
    </row>
    <row r="441" spans="2:8" hidden="1">
      <c r="B441" s="118"/>
      <c r="C441" s="59"/>
      <c r="D441" s="59"/>
      <c r="E441" s="895"/>
      <c r="F441" s="16"/>
      <c r="G441" s="61"/>
      <c r="H441" s="62"/>
    </row>
    <row r="442" spans="2:8" hidden="1">
      <c r="B442" s="118"/>
      <c r="C442" s="59"/>
      <c r="D442" s="59"/>
      <c r="E442" s="895"/>
      <c r="F442" s="16"/>
      <c r="G442" s="61"/>
      <c r="H442" s="62"/>
    </row>
    <row r="443" spans="2:8" hidden="1">
      <c r="B443" s="118"/>
      <c r="C443" s="59"/>
      <c r="D443" s="59"/>
      <c r="E443" s="895"/>
      <c r="F443" s="16"/>
      <c r="G443" s="61"/>
      <c r="H443" s="62"/>
    </row>
    <row r="444" spans="2:8" hidden="1">
      <c r="B444" s="118"/>
      <c r="C444" s="59"/>
      <c r="D444" s="59"/>
      <c r="E444" s="895"/>
      <c r="F444" s="16"/>
      <c r="G444" s="61"/>
      <c r="H444" s="62"/>
    </row>
    <row r="445" spans="2:8" hidden="1">
      <c r="B445" s="118"/>
      <c r="C445" s="59"/>
      <c r="D445" s="59"/>
      <c r="E445" s="895"/>
      <c r="F445" s="16"/>
      <c r="G445" s="61"/>
      <c r="H445" s="62"/>
    </row>
    <row r="446" spans="2:8" hidden="1">
      <c r="B446" s="118"/>
      <c r="C446" s="59"/>
      <c r="D446" s="59"/>
      <c r="E446" s="895"/>
      <c r="F446" s="16"/>
      <c r="G446" s="61"/>
      <c r="H446" s="62"/>
    </row>
    <row r="447" spans="2:8" hidden="1">
      <c r="B447" s="118"/>
      <c r="C447" s="59"/>
      <c r="D447" s="59"/>
      <c r="E447" s="895"/>
      <c r="F447" s="16"/>
      <c r="G447" s="61"/>
      <c r="H447" s="62"/>
    </row>
    <row r="448" spans="2:8" hidden="1">
      <c r="B448" s="118"/>
      <c r="C448" s="59"/>
      <c r="D448" s="59"/>
      <c r="E448" s="895"/>
      <c r="F448" s="16"/>
      <c r="G448" s="61"/>
      <c r="H448" s="62"/>
    </row>
    <row r="449" spans="2:8" hidden="1">
      <c r="B449" s="118"/>
      <c r="C449" s="59"/>
      <c r="D449" s="59"/>
      <c r="E449" s="895"/>
      <c r="F449" s="16"/>
      <c r="G449" s="61"/>
      <c r="H449" s="62"/>
    </row>
    <row r="450" spans="2:8" ht="1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5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11</v>
      </c>
      <c r="C451" s="20"/>
      <c r="D451" s="21" t="s">
        <v>8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5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5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/>
      </c>
      <c r="C454" s="59" t="str">
        <f t="shared" si="179"/>
        <v/>
      </c>
      <c r="D454" s="5"/>
      <c r="E454" s="895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18" t="str">
        <f t="shared" ref="B455:C455" si="181">B411</f>
        <v/>
      </c>
      <c r="C455" s="59" t="str">
        <f t="shared" si="181"/>
        <v/>
      </c>
      <c r="D455" s="5"/>
      <c r="E455" s="895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5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5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5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5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5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5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5"/>
      <c r="F462" s="16"/>
      <c r="G462" s="6"/>
      <c r="H462" s="7"/>
    </row>
    <row r="463" spans="2:8" hidden="1">
      <c r="B463" s="118"/>
      <c r="C463" s="59"/>
      <c r="D463" s="5"/>
      <c r="E463" s="895"/>
      <c r="F463" s="16"/>
      <c r="G463" s="6"/>
      <c r="H463" s="7"/>
    </row>
    <row r="464" spans="2:8" hidden="1">
      <c r="B464" s="118"/>
      <c r="C464" s="59"/>
      <c r="D464" s="5"/>
      <c r="E464" s="895"/>
      <c r="F464" s="16"/>
      <c r="G464" s="6"/>
      <c r="H464" s="7"/>
    </row>
    <row r="465" spans="2:8" hidden="1">
      <c r="B465" s="118"/>
      <c r="C465" s="59"/>
      <c r="D465" s="5"/>
      <c r="E465" s="895"/>
      <c r="F465" s="16"/>
      <c r="G465" s="6"/>
      <c r="H465" s="7"/>
    </row>
    <row r="466" spans="2:8" hidden="1">
      <c r="B466" s="118"/>
      <c r="C466" s="59"/>
      <c r="D466" s="5"/>
      <c r="E466" s="895"/>
      <c r="F466" s="16"/>
      <c r="G466" s="6"/>
      <c r="H466" s="7"/>
    </row>
    <row r="467" spans="2:8" hidden="1">
      <c r="B467" s="118"/>
      <c r="C467" s="59"/>
      <c r="D467" s="5"/>
      <c r="E467" s="895"/>
      <c r="F467" s="16"/>
      <c r="G467" s="6"/>
      <c r="H467" s="7"/>
    </row>
    <row r="468" spans="2:8" hidden="1">
      <c r="B468" s="118"/>
      <c r="C468" s="59"/>
      <c r="D468" s="5"/>
      <c r="E468" s="895"/>
      <c r="F468" s="16"/>
      <c r="G468" s="6"/>
      <c r="H468" s="7"/>
    </row>
    <row r="469" spans="2:8" hidden="1">
      <c r="B469" s="118"/>
      <c r="C469" s="59"/>
      <c r="D469" s="5"/>
      <c r="E469" s="895"/>
      <c r="F469" s="16"/>
      <c r="G469" s="6"/>
      <c r="H469" s="7"/>
    </row>
    <row r="470" spans="2:8" hidden="1">
      <c r="B470" s="118"/>
      <c r="C470" s="59"/>
      <c r="D470" s="5"/>
      <c r="E470" s="895"/>
      <c r="F470" s="16"/>
      <c r="G470" s="6"/>
      <c r="H470" s="7"/>
    </row>
    <row r="471" spans="2:8" hidden="1">
      <c r="B471" s="118"/>
      <c r="C471" s="59"/>
      <c r="D471" s="5"/>
      <c r="E471" s="895"/>
      <c r="F471" s="16"/>
      <c r="G471" s="6"/>
      <c r="H471" s="7"/>
    </row>
    <row r="472" spans="2:8" ht="15" thickBot="1">
      <c r="B472" s="119" t="str">
        <f>B428</f>
        <v>OTHER</v>
      </c>
      <c r="C472" s="63" t="str">
        <f>C428</f>
        <v>Various non-key personnel</v>
      </c>
      <c r="D472" s="5"/>
      <c r="E472" s="895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12</v>
      </c>
      <c r="C473" s="20"/>
      <c r="D473" s="21" t="s">
        <v>8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5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5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/>
      </c>
      <c r="C476" s="59" t="str">
        <f t="shared" si="191"/>
        <v/>
      </c>
      <c r="D476" s="5"/>
      <c r="E476" s="895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18" t="str">
        <f t="shared" ref="B477:C477" si="193">B411</f>
        <v/>
      </c>
      <c r="C477" s="59" t="str">
        <f t="shared" si="193"/>
        <v/>
      </c>
      <c r="D477" s="5"/>
      <c r="E477" s="895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5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5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5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5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5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5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5"/>
      <c r="F484" s="16"/>
      <c r="G484" s="6"/>
      <c r="H484" s="7"/>
    </row>
    <row r="485" spans="2:8" hidden="1">
      <c r="B485" s="118"/>
      <c r="C485" s="59"/>
      <c r="D485" s="5"/>
      <c r="E485" s="895"/>
      <c r="F485" s="16"/>
      <c r="G485" s="6"/>
      <c r="H485" s="7"/>
    </row>
    <row r="486" spans="2:8" hidden="1">
      <c r="B486" s="118"/>
      <c r="C486" s="59"/>
      <c r="D486" s="5"/>
      <c r="E486" s="895"/>
      <c r="F486" s="16"/>
      <c r="G486" s="6"/>
      <c r="H486" s="7"/>
    </row>
    <row r="487" spans="2:8" hidden="1">
      <c r="B487" s="118"/>
      <c r="C487" s="59"/>
      <c r="D487" s="5"/>
      <c r="E487" s="895"/>
      <c r="F487" s="16"/>
      <c r="G487" s="6"/>
      <c r="H487" s="7"/>
    </row>
    <row r="488" spans="2:8" hidden="1">
      <c r="B488" s="118"/>
      <c r="C488" s="59"/>
      <c r="D488" s="5"/>
      <c r="E488" s="895"/>
      <c r="F488" s="16"/>
      <c r="G488" s="6"/>
      <c r="H488" s="7"/>
    </row>
    <row r="489" spans="2:8" hidden="1">
      <c r="B489" s="118"/>
      <c r="C489" s="59"/>
      <c r="D489" s="5"/>
      <c r="E489" s="895"/>
      <c r="F489" s="16"/>
      <c r="G489" s="6"/>
      <c r="H489" s="7"/>
    </row>
    <row r="490" spans="2:8" hidden="1">
      <c r="B490" s="118"/>
      <c r="C490" s="59"/>
      <c r="D490" s="5"/>
      <c r="E490" s="895"/>
      <c r="F490" s="16"/>
      <c r="G490" s="6"/>
      <c r="H490" s="7"/>
    </row>
    <row r="491" spans="2:8" hidden="1">
      <c r="B491" s="118"/>
      <c r="C491" s="59"/>
      <c r="D491" s="5"/>
      <c r="E491" s="895"/>
      <c r="F491" s="16"/>
      <c r="G491" s="6"/>
      <c r="H491" s="7"/>
    </row>
    <row r="492" spans="2:8" hidden="1">
      <c r="B492" s="118"/>
      <c r="C492" s="59"/>
      <c r="D492" s="5"/>
      <c r="E492" s="895"/>
      <c r="F492" s="16"/>
      <c r="G492" s="6"/>
      <c r="H492" s="7"/>
    </row>
    <row r="493" spans="2:8" hidden="1">
      <c r="B493" s="118"/>
      <c r="C493" s="59"/>
      <c r="D493" s="5"/>
      <c r="E493" s="895"/>
      <c r="F493" s="16"/>
      <c r="G493" s="6"/>
      <c r="H493" s="7"/>
    </row>
    <row r="494" spans="2:8" ht="1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6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6" t="s">
        <v>987</v>
      </c>
      <c r="C496" s="1" t="s">
        <v>988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464" priority="5270">
      <formula>LEN(TRIM(B8))=0</formula>
    </cfRule>
  </conditionalFormatting>
  <conditionalFormatting sqref="C8:C27 C108:C128">
    <cfRule type="expression" dxfId="13463" priority="5269">
      <formula>B8=""</formula>
    </cfRule>
  </conditionalFormatting>
  <conditionalFormatting sqref="C9:C27">
    <cfRule type="expression" dxfId="13462" priority="5268">
      <formula>B9=""</formula>
    </cfRule>
  </conditionalFormatting>
  <conditionalFormatting sqref="C10:C20">
    <cfRule type="expression" dxfId="13461" priority="5267">
      <formula>B10=""</formula>
    </cfRule>
  </conditionalFormatting>
  <conditionalFormatting sqref="C21">
    <cfRule type="expression" dxfId="13460" priority="5266">
      <formula>B21=""</formula>
    </cfRule>
  </conditionalFormatting>
  <conditionalFormatting sqref="C22">
    <cfRule type="expression" dxfId="13459" priority="5265">
      <formula>B22=""</formula>
    </cfRule>
  </conditionalFormatting>
  <conditionalFormatting sqref="C23">
    <cfRule type="expression" dxfId="13458" priority="5264">
      <formula>B23=""</formula>
    </cfRule>
  </conditionalFormatting>
  <conditionalFormatting sqref="C24">
    <cfRule type="expression" dxfId="13457" priority="5263">
      <formula>B24=""</formula>
    </cfRule>
  </conditionalFormatting>
  <conditionalFormatting sqref="C25">
    <cfRule type="expression" dxfId="13456" priority="5262">
      <formula>B25=""</formula>
    </cfRule>
  </conditionalFormatting>
  <conditionalFormatting sqref="C26">
    <cfRule type="expression" dxfId="13455" priority="5261">
      <formula>B26=""</formula>
    </cfRule>
  </conditionalFormatting>
  <conditionalFormatting sqref="C27">
    <cfRule type="expression" dxfId="13454" priority="5260">
      <formula>B27=""</formula>
    </cfRule>
  </conditionalFormatting>
  <conditionalFormatting sqref="C28">
    <cfRule type="expression" dxfId="13453" priority="5259">
      <formula>B28=""</formula>
    </cfRule>
  </conditionalFormatting>
  <conditionalFormatting sqref="D8 D110:D121">
    <cfRule type="expression" dxfId="13452" priority="5258">
      <formula>B8=""</formula>
    </cfRule>
  </conditionalFormatting>
  <conditionalFormatting sqref="D9">
    <cfRule type="expression" dxfId="13451" priority="5257">
      <formula>B9=""</formula>
    </cfRule>
  </conditionalFormatting>
  <conditionalFormatting sqref="D10:D20">
    <cfRule type="expression" dxfId="13450" priority="5256">
      <formula>B10=""</formula>
    </cfRule>
  </conditionalFormatting>
  <conditionalFormatting sqref="D21">
    <cfRule type="expression" dxfId="13449" priority="5255">
      <formula>B21=""</formula>
    </cfRule>
  </conditionalFormatting>
  <conditionalFormatting sqref="D22">
    <cfRule type="expression" dxfId="13448" priority="5254">
      <formula>B22=""</formula>
    </cfRule>
  </conditionalFormatting>
  <conditionalFormatting sqref="D23">
    <cfRule type="expression" dxfId="13447" priority="5253">
      <formula>B23=""</formula>
    </cfRule>
  </conditionalFormatting>
  <conditionalFormatting sqref="D24">
    <cfRule type="expression" dxfId="13446" priority="5252">
      <formula>B24=""</formula>
    </cfRule>
  </conditionalFormatting>
  <conditionalFormatting sqref="D25">
    <cfRule type="expression" dxfId="13445" priority="5251">
      <formula>B25=""</formula>
    </cfRule>
  </conditionalFormatting>
  <conditionalFormatting sqref="D26">
    <cfRule type="expression" dxfId="13444" priority="5250">
      <formula>B26=""</formula>
    </cfRule>
  </conditionalFormatting>
  <conditionalFormatting sqref="D27">
    <cfRule type="expression" dxfId="13443" priority="5249">
      <formula>B27=""</formula>
    </cfRule>
  </conditionalFormatting>
  <conditionalFormatting sqref="D28">
    <cfRule type="expression" dxfId="13442" priority="5248">
      <formula>B28=""</formula>
    </cfRule>
  </conditionalFormatting>
  <conditionalFormatting sqref="E8 E108:E128">
    <cfRule type="expression" dxfId="13441" priority="5247">
      <formula>B8=""</formula>
    </cfRule>
  </conditionalFormatting>
  <conditionalFormatting sqref="E9 E110:E124 E126 E128">
    <cfRule type="expression" dxfId="13440" priority="5246">
      <formula>B9=""</formula>
    </cfRule>
  </conditionalFormatting>
  <conditionalFormatting sqref="E10:E20">
    <cfRule type="expression" dxfId="13439" priority="5245">
      <formula>B10=""</formula>
    </cfRule>
  </conditionalFormatting>
  <conditionalFormatting sqref="E21:E23">
    <cfRule type="expression" dxfId="13438" priority="5244">
      <formula>B21=""</formula>
    </cfRule>
  </conditionalFormatting>
  <conditionalFormatting sqref="E22">
    <cfRule type="expression" dxfId="13437" priority="5243">
      <formula>B22=""</formula>
    </cfRule>
  </conditionalFormatting>
  <conditionalFormatting sqref="E23">
    <cfRule type="expression" dxfId="13436" priority="5242">
      <formula>B23=""</formula>
    </cfRule>
  </conditionalFormatting>
  <conditionalFormatting sqref="E24">
    <cfRule type="expression" dxfId="13435" priority="5241">
      <formula>B24=""</formula>
    </cfRule>
  </conditionalFormatting>
  <conditionalFormatting sqref="E25">
    <cfRule type="expression" dxfId="13434" priority="5240">
      <formula>B25=""</formula>
    </cfRule>
  </conditionalFormatting>
  <conditionalFormatting sqref="E26">
    <cfRule type="expression" dxfId="13433" priority="5239">
      <formula>B26=""</formula>
    </cfRule>
  </conditionalFormatting>
  <conditionalFormatting sqref="E27:E28">
    <cfRule type="expression" dxfId="13432" priority="5238">
      <formula>B27=""</formula>
    </cfRule>
  </conditionalFormatting>
  <conditionalFormatting sqref="E28">
    <cfRule type="expression" dxfId="13431" priority="5237">
      <formula>B28=""</formula>
    </cfRule>
  </conditionalFormatting>
  <conditionalFormatting sqref="F8:F28 F110:F122 F124 F126 F128">
    <cfRule type="expression" dxfId="13430" priority="5236">
      <formula>B8=""</formula>
    </cfRule>
  </conditionalFormatting>
  <conditionalFormatting sqref="F9">
    <cfRule type="expression" dxfId="13429" priority="5235">
      <formula>B9=""</formula>
    </cfRule>
  </conditionalFormatting>
  <conditionalFormatting sqref="F10:F20">
    <cfRule type="expression" dxfId="13428" priority="5234">
      <formula>B10=""</formula>
    </cfRule>
  </conditionalFormatting>
  <conditionalFormatting sqref="F21">
    <cfRule type="expression" dxfId="13427" priority="5233">
      <formula>B21=""</formula>
    </cfRule>
  </conditionalFormatting>
  <conditionalFormatting sqref="F22">
    <cfRule type="expression" dxfId="13426" priority="5232">
      <formula>B22=""</formula>
    </cfRule>
  </conditionalFormatting>
  <conditionalFormatting sqref="F23">
    <cfRule type="expression" dxfId="13425" priority="5231">
      <formula>B23=""</formula>
    </cfRule>
  </conditionalFormatting>
  <conditionalFormatting sqref="F24">
    <cfRule type="expression" dxfId="13424" priority="5230">
      <formula>B24=""</formula>
    </cfRule>
  </conditionalFormatting>
  <conditionalFormatting sqref="F25">
    <cfRule type="expression" dxfId="13423" priority="5229">
      <formula>B25=""</formula>
    </cfRule>
  </conditionalFormatting>
  <conditionalFormatting sqref="F26">
    <cfRule type="expression" dxfId="13422" priority="5228">
      <formula>B26=""</formula>
    </cfRule>
  </conditionalFormatting>
  <conditionalFormatting sqref="F27:F28">
    <cfRule type="expression" dxfId="13421" priority="5227">
      <formula>B27=""</formula>
    </cfRule>
  </conditionalFormatting>
  <conditionalFormatting sqref="F28">
    <cfRule type="expression" dxfId="13420" priority="5226">
      <formula>B28=""</formula>
    </cfRule>
  </conditionalFormatting>
  <conditionalFormatting sqref="E9">
    <cfRule type="expression" dxfId="13419" priority="5225">
      <formula>B9=""</formula>
    </cfRule>
  </conditionalFormatting>
  <conditionalFormatting sqref="E10:E20">
    <cfRule type="expression" dxfId="13418" priority="5224">
      <formula>B10=""</formula>
    </cfRule>
  </conditionalFormatting>
  <conditionalFormatting sqref="E21:E23">
    <cfRule type="expression" dxfId="13417" priority="5223">
      <formula>B21=""</formula>
    </cfRule>
  </conditionalFormatting>
  <conditionalFormatting sqref="E22">
    <cfRule type="expression" dxfId="13416" priority="5222">
      <formula>B22=""</formula>
    </cfRule>
  </conditionalFormatting>
  <conditionalFormatting sqref="E23">
    <cfRule type="expression" dxfId="13415" priority="5221">
      <formula>B23=""</formula>
    </cfRule>
  </conditionalFormatting>
  <conditionalFormatting sqref="E24">
    <cfRule type="expression" dxfId="13414" priority="5220">
      <formula>B24=""</formula>
    </cfRule>
  </conditionalFormatting>
  <conditionalFormatting sqref="E25">
    <cfRule type="expression" dxfId="13413" priority="5219">
      <formula>B25=""</formula>
    </cfRule>
  </conditionalFormatting>
  <conditionalFormatting sqref="E26">
    <cfRule type="expression" dxfId="13412" priority="5218">
      <formula>B26=""</formula>
    </cfRule>
  </conditionalFormatting>
  <conditionalFormatting sqref="E27:E28">
    <cfRule type="expression" dxfId="13411" priority="5217">
      <formula>B27=""</formula>
    </cfRule>
  </conditionalFormatting>
  <conditionalFormatting sqref="E28">
    <cfRule type="expression" dxfId="13410" priority="5216">
      <formula>B28=""</formula>
    </cfRule>
  </conditionalFormatting>
  <conditionalFormatting sqref="G8 G108:G128">
    <cfRule type="expression" dxfId="13409" priority="5215">
      <formula>B8=""</formula>
    </cfRule>
  </conditionalFormatting>
  <conditionalFormatting sqref="G9">
    <cfRule type="expression" dxfId="13408" priority="5214">
      <formula>B9=""</formula>
    </cfRule>
  </conditionalFormatting>
  <conditionalFormatting sqref="G10:G20">
    <cfRule type="expression" dxfId="13407" priority="5213">
      <formula>B10=""</formula>
    </cfRule>
  </conditionalFormatting>
  <conditionalFormatting sqref="G21">
    <cfRule type="expression" dxfId="13406" priority="5212">
      <formula>B21=""</formula>
    </cfRule>
  </conditionalFormatting>
  <conditionalFormatting sqref="G22">
    <cfRule type="expression" dxfId="13405" priority="5211">
      <formula>B22=""</formula>
    </cfRule>
  </conditionalFormatting>
  <conditionalFormatting sqref="G23">
    <cfRule type="expression" dxfId="13404" priority="5210">
      <formula>B23=""</formula>
    </cfRule>
  </conditionalFormatting>
  <conditionalFormatting sqref="G24">
    <cfRule type="expression" dxfId="13403" priority="5209">
      <formula>B24=""</formula>
    </cfRule>
  </conditionalFormatting>
  <conditionalFormatting sqref="G25">
    <cfRule type="expression" dxfId="13402" priority="5208">
      <formula>B25=""</formula>
    </cfRule>
  </conditionalFormatting>
  <conditionalFormatting sqref="G26">
    <cfRule type="expression" dxfId="13401" priority="5207">
      <formula>B26=""</formula>
    </cfRule>
  </conditionalFormatting>
  <conditionalFormatting sqref="G27">
    <cfRule type="expression" dxfId="13400" priority="5206">
      <formula>B27=""</formula>
    </cfRule>
  </conditionalFormatting>
  <conditionalFormatting sqref="G28">
    <cfRule type="expression" dxfId="13399" priority="5205">
      <formula>B28=""</formula>
    </cfRule>
  </conditionalFormatting>
  <conditionalFormatting sqref="H8 H110:H122 H124 H126 H128">
    <cfRule type="expression" dxfId="13398" priority="5204">
      <formula>B8=""</formula>
    </cfRule>
  </conditionalFormatting>
  <conditionalFormatting sqref="H9">
    <cfRule type="expression" dxfId="13397" priority="5203">
      <formula>B9=""</formula>
    </cfRule>
  </conditionalFormatting>
  <conditionalFormatting sqref="H10:H20">
    <cfRule type="expression" dxfId="13396" priority="5202">
      <formula>B10=""</formula>
    </cfRule>
  </conditionalFormatting>
  <conditionalFormatting sqref="H21">
    <cfRule type="expression" dxfId="13395" priority="5201">
      <formula>B21=""</formula>
    </cfRule>
  </conditionalFormatting>
  <conditionalFormatting sqref="H22">
    <cfRule type="expression" dxfId="13394" priority="5200">
      <formula>B22=""</formula>
    </cfRule>
  </conditionalFormatting>
  <conditionalFormatting sqref="H23">
    <cfRule type="expression" dxfId="13393" priority="5199">
      <formula>B23=""</formula>
    </cfRule>
  </conditionalFormatting>
  <conditionalFormatting sqref="H24">
    <cfRule type="expression" dxfId="13392" priority="5198">
      <formula>B24=""</formula>
    </cfRule>
  </conditionalFormatting>
  <conditionalFormatting sqref="H25">
    <cfRule type="expression" dxfId="13391" priority="5197">
      <formula>B25=""</formula>
    </cfRule>
  </conditionalFormatting>
  <conditionalFormatting sqref="H26">
    <cfRule type="expression" dxfId="13390" priority="5196">
      <formula>B26=""</formula>
    </cfRule>
  </conditionalFormatting>
  <conditionalFormatting sqref="H27">
    <cfRule type="expression" dxfId="13389" priority="5195">
      <formula>B27=""</formula>
    </cfRule>
  </conditionalFormatting>
  <conditionalFormatting sqref="H28">
    <cfRule type="expression" dxfId="13388" priority="5194">
      <formula>B28=""</formula>
    </cfRule>
  </conditionalFormatting>
  <conditionalFormatting sqref="C30:C50">
    <cfRule type="expression" dxfId="13387" priority="5193">
      <formula>B30=""</formula>
    </cfRule>
  </conditionalFormatting>
  <conditionalFormatting sqref="C31 C33 C35 C37 C39 C41 C43 C45 C47 C49">
    <cfRule type="expression" dxfId="13386" priority="5192">
      <formula>B31=""</formula>
    </cfRule>
  </conditionalFormatting>
  <conditionalFormatting sqref="C32:C49">
    <cfRule type="expression" dxfId="13385" priority="5191">
      <formula>B32=""</formula>
    </cfRule>
  </conditionalFormatting>
  <conditionalFormatting sqref="C43">
    <cfRule type="expression" dxfId="13384" priority="5190">
      <formula>B43=""</formula>
    </cfRule>
  </conditionalFormatting>
  <conditionalFormatting sqref="C44">
    <cfRule type="expression" dxfId="13383" priority="5189">
      <formula>B44=""</formula>
    </cfRule>
  </conditionalFormatting>
  <conditionalFormatting sqref="C45">
    <cfRule type="expression" dxfId="13382" priority="5188">
      <formula>B45=""</formula>
    </cfRule>
  </conditionalFormatting>
  <conditionalFormatting sqref="C46">
    <cfRule type="expression" dxfId="13381" priority="5187">
      <formula>B46=""</formula>
    </cfRule>
  </conditionalFormatting>
  <conditionalFormatting sqref="C47">
    <cfRule type="expression" dxfId="13380" priority="5186">
      <formula>B47=""</formula>
    </cfRule>
  </conditionalFormatting>
  <conditionalFormatting sqref="C48">
    <cfRule type="expression" dxfId="13379" priority="5185">
      <formula>B48=""</formula>
    </cfRule>
  </conditionalFormatting>
  <conditionalFormatting sqref="C49">
    <cfRule type="expression" dxfId="13378" priority="5184">
      <formula>B49=""</formula>
    </cfRule>
  </conditionalFormatting>
  <conditionalFormatting sqref="C50">
    <cfRule type="expression" dxfId="13377" priority="5183">
      <formula>B50=""</formula>
    </cfRule>
  </conditionalFormatting>
  <conditionalFormatting sqref="D30">
    <cfRule type="expression" dxfId="13376" priority="5182">
      <formula>B30=""</formula>
    </cfRule>
  </conditionalFormatting>
  <conditionalFormatting sqref="D31 D33 D35 D37 D39 D41 D43 D45 D47 D49">
    <cfRule type="expression" dxfId="13375" priority="5181">
      <formula>B31=""</formula>
    </cfRule>
  </conditionalFormatting>
  <conditionalFormatting sqref="D32:D49">
    <cfRule type="expression" dxfId="13374" priority="5180">
      <formula>B32=""</formula>
    </cfRule>
  </conditionalFormatting>
  <conditionalFormatting sqref="D43">
    <cfRule type="expression" dxfId="13373" priority="5179">
      <formula>B43=""</formula>
    </cfRule>
  </conditionalFormatting>
  <conditionalFormatting sqref="D44">
    <cfRule type="expression" dxfId="13372" priority="5178">
      <formula>B44=""</formula>
    </cfRule>
  </conditionalFormatting>
  <conditionalFormatting sqref="D45">
    <cfRule type="expression" dxfId="13371" priority="5177">
      <formula>B45=""</formula>
    </cfRule>
  </conditionalFormatting>
  <conditionalFormatting sqref="D46">
    <cfRule type="expression" dxfId="13370" priority="5176">
      <formula>B46=""</formula>
    </cfRule>
  </conditionalFormatting>
  <conditionalFormatting sqref="D47">
    <cfRule type="expression" dxfId="13369" priority="5175">
      <formula>B47=""</formula>
    </cfRule>
  </conditionalFormatting>
  <conditionalFormatting sqref="D48">
    <cfRule type="expression" dxfId="13368" priority="5174">
      <formula>B48=""</formula>
    </cfRule>
  </conditionalFormatting>
  <conditionalFormatting sqref="D49">
    <cfRule type="expression" dxfId="13367" priority="5173">
      <formula>B49=""</formula>
    </cfRule>
  </conditionalFormatting>
  <conditionalFormatting sqref="D50">
    <cfRule type="expression" dxfId="13366" priority="5172">
      <formula>B50=""</formula>
    </cfRule>
  </conditionalFormatting>
  <conditionalFormatting sqref="E30">
    <cfRule type="expression" dxfId="13365" priority="5171">
      <formula>B30=""</formula>
    </cfRule>
  </conditionalFormatting>
  <conditionalFormatting sqref="E31 E33 E35 E37 E39 E41 E43 E45 E47 E49">
    <cfRule type="expression" dxfId="13364" priority="5170">
      <formula>B31=""</formula>
    </cfRule>
  </conditionalFormatting>
  <conditionalFormatting sqref="E32:E49">
    <cfRule type="expression" dxfId="13363" priority="5169">
      <formula>B32=""</formula>
    </cfRule>
  </conditionalFormatting>
  <conditionalFormatting sqref="E43">
    <cfRule type="expression" dxfId="13362" priority="5168">
      <formula>B43=""</formula>
    </cfRule>
  </conditionalFormatting>
  <conditionalFormatting sqref="E44">
    <cfRule type="expression" dxfId="13361" priority="5167">
      <formula>B44=""</formula>
    </cfRule>
  </conditionalFormatting>
  <conditionalFormatting sqref="E45">
    <cfRule type="expression" dxfId="13360" priority="5166">
      <formula>B45=""</formula>
    </cfRule>
  </conditionalFormatting>
  <conditionalFormatting sqref="E46">
    <cfRule type="expression" dxfId="13359" priority="5165">
      <formula>B46=""</formula>
    </cfRule>
  </conditionalFormatting>
  <conditionalFormatting sqref="E47">
    <cfRule type="expression" dxfId="13358" priority="5164">
      <formula>B47=""</formula>
    </cfRule>
  </conditionalFormatting>
  <conditionalFormatting sqref="E48">
    <cfRule type="expression" dxfId="13357" priority="5163">
      <formula>B48=""</formula>
    </cfRule>
  </conditionalFormatting>
  <conditionalFormatting sqref="E49:E50">
    <cfRule type="expression" dxfId="13356" priority="5162">
      <formula>B49=""</formula>
    </cfRule>
  </conditionalFormatting>
  <conditionalFormatting sqref="E50">
    <cfRule type="expression" dxfId="13355" priority="5161">
      <formula>B50=""</formula>
    </cfRule>
  </conditionalFormatting>
  <conditionalFormatting sqref="F30:F50">
    <cfRule type="expression" dxfId="13354" priority="5160">
      <formula>B30=""</formula>
    </cfRule>
  </conditionalFormatting>
  <conditionalFormatting sqref="F31 F33 F35 F37 F39 F41 F43 F45 F47 F49">
    <cfRule type="expression" dxfId="13353" priority="5159">
      <formula>B31=""</formula>
    </cfRule>
  </conditionalFormatting>
  <conditionalFormatting sqref="F32:F49">
    <cfRule type="expression" dxfId="13352" priority="5158">
      <formula>B32=""</formula>
    </cfRule>
  </conditionalFormatting>
  <conditionalFormatting sqref="F43">
    <cfRule type="expression" dxfId="13351" priority="5157">
      <formula>B43=""</formula>
    </cfRule>
  </conditionalFormatting>
  <conditionalFormatting sqref="F44">
    <cfRule type="expression" dxfId="13350" priority="5156">
      <formula>B44=""</formula>
    </cfRule>
  </conditionalFormatting>
  <conditionalFormatting sqref="F45">
    <cfRule type="expression" dxfId="13349" priority="5155">
      <formula>B45=""</formula>
    </cfRule>
  </conditionalFormatting>
  <conditionalFormatting sqref="F46">
    <cfRule type="expression" dxfId="13348" priority="5154">
      <formula>B46=""</formula>
    </cfRule>
  </conditionalFormatting>
  <conditionalFormatting sqref="F47">
    <cfRule type="expression" dxfId="13347" priority="5153">
      <formula>B47=""</formula>
    </cfRule>
  </conditionalFormatting>
  <conditionalFormatting sqref="F48">
    <cfRule type="expression" dxfId="13346" priority="5152">
      <formula>B48=""</formula>
    </cfRule>
  </conditionalFormatting>
  <conditionalFormatting sqref="F49">
    <cfRule type="expression" dxfId="13345" priority="5151">
      <formula>B49=""</formula>
    </cfRule>
  </conditionalFormatting>
  <conditionalFormatting sqref="F50">
    <cfRule type="expression" dxfId="13344" priority="5150">
      <formula>B50=""</formula>
    </cfRule>
  </conditionalFormatting>
  <conditionalFormatting sqref="E31 E33 E35 E37 E39 E41 E43 E45 E47 E49">
    <cfRule type="expression" dxfId="13343" priority="5149">
      <formula>B31=""</formula>
    </cfRule>
  </conditionalFormatting>
  <conditionalFormatting sqref="E32:E49">
    <cfRule type="expression" dxfId="13342" priority="5148">
      <formula>B32=""</formula>
    </cfRule>
  </conditionalFormatting>
  <conditionalFormatting sqref="E43">
    <cfRule type="expression" dxfId="13341" priority="5147">
      <formula>B43=""</formula>
    </cfRule>
  </conditionalFormatting>
  <conditionalFormatting sqref="E44">
    <cfRule type="expression" dxfId="13340" priority="5146">
      <formula>B44=""</formula>
    </cfRule>
  </conditionalFormatting>
  <conditionalFormatting sqref="E45">
    <cfRule type="expression" dxfId="13339" priority="5145">
      <formula>B45=""</formula>
    </cfRule>
  </conditionalFormatting>
  <conditionalFormatting sqref="E46">
    <cfRule type="expression" dxfId="13338" priority="5144">
      <formula>B46=""</formula>
    </cfRule>
  </conditionalFormatting>
  <conditionalFormatting sqref="E47">
    <cfRule type="expression" dxfId="13337" priority="5143">
      <formula>B47=""</formula>
    </cfRule>
  </conditionalFormatting>
  <conditionalFormatting sqref="E48">
    <cfRule type="expression" dxfId="13336" priority="5142">
      <formula>B48=""</formula>
    </cfRule>
  </conditionalFormatting>
  <conditionalFormatting sqref="E49:E50">
    <cfRule type="expression" dxfId="13335" priority="5141">
      <formula>B49=""</formula>
    </cfRule>
  </conditionalFormatting>
  <conditionalFormatting sqref="E50">
    <cfRule type="expression" dxfId="13334" priority="5140">
      <formula>B50=""</formula>
    </cfRule>
  </conditionalFormatting>
  <conditionalFormatting sqref="G30">
    <cfRule type="expression" dxfId="13333" priority="5139">
      <formula>B30=""</formula>
    </cfRule>
  </conditionalFormatting>
  <conditionalFormatting sqref="G31 G33 G35 G37 G39 G41 G43 G45 G47 G49">
    <cfRule type="expression" dxfId="13332" priority="5138">
      <formula>B31=""</formula>
    </cfRule>
  </conditionalFormatting>
  <conditionalFormatting sqref="G32:G49">
    <cfRule type="expression" dxfId="13331" priority="5137">
      <formula>B32=""</formula>
    </cfRule>
  </conditionalFormatting>
  <conditionalFormatting sqref="G43">
    <cfRule type="expression" dxfId="13330" priority="5136">
      <formula>B43=""</formula>
    </cfRule>
  </conditionalFormatting>
  <conditionalFormatting sqref="G44">
    <cfRule type="expression" dxfId="13329" priority="5135">
      <formula>B44=""</formula>
    </cfRule>
  </conditionalFormatting>
  <conditionalFormatting sqref="G45">
    <cfRule type="expression" dxfId="13328" priority="5134">
      <formula>B45=""</formula>
    </cfRule>
  </conditionalFormatting>
  <conditionalFormatting sqref="G46">
    <cfRule type="expression" dxfId="13327" priority="5133">
      <formula>B46=""</formula>
    </cfRule>
  </conditionalFormatting>
  <conditionalFormatting sqref="G47">
    <cfRule type="expression" dxfId="13326" priority="5132">
      <formula>B47=""</formula>
    </cfRule>
  </conditionalFormatting>
  <conditionalFormatting sqref="G48">
    <cfRule type="expression" dxfId="13325" priority="5131">
      <formula>B48=""</formula>
    </cfRule>
  </conditionalFormatting>
  <conditionalFormatting sqref="G49">
    <cfRule type="expression" dxfId="13324" priority="5130">
      <formula>B49=""</formula>
    </cfRule>
  </conditionalFormatting>
  <conditionalFormatting sqref="G50">
    <cfRule type="expression" dxfId="13323" priority="5129">
      <formula>B50=""</formula>
    </cfRule>
  </conditionalFormatting>
  <conditionalFormatting sqref="H30">
    <cfRule type="expression" dxfId="13322" priority="5128">
      <formula>B30=""</formula>
    </cfRule>
  </conditionalFormatting>
  <conditionalFormatting sqref="H31 H33 H35 H37 H39 H41 H43 H45 H47 H49">
    <cfRule type="expression" dxfId="13321" priority="5127">
      <formula>B31=""</formula>
    </cfRule>
  </conditionalFormatting>
  <conditionalFormatting sqref="H32:H49">
    <cfRule type="expression" dxfId="13320" priority="5126">
      <formula>B32=""</formula>
    </cfRule>
  </conditionalFormatting>
  <conditionalFormatting sqref="H43">
    <cfRule type="expression" dxfId="13319" priority="5125">
      <formula>B43=""</formula>
    </cfRule>
  </conditionalFormatting>
  <conditionalFormatting sqref="H44">
    <cfRule type="expression" dxfId="13318" priority="5124">
      <formula>B44=""</formula>
    </cfRule>
  </conditionalFormatting>
  <conditionalFormatting sqref="H45">
    <cfRule type="expression" dxfId="13317" priority="5123">
      <formula>B45=""</formula>
    </cfRule>
  </conditionalFormatting>
  <conditionalFormatting sqref="H46">
    <cfRule type="expression" dxfId="13316" priority="5122">
      <formula>B46=""</formula>
    </cfRule>
  </conditionalFormatting>
  <conditionalFormatting sqref="H47">
    <cfRule type="expression" dxfId="13315" priority="5121">
      <formula>B47=""</formula>
    </cfRule>
  </conditionalFormatting>
  <conditionalFormatting sqref="H48">
    <cfRule type="expression" dxfId="13314" priority="5120">
      <formula>B48=""</formula>
    </cfRule>
  </conditionalFormatting>
  <conditionalFormatting sqref="H49">
    <cfRule type="expression" dxfId="13313" priority="5119">
      <formula>B49=""</formula>
    </cfRule>
  </conditionalFormatting>
  <conditionalFormatting sqref="H50">
    <cfRule type="expression" dxfId="13312" priority="5118">
      <formula>B50=""</formula>
    </cfRule>
  </conditionalFormatting>
  <conditionalFormatting sqref="C52:C71">
    <cfRule type="expression" dxfId="13311" priority="5117">
      <formula>B52=""</formula>
    </cfRule>
  </conditionalFormatting>
  <conditionalFormatting sqref="C53">
    <cfRule type="expression" dxfId="13310" priority="5116">
      <formula>B53=""</formula>
    </cfRule>
  </conditionalFormatting>
  <conditionalFormatting sqref="C54:C64">
    <cfRule type="expression" dxfId="13309" priority="5115">
      <formula>B54=""</formula>
    </cfRule>
  </conditionalFormatting>
  <conditionalFormatting sqref="C65">
    <cfRule type="expression" dxfId="13308" priority="5114">
      <formula>B65=""</formula>
    </cfRule>
  </conditionalFormatting>
  <conditionalFormatting sqref="C66">
    <cfRule type="expression" dxfId="13307" priority="5113">
      <formula>B66=""</formula>
    </cfRule>
  </conditionalFormatting>
  <conditionalFormatting sqref="C67">
    <cfRule type="expression" dxfId="13306" priority="5112">
      <formula>B67=""</formula>
    </cfRule>
  </conditionalFormatting>
  <conditionalFormatting sqref="C68">
    <cfRule type="expression" dxfId="13305" priority="5111">
      <formula>B68=""</formula>
    </cfRule>
  </conditionalFormatting>
  <conditionalFormatting sqref="C69">
    <cfRule type="expression" dxfId="13304" priority="5110">
      <formula>B69=""</formula>
    </cfRule>
  </conditionalFormatting>
  <conditionalFormatting sqref="C70">
    <cfRule type="expression" dxfId="13303" priority="5109">
      <formula>B70=""</formula>
    </cfRule>
  </conditionalFormatting>
  <conditionalFormatting sqref="C71">
    <cfRule type="expression" dxfId="13302" priority="5108">
      <formula>B71=""</formula>
    </cfRule>
  </conditionalFormatting>
  <conditionalFormatting sqref="C72">
    <cfRule type="expression" dxfId="13301" priority="5107">
      <formula>B72=""</formula>
    </cfRule>
  </conditionalFormatting>
  <conditionalFormatting sqref="D52:D71">
    <cfRule type="expression" dxfId="13300" priority="5106">
      <formula>B52=""</formula>
    </cfRule>
  </conditionalFormatting>
  <conditionalFormatting sqref="D53">
    <cfRule type="expression" dxfId="13299" priority="5105">
      <formula>B53=""</formula>
    </cfRule>
  </conditionalFormatting>
  <conditionalFormatting sqref="D54:D64">
    <cfRule type="expression" dxfId="13298" priority="5104">
      <formula>B54=""</formula>
    </cfRule>
  </conditionalFormatting>
  <conditionalFormatting sqref="D65">
    <cfRule type="expression" dxfId="13297" priority="5103">
      <formula>B65=""</formula>
    </cfRule>
  </conditionalFormatting>
  <conditionalFormatting sqref="D66">
    <cfRule type="expression" dxfId="13296" priority="5102">
      <formula>B66=""</formula>
    </cfRule>
  </conditionalFormatting>
  <conditionalFormatting sqref="D67">
    <cfRule type="expression" dxfId="13295" priority="5101">
      <formula>B67=""</formula>
    </cfRule>
  </conditionalFormatting>
  <conditionalFormatting sqref="D68">
    <cfRule type="expression" dxfId="13294" priority="5100">
      <formula>B68=""</formula>
    </cfRule>
  </conditionalFormatting>
  <conditionalFormatting sqref="D69">
    <cfRule type="expression" dxfId="13293" priority="5099">
      <formula>B69=""</formula>
    </cfRule>
  </conditionalFormatting>
  <conditionalFormatting sqref="D70">
    <cfRule type="expression" dxfId="13292" priority="5098">
      <formula>B70=""</formula>
    </cfRule>
  </conditionalFormatting>
  <conditionalFormatting sqref="D71">
    <cfRule type="expression" dxfId="13291" priority="5097">
      <formula>B71=""</formula>
    </cfRule>
  </conditionalFormatting>
  <conditionalFormatting sqref="D72">
    <cfRule type="expression" dxfId="13290" priority="5096">
      <formula>B72=""</formula>
    </cfRule>
  </conditionalFormatting>
  <conditionalFormatting sqref="E52:E72">
    <cfRule type="expression" dxfId="13289" priority="5095">
      <formula>B52=""</formula>
    </cfRule>
  </conditionalFormatting>
  <conditionalFormatting sqref="E53">
    <cfRule type="expression" dxfId="13288" priority="5094">
      <formula>B53=""</formula>
    </cfRule>
  </conditionalFormatting>
  <conditionalFormatting sqref="E54:E64">
    <cfRule type="expression" dxfId="13287" priority="5093">
      <formula>B54=""</formula>
    </cfRule>
  </conditionalFormatting>
  <conditionalFormatting sqref="E65">
    <cfRule type="expression" dxfId="13286" priority="5092">
      <formula>B65=""</formula>
    </cfRule>
  </conditionalFormatting>
  <conditionalFormatting sqref="E66">
    <cfRule type="expression" dxfId="13285" priority="5091">
      <formula>B66=""</formula>
    </cfRule>
  </conditionalFormatting>
  <conditionalFormatting sqref="E67">
    <cfRule type="expression" dxfId="13284" priority="5090">
      <formula>B67=""</formula>
    </cfRule>
  </conditionalFormatting>
  <conditionalFormatting sqref="E68">
    <cfRule type="expression" dxfId="13283" priority="5089">
      <formula>B68=""</formula>
    </cfRule>
  </conditionalFormatting>
  <conditionalFormatting sqref="E69">
    <cfRule type="expression" dxfId="13282" priority="5088">
      <formula>B69=""</formula>
    </cfRule>
  </conditionalFormatting>
  <conditionalFormatting sqref="E70">
    <cfRule type="expression" dxfId="13281" priority="5087">
      <formula>B70=""</formula>
    </cfRule>
  </conditionalFormatting>
  <conditionalFormatting sqref="E71">
    <cfRule type="expression" dxfId="13280" priority="5086">
      <formula>B71=""</formula>
    </cfRule>
  </conditionalFormatting>
  <conditionalFormatting sqref="E72">
    <cfRule type="expression" dxfId="13279" priority="5085">
      <formula>B72=""</formula>
    </cfRule>
  </conditionalFormatting>
  <conditionalFormatting sqref="F52:F72">
    <cfRule type="expression" dxfId="13278" priority="5084">
      <formula>B52=""</formula>
    </cfRule>
  </conditionalFormatting>
  <conditionalFormatting sqref="F53">
    <cfRule type="expression" dxfId="13277" priority="5083">
      <formula>B53=""</formula>
    </cfRule>
  </conditionalFormatting>
  <conditionalFormatting sqref="F54:F64">
    <cfRule type="expression" dxfId="13276" priority="5082">
      <formula>B54=""</formula>
    </cfRule>
  </conditionalFormatting>
  <conditionalFormatting sqref="F65">
    <cfRule type="expression" dxfId="13275" priority="5081">
      <formula>B65=""</formula>
    </cfRule>
  </conditionalFormatting>
  <conditionalFormatting sqref="F66">
    <cfRule type="expression" dxfId="13274" priority="5080">
      <formula>B66=""</formula>
    </cfRule>
  </conditionalFormatting>
  <conditionalFormatting sqref="F67">
    <cfRule type="expression" dxfId="13273" priority="5079">
      <formula>B67=""</formula>
    </cfRule>
  </conditionalFormatting>
  <conditionalFormatting sqref="F68">
    <cfRule type="expression" dxfId="13272" priority="5078">
      <formula>B68=""</formula>
    </cfRule>
  </conditionalFormatting>
  <conditionalFormatting sqref="F69">
    <cfRule type="expression" dxfId="13271" priority="5077">
      <formula>B69=""</formula>
    </cfRule>
  </conditionalFormatting>
  <conditionalFormatting sqref="F70">
    <cfRule type="expression" dxfId="13270" priority="5076">
      <formula>B70=""</formula>
    </cfRule>
  </conditionalFormatting>
  <conditionalFormatting sqref="F71:F72">
    <cfRule type="expression" dxfId="13269" priority="5075">
      <formula>B71=""</formula>
    </cfRule>
  </conditionalFormatting>
  <conditionalFormatting sqref="F72">
    <cfRule type="expression" dxfId="13268" priority="5074">
      <formula>B72=""</formula>
    </cfRule>
  </conditionalFormatting>
  <conditionalFormatting sqref="E53">
    <cfRule type="expression" dxfId="13267" priority="5073">
      <formula>B53=""</formula>
    </cfRule>
  </conditionalFormatting>
  <conditionalFormatting sqref="E54:E64">
    <cfRule type="expression" dxfId="13266" priority="5072">
      <formula>B54=""</formula>
    </cfRule>
  </conditionalFormatting>
  <conditionalFormatting sqref="E65">
    <cfRule type="expression" dxfId="13265" priority="5071">
      <formula>B65=""</formula>
    </cfRule>
  </conditionalFormatting>
  <conditionalFormatting sqref="E66">
    <cfRule type="expression" dxfId="13264" priority="5070">
      <formula>B66=""</formula>
    </cfRule>
  </conditionalFormatting>
  <conditionalFormatting sqref="E67">
    <cfRule type="expression" dxfId="13263" priority="5069">
      <formula>B67=""</formula>
    </cfRule>
  </conditionalFormatting>
  <conditionalFormatting sqref="E68">
    <cfRule type="expression" dxfId="13262" priority="5068">
      <formula>B68=""</formula>
    </cfRule>
  </conditionalFormatting>
  <conditionalFormatting sqref="E69">
    <cfRule type="expression" dxfId="13261" priority="5067">
      <formula>B69=""</formula>
    </cfRule>
  </conditionalFormatting>
  <conditionalFormatting sqref="E70">
    <cfRule type="expression" dxfId="13260" priority="5066">
      <formula>B70=""</formula>
    </cfRule>
  </conditionalFormatting>
  <conditionalFormatting sqref="E71">
    <cfRule type="expression" dxfId="13259" priority="5065">
      <formula>B71=""</formula>
    </cfRule>
  </conditionalFormatting>
  <conditionalFormatting sqref="E72">
    <cfRule type="expression" dxfId="13258" priority="5064">
      <formula>B72=""</formula>
    </cfRule>
  </conditionalFormatting>
  <conditionalFormatting sqref="G52:G71">
    <cfRule type="expression" dxfId="13257" priority="5063">
      <formula>B52=""</formula>
    </cfRule>
  </conditionalFormatting>
  <conditionalFormatting sqref="G53">
    <cfRule type="expression" dxfId="13256" priority="5062">
      <formula>B53=""</formula>
    </cfRule>
  </conditionalFormatting>
  <conditionalFormatting sqref="G54:G64">
    <cfRule type="expression" dxfId="13255" priority="5061">
      <formula>B54=""</formula>
    </cfRule>
  </conditionalFormatting>
  <conditionalFormatting sqref="G65">
    <cfRule type="expression" dxfId="13254" priority="5060">
      <formula>B65=""</formula>
    </cfRule>
  </conditionalFormatting>
  <conditionalFormatting sqref="G66">
    <cfRule type="expression" dxfId="13253" priority="5059">
      <formula>B66=""</formula>
    </cfRule>
  </conditionalFormatting>
  <conditionalFormatting sqref="G67">
    <cfRule type="expression" dxfId="13252" priority="5058">
      <formula>B67=""</formula>
    </cfRule>
  </conditionalFormatting>
  <conditionalFormatting sqref="G68">
    <cfRule type="expression" dxfId="13251" priority="5057">
      <formula>B68=""</formula>
    </cfRule>
  </conditionalFormatting>
  <conditionalFormatting sqref="G69">
    <cfRule type="expression" dxfId="13250" priority="5056">
      <formula>B69=""</formula>
    </cfRule>
  </conditionalFormatting>
  <conditionalFormatting sqref="G70">
    <cfRule type="expression" dxfId="13249" priority="5055">
      <formula>B70=""</formula>
    </cfRule>
  </conditionalFormatting>
  <conditionalFormatting sqref="G71">
    <cfRule type="expression" dxfId="13248" priority="5054">
      <formula>B71=""</formula>
    </cfRule>
  </conditionalFormatting>
  <conditionalFormatting sqref="G72">
    <cfRule type="expression" dxfId="13247" priority="5053">
      <formula>B72=""</formula>
    </cfRule>
  </conditionalFormatting>
  <conditionalFormatting sqref="H52:H71">
    <cfRule type="expression" dxfId="13246" priority="5052">
      <formula>B52=""</formula>
    </cfRule>
  </conditionalFormatting>
  <conditionalFormatting sqref="H53">
    <cfRule type="expression" dxfId="13245" priority="5051">
      <formula>B53=""</formula>
    </cfRule>
  </conditionalFormatting>
  <conditionalFormatting sqref="H54:H64">
    <cfRule type="expression" dxfId="13244" priority="5050">
      <formula>B54=""</formula>
    </cfRule>
  </conditionalFormatting>
  <conditionalFormatting sqref="H65">
    <cfRule type="expression" dxfId="13243" priority="5049">
      <formula>B65=""</formula>
    </cfRule>
  </conditionalFormatting>
  <conditionalFormatting sqref="H66">
    <cfRule type="expression" dxfId="13242" priority="5048">
      <formula>B66=""</formula>
    </cfRule>
  </conditionalFormatting>
  <conditionalFormatting sqref="H67">
    <cfRule type="expression" dxfId="13241" priority="5047">
      <formula>B67=""</formula>
    </cfRule>
  </conditionalFormatting>
  <conditionalFormatting sqref="H68">
    <cfRule type="expression" dxfId="13240" priority="5046">
      <formula>B68=""</formula>
    </cfRule>
  </conditionalFormatting>
  <conditionalFormatting sqref="H69">
    <cfRule type="expression" dxfId="13239" priority="5045">
      <formula>B69=""</formula>
    </cfRule>
  </conditionalFormatting>
  <conditionalFormatting sqref="H70">
    <cfRule type="expression" dxfId="13238" priority="5044">
      <formula>B70=""</formula>
    </cfRule>
  </conditionalFormatting>
  <conditionalFormatting sqref="H71">
    <cfRule type="expression" dxfId="13237" priority="5043">
      <formula>B71=""</formula>
    </cfRule>
  </conditionalFormatting>
  <conditionalFormatting sqref="H72">
    <cfRule type="expression" dxfId="13236" priority="5042">
      <formula>B72=""</formula>
    </cfRule>
  </conditionalFormatting>
  <conditionalFormatting sqref="C74:C94">
    <cfRule type="expression" dxfId="13235" priority="5041">
      <formula>B74=""</formula>
    </cfRule>
  </conditionalFormatting>
  <conditionalFormatting sqref="C75 C77 C79 C81 C83 C85 C87 C89 C91 C93">
    <cfRule type="expression" dxfId="13234" priority="5040">
      <formula>B75=""</formula>
    </cfRule>
  </conditionalFormatting>
  <conditionalFormatting sqref="C76 C78 C80 C82 C84 C86 C88 C90 C92">
    <cfRule type="expression" dxfId="13233" priority="5039">
      <formula>B76=""</formula>
    </cfRule>
  </conditionalFormatting>
  <conditionalFormatting sqref="C77:C87">
    <cfRule type="expression" dxfId="13232" priority="5038">
      <formula>B77=""</formula>
    </cfRule>
  </conditionalFormatting>
  <conditionalFormatting sqref="C88">
    <cfRule type="expression" dxfId="13231" priority="5037">
      <formula>B88=""</formula>
    </cfRule>
  </conditionalFormatting>
  <conditionalFormatting sqref="C89">
    <cfRule type="expression" dxfId="13230" priority="5036">
      <formula>B89=""</formula>
    </cfRule>
  </conditionalFormatting>
  <conditionalFormatting sqref="C90">
    <cfRule type="expression" dxfId="13229" priority="5035">
      <formula>B90=""</formula>
    </cfRule>
  </conditionalFormatting>
  <conditionalFormatting sqref="C91">
    <cfRule type="expression" dxfId="13228" priority="5034">
      <formula>B91=""</formula>
    </cfRule>
  </conditionalFormatting>
  <conditionalFormatting sqref="C92">
    <cfRule type="expression" dxfId="13227" priority="5033">
      <formula>B92=""</formula>
    </cfRule>
  </conditionalFormatting>
  <conditionalFormatting sqref="C93">
    <cfRule type="expression" dxfId="13226" priority="5032">
      <formula>B93=""</formula>
    </cfRule>
  </conditionalFormatting>
  <conditionalFormatting sqref="C94">
    <cfRule type="expression" dxfId="13225" priority="5031">
      <formula>B94=""</formula>
    </cfRule>
  </conditionalFormatting>
  <conditionalFormatting sqref="D74 D76 D78 D80 D82 D84 D86 D88 D90 D92">
    <cfRule type="expression" dxfId="13224" priority="5030">
      <formula>B74=""</formula>
    </cfRule>
  </conditionalFormatting>
  <conditionalFormatting sqref="D75 D77 D79 D81 D83 D85 D87 D89 D91 D93">
    <cfRule type="expression" dxfId="13223" priority="5029">
      <formula>B75=""</formula>
    </cfRule>
  </conditionalFormatting>
  <conditionalFormatting sqref="D76 D78 D80 D82 D84 D86 D88 D90 D92">
    <cfRule type="expression" dxfId="13222" priority="5028">
      <formula>B76=""</formula>
    </cfRule>
  </conditionalFormatting>
  <conditionalFormatting sqref="D77:D87">
    <cfRule type="expression" dxfId="13221" priority="5027">
      <formula>B77=""</formula>
    </cfRule>
  </conditionalFormatting>
  <conditionalFormatting sqref="D88">
    <cfRule type="expression" dxfId="13220" priority="5026">
      <formula>B88=""</formula>
    </cfRule>
  </conditionalFormatting>
  <conditionalFormatting sqref="D89">
    <cfRule type="expression" dxfId="13219" priority="5025">
      <formula>B89=""</formula>
    </cfRule>
  </conditionalFormatting>
  <conditionalFormatting sqref="D90">
    <cfRule type="expression" dxfId="13218" priority="5024">
      <formula>B90=""</formula>
    </cfRule>
  </conditionalFormatting>
  <conditionalFormatting sqref="D91">
    <cfRule type="expression" dxfId="13217" priority="5023">
      <formula>B91=""</formula>
    </cfRule>
  </conditionalFormatting>
  <conditionalFormatting sqref="D92">
    <cfRule type="expression" dxfId="13216" priority="5022">
      <formula>B92=""</formula>
    </cfRule>
  </conditionalFormatting>
  <conditionalFormatting sqref="D93">
    <cfRule type="expression" dxfId="13215" priority="5021">
      <formula>B93=""</formula>
    </cfRule>
  </conditionalFormatting>
  <conditionalFormatting sqref="D94">
    <cfRule type="expression" dxfId="13214" priority="5020">
      <formula>B94=""</formula>
    </cfRule>
  </conditionalFormatting>
  <conditionalFormatting sqref="E74 E76 E78 E80 E82 E84 E86 E88 E90 E92">
    <cfRule type="expression" dxfId="13213" priority="5019">
      <formula>B74=""</formula>
    </cfRule>
  </conditionalFormatting>
  <conditionalFormatting sqref="E75 E77 E79 E81 E83 E85 E87 E89 E91 E93">
    <cfRule type="expression" dxfId="13212" priority="5018">
      <formula>B75=""</formula>
    </cfRule>
  </conditionalFormatting>
  <conditionalFormatting sqref="E76 E78 E80 E82 E84 E86 E88 E90 E92">
    <cfRule type="expression" dxfId="13211" priority="5017">
      <formula>B76=""</formula>
    </cfRule>
  </conditionalFormatting>
  <conditionalFormatting sqref="E77:E87">
    <cfRule type="expression" dxfId="13210" priority="5016">
      <formula>B77=""</formula>
    </cfRule>
  </conditionalFormatting>
  <conditionalFormatting sqref="E88">
    <cfRule type="expression" dxfId="13209" priority="5015">
      <formula>B88=""</formula>
    </cfRule>
  </conditionalFormatting>
  <conditionalFormatting sqref="E89">
    <cfRule type="expression" dxfId="13208" priority="5014">
      <formula>B89=""</formula>
    </cfRule>
  </conditionalFormatting>
  <conditionalFormatting sqref="E90">
    <cfRule type="expression" dxfId="13207" priority="5013">
      <formula>B90=""</formula>
    </cfRule>
  </conditionalFormatting>
  <conditionalFormatting sqref="E91">
    <cfRule type="expression" dxfId="13206" priority="5012">
      <formula>B91=""</formula>
    </cfRule>
  </conditionalFormatting>
  <conditionalFormatting sqref="E92">
    <cfRule type="expression" dxfId="13205" priority="5011">
      <formula>B92=""</formula>
    </cfRule>
  </conditionalFormatting>
  <conditionalFormatting sqref="E93">
    <cfRule type="expression" dxfId="13204" priority="5010">
      <formula>B93=""</formula>
    </cfRule>
  </conditionalFormatting>
  <conditionalFormatting sqref="E94">
    <cfRule type="expression" dxfId="13203" priority="5009">
      <formula>B94=""</formula>
    </cfRule>
  </conditionalFormatting>
  <conditionalFormatting sqref="F74 F76 F78 F80 F82 F84 F86 F88 F90 F92">
    <cfRule type="expression" dxfId="13202" priority="5008">
      <formula>B74=""</formula>
    </cfRule>
  </conditionalFormatting>
  <conditionalFormatting sqref="F75 F77 F79 F81 F83 F85 F87 F89 F91 F93:F94">
    <cfRule type="expression" dxfId="13201" priority="5007">
      <formula>B75=""</formula>
    </cfRule>
  </conditionalFormatting>
  <conditionalFormatting sqref="F76 F78 F80 F82 F84 F86 F88 F90 F92">
    <cfRule type="expression" dxfId="13200" priority="5006">
      <formula>B76=""</formula>
    </cfRule>
  </conditionalFormatting>
  <conditionalFormatting sqref="F77:F87">
    <cfRule type="expression" dxfId="13199" priority="5005">
      <formula>B77=""</formula>
    </cfRule>
  </conditionalFormatting>
  <conditionalFormatting sqref="F88">
    <cfRule type="expression" dxfId="13198" priority="5004">
      <formula>B88=""</formula>
    </cfRule>
  </conditionalFormatting>
  <conditionalFormatting sqref="F89">
    <cfRule type="expression" dxfId="13197" priority="5003">
      <formula>B89=""</formula>
    </cfRule>
  </conditionalFormatting>
  <conditionalFormatting sqref="F90">
    <cfRule type="expression" dxfId="13196" priority="5002">
      <formula>B90=""</formula>
    </cfRule>
  </conditionalFormatting>
  <conditionalFormatting sqref="F91">
    <cfRule type="expression" dxfId="13195" priority="5001">
      <formula>B91=""</formula>
    </cfRule>
  </conditionalFormatting>
  <conditionalFormatting sqref="F92">
    <cfRule type="expression" dxfId="13194" priority="5000">
      <formula>B92=""</formula>
    </cfRule>
  </conditionalFormatting>
  <conditionalFormatting sqref="F93:F94">
    <cfRule type="expression" dxfId="13193" priority="4999">
      <formula>B93=""</formula>
    </cfRule>
  </conditionalFormatting>
  <conditionalFormatting sqref="F94">
    <cfRule type="expression" dxfId="13192" priority="4998">
      <formula>B94=""</formula>
    </cfRule>
  </conditionalFormatting>
  <conditionalFormatting sqref="E75 E77 E79 E81 E83 E85 E87 E89 E91 E93">
    <cfRule type="expression" dxfId="13191" priority="4997">
      <formula>B75=""</formula>
    </cfRule>
  </conditionalFormatting>
  <conditionalFormatting sqref="E76 E78 E80 E82 E84 E86 E88 E90 E92">
    <cfRule type="expression" dxfId="13190" priority="4996">
      <formula>B76=""</formula>
    </cfRule>
  </conditionalFormatting>
  <conditionalFormatting sqref="E77:E87">
    <cfRule type="expression" dxfId="13189" priority="4995">
      <formula>B77=""</formula>
    </cfRule>
  </conditionalFormatting>
  <conditionalFormatting sqref="E88">
    <cfRule type="expression" dxfId="13188" priority="4994">
      <formula>B88=""</formula>
    </cfRule>
  </conditionalFormatting>
  <conditionalFormatting sqref="E89">
    <cfRule type="expression" dxfId="13187" priority="4993">
      <formula>B89=""</formula>
    </cfRule>
  </conditionalFormatting>
  <conditionalFormatting sqref="E90">
    <cfRule type="expression" dxfId="13186" priority="4992">
      <formula>B90=""</formula>
    </cfRule>
  </conditionalFormatting>
  <conditionalFormatting sqref="E91">
    <cfRule type="expression" dxfId="13185" priority="4991">
      <formula>B91=""</formula>
    </cfRule>
  </conditionalFormatting>
  <conditionalFormatting sqref="E92">
    <cfRule type="expression" dxfId="13184" priority="4990">
      <formula>B92=""</formula>
    </cfRule>
  </conditionalFormatting>
  <conditionalFormatting sqref="E93">
    <cfRule type="expression" dxfId="13183" priority="4989">
      <formula>B93=""</formula>
    </cfRule>
  </conditionalFormatting>
  <conditionalFormatting sqref="E94">
    <cfRule type="expression" dxfId="13182" priority="4988">
      <formula>B94=""</formula>
    </cfRule>
  </conditionalFormatting>
  <conditionalFormatting sqref="G74 G76 G78 G80 G82 G84 G86 G88 G90 G92">
    <cfRule type="expression" dxfId="13181" priority="4987">
      <formula>B74=""</formula>
    </cfRule>
  </conditionalFormatting>
  <conditionalFormatting sqref="G75 G77 G79 G81 G83 G85 G87 G89 G91 G93">
    <cfRule type="expression" dxfId="13180" priority="4986">
      <formula>B75=""</formula>
    </cfRule>
  </conditionalFormatting>
  <conditionalFormatting sqref="G76 G78 G80 G82 G84 G86 G88 G90 G92">
    <cfRule type="expression" dxfId="13179" priority="4985">
      <formula>B76=""</formula>
    </cfRule>
  </conditionalFormatting>
  <conditionalFormatting sqref="G77:G87">
    <cfRule type="expression" dxfId="13178" priority="4984">
      <formula>B77=""</formula>
    </cfRule>
  </conditionalFormatting>
  <conditionalFormatting sqref="G88">
    <cfRule type="expression" dxfId="13177" priority="4983">
      <formula>B88=""</formula>
    </cfRule>
  </conditionalFormatting>
  <conditionalFormatting sqref="G89">
    <cfRule type="expression" dxfId="13176" priority="4982">
      <formula>B89=""</formula>
    </cfRule>
  </conditionalFormatting>
  <conditionalFormatting sqref="G90">
    <cfRule type="expression" dxfId="13175" priority="4981">
      <formula>B90=""</formula>
    </cfRule>
  </conditionalFormatting>
  <conditionalFormatting sqref="G91">
    <cfRule type="expression" dxfId="13174" priority="4980">
      <formula>B91=""</formula>
    </cfRule>
  </conditionalFormatting>
  <conditionalFormatting sqref="G92">
    <cfRule type="expression" dxfId="13173" priority="4979">
      <formula>B92=""</formula>
    </cfRule>
  </conditionalFormatting>
  <conditionalFormatting sqref="G93">
    <cfRule type="expression" dxfId="13172" priority="4978">
      <formula>B93=""</formula>
    </cfRule>
  </conditionalFormatting>
  <conditionalFormatting sqref="G94">
    <cfRule type="expression" dxfId="13171" priority="4977">
      <formula>B94=""</formula>
    </cfRule>
  </conditionalFormatting>
  <conditionalFormatting sqref="H74 H76 H78 H80 H82 H84 H86 H88 H90 H92">
    <cfRule type="expression" dxfId="13170" priority="4976">
      <formula>B74=""</formula>
    </cfRule>
  </conditionalFormatting>
  <conditionalFormatting sqref="H75 H77 H79 H81 H83 H85 H87 H89 H91 H93">
    <cfRule type="expression" dxfId="13169" priority="4975">
      <formula>B75=""</formula>
    </cfRule>
  </conditionalFormatting>
  <conditionalFormatting sqref="H76 H78 H80 H82 H84 H86 H88 H90 H92">
    <cfRule type="expression" dxfId="13168" priority="4974">
      <formula>B76=""</formula>
    </cfRule>
  </conditionalFormatting>
  <conditionalFormatting sqref="H77:H87">
    <cfRule type="expression" dxfId="13167" priority="4973">
      <formula>B77=""</formula>
    </cfRule>
  </conditionalFormatting>
  <conditionalFormatting sqref="H88">
    <cfRule type="expression" dxfId="13166" priority="4972">
      <formula>B88=""</formula>
    </cfRule>
  </conditionalFormatting>
  <conditionalFormatting sqref="H89">
    <cfRule type="expression" dxfId="13165" priority="4971">
      <formula>B89=""</formula>
    </cfRule>
  </conditionalFormatting>
  <conditionalFormatting sqref="H90">
    <cfRule type="expression" dxfId="13164" priority="4970">
      <formula>B90=""</formula>
    </cfRule>
  </conditionalFormatting>
  <conditionalFormatting sqref="H91">
    <cfRule type="expression" dxfId="13163" priority="4969">
      <formula>B91=""</formula>
    </cfRule>
  </conditionalFormatting>
  <conditionalFormatting sqref="H92">
    <cfRule type="expression" dxfId="13162" priority="4968">
      <formula>B92=""</formula>
    </cfRule>
  </conditionalFormatting>
  <conditionalFormatting sqref="H93">
    <cfRule type="expression" dxfId="13161" priority="4967">
      <formula>B93=""</formula>
    </cfRule>
  </conditionalFormatting>
  <conditionalFormatting sqref="H94">
    <cfRule type="expression" dxfId="13160" priority="4966">
      <formula>B94=""</formula>
    </cfRule>
  </conditionalFormatting>
  <conditionalFormatting sqref="C49">
    <cfRule type="expression" dxfId="13159" priority="4965">
      <formula>B49=""</formula>
    </cfRule>
  </conditionalFormatting>
  <conditionalFormatting sqref="C71">
    <cfRule type="expression" dxfId="13158" priority="4964">
      <formula>B71=""</formula>
    </cfRule>
  </conditionalFormatting>
  <conditionalFormatting sqref="C93">
    <cfRule type="expression" dxfId="13157" priority="4963">
      <formula>B93=""</formula>
    </cfRule>
  </conditionalFormatting>
  <conditionalFormatting sqref="C8:C27">
    <cfRule type="expression" dxfId="13156" priority="4962">
      <formula>B8=""</formula>
    </cfRule>
  </conditionalFormatting>
  <conditionalFormatting sqref="C9:C27">
    <cfRule type="expression" dxfId="13155" priority="4961">
      <formula>B9=""</formula>
    </cfRule>
  </conditionalFormatting>
  <conditionalFormatting sqref="C10:C20">
    <cfRule type="expression" dxfId="13154" priority="4960">
      <formula>B10=""</formula>
    </cfRule>
  </conditionalFormatting>
  <conditionalFormatting sqref="C21">
    <cfRule type="expression" dxfId="13153" priority="4959">
      <formula>B21=""</formula>
    </cfRule>
  </conditionalFormatting>
  <conditionalFormatting sqref="C22">
    <cfRule type="expression" dxfId="13152" priority="4958">
      <formula>B22=""</formula>
    </cfRule>
  </conditionalFormatting>
  <conditionalFormatting sqref="C23">
    <cfRule type="expression" dxfId="13151" priority="4957">
      <formula>B23=""</formula>
    </cfRule>
  </conditionalFormatting>
  <conditionalFormatting sqref="C24">
    <cfRule type="expression" dxfId="13150" priority="4956">
      <formula>B24=""</formula>
    </cfRule>
  </conditionalFormatting>
  <conditionalFormatting sqref="C25">
    <cfRule type="expression" dxfId="13149" priority="4955">
      <formula>B25=""</formula>
    </cfRule>
  </conditionalFormatting>
  <conditionalFormatting sqref="C26">
    <cfRule type="expression" dxfId="13148" priority="4954">
      <formula>B26=""</formula>
    </cfRule>
  </conditionalFormatting>
  <conditionalFormatting sqref="C27">
    <cfRule type="expression" dxfId="13147" priority="4953">
      <formula>B27=""</formula>
    </cfRule>
  </conditionalFormatting>
  <conditionalFormatting sqref="C28">
    <cfRule type="expression" dxfId="13146" priority="4952">
      <formula>B28=""</formula>
    </cfRule>
  </conditionalFormatting>
  <conditionalFormatting sqref="C30:C50">
    <cfRule type="expression" dxfId="13145" priority="4951">
      <formula>B30=""</formula>
    </cfRule>
  </conditionalFormatting>
  <conditionalFormatting sqref="C31 C33 C35 C37 C39 C41 C43 C45 C47 C49">
    <cfRule type="expression" dxfId="13144" priority="4950">
      <formula>B31=""</formula>
    </cfRule>
  </conditionalFormatting>
  <conditionalFormatting sqref="C32:C49">
    <cfRule type="expression" dxfId="13143" priority="4949">
      <formula>B32=""</formula>
    </cfRule>
  </conditionalFormatting>
  <conditionalFormatting sqref="C43">
    <cfRule type="expression" dxfId="13142" priority="4948">
      <formula>B43=""</formula>
    </cfRule>
  </conditionalFormatting>
  <conditionalFormatting sqref="C44">
    <cfRule type="expression" dxfId="13141" priority="4947">
      <formula>B44=""</formula>
    </cfRule>
  </conditionalFormatting>
  <conditionalFormatting sqref="C45">
    <cfRule type="expression" dxfId="13140" priority="4946">
      <formula>B45=""</formula>
    </cfRule>
  </conditionalFormatting>
  <conditionalFormatting sqref="C46">
    <cfRule type="expression" dxfId="13139" priority="4945">
      <formula>B46=""</formula>
    </cfRule>
  </conditionalFormatting>
  <conditionalFormatting sqref="C47">
    <cfRule type="expression" dxfId="13138" priority="4944">
      <formula>B47=""</formula>
    </cfRule>
  </conditionalFormatting>
  <conditionalFormatting sqref="C48">
    <cfRule type="expression" dxfId="13137" priority="4943">
      <formula>B48=""</formula>
    </cfRule>
  </conditionalFormatting>
  <conditionalFormatting sqref="C49">
    <cfRule type="expression" dxfId="13136" priority="4942">
      <formula>B49=""</formula>
    </cfRule>
  </conditionalFormatting>
  <conditionalFormatting sqref="C50">
    <cfRule type="expression" dxfId="13135" priority="4941">
      <formula>B50=""</formula>
    </cfRule>
  </conditionalFormatting>
  <conditionalFormatting sqref="C52:C71">
    <cfRule type="expression" dxfId="13134" priority="4940">
      <formula>B52=""</formula>
    </cfRule>
  </conditionalFormatting>
  <conditionalFormatting sqref="C53">
    <cfRule type="expression" dxfId="13133" priority="4939">
      <formula>B53=""</formula>
    </cfRule>
  </conditionalFormatting>
  <conditionalFormatting sqref="C54:C64">
    <cfRule type="expression" dxfId="13132" priority="4938">
      <formula>B54=""</formula>
    </cfRule>
  </conditionalFormatting>
  <conditionalFormatting sqref="C65">
    <cfRule type="expression" dxfId="13131" priority="4937">
      <formula>B65=""</formula>
    </cfRule>
  </conditionalFormatting>
  <conditionalFormatting sqref="C66">
    <cfRule type="expression" dxfId="13130" priority="4936">
      <formula>B66=""</formula>
    </cfRule>
  </conditionalFormatting>
  <conditionalFormatting sqref="C67">
    <cfRule type="expression" dxfId="13129" priority="4935">
      <formula>B67=""</formula>
    </cfRule>
  </conditionalFormatting>
  <conditionalFormatting sqref="C68">
    <cfRule type="expression" dxfId="13128" priority="4934">
      <formula>B68=""</formula>
    </cfRule>
  </conditionalFormatting>
  <conditionalFormatting sqref="C69">
    <cfRule type="expression" dxfId="13127" priority="4933">
      <formula>B69=""</formula>
    </cfRule>
  </conditionalFormatting>
  <conditionalFormatting sqref="C70">
    <cfRule type="expression" dxfId="13126" priority="4932">
      <formula>B70=""</formula>
    </cfRule>
  </conditionalFormatting>
  <conditionalFormatting sqref="C71">
    <cfRule type="expression" dxfId="13125" priority="4931">
      <formula>B71=""</formula>
    </cfRule>
  </conditionalFormatting>
  <conditionalFormatting sqref="C72">
    <cfRule type="expression" dxfId="13124" priority="4930">
      <formula>B72=""</formula>
    </cfRule>
  </conditionalFormatting>
  <conditionalFormatting sqref="C74:C94">
    <cfRule type="expression" dxfId="13123" priority="4929">
      <formula>B74=""</formula>
    </cfRule>
  </conditionalFormatting>
  <conditionalFormatting sqref="C75 C77 C79 C81 C83 C85 C87 C89 C91 C93">
    <cfRule type="expression" dxfId="13122" priority="4928">
      <formula>B75=""</formula>
    </cfRule>
  </conditionalFormatting>
  <conditionalFormatting sqref="C76 C78 C80 C82 C84 C86 C88 C90 C92">
    <cfRule type="expression" dxfId="13121" priority="4927">
      <formula>B76=""</formula>
    </cfRule>
  </conditionalFormatting>
  <conditionalFormatting sqref="C77:C87">
    <cfRule type="expression" dxfId="13120" priority="4926">
      <formula>B77=""</formula>
    </cfRule>
  </conditionalFormatting>
  <conditionalFormatting sqref="C88">
    <cfRule type="expression" dxfId="13119" priority="4925">
      <formula>B88=""</formula>
    </cfRule>
  </conditionalFormatting>
  <conditionalFormatting sqref="C89">
    <cfRule type="expression" dxfId="13118" priority="4924">
      <formula>B89=""</formula>
    </cfRule>
  </conditionalFormatting>
  <conditionalFormatting sqref="C90">
    <cfRule type="expression" dxfId="13117" priority="4923">
      <formula>B90=""</formula>
    </cfRule>
  </conditionalFormatting>
  <conditionalFormatting sqref="C91">
    <cfRule type="expression" dxfId="13116" priority="4922">
      <formula>B91=""</formula>
    </cfRule>
  </conditionalFormatting>
  <conditionalFormatting sqref="C92">
    <cfRule type="expression" dxfId="13115" priority="4921">
      <formula>B92=""</formula>
    </cfRule>
  </conditionalFormatting>
  <conditionalFormatting sqref="C93">
    <cfRule type="expression" dxfId="13114" priority="4920">
      <formula>B93=""</formula>
    </cfRule>
  </conditionalFormatting>
  <conditionalFormatting sqref="C94">
    <cfRule type="expression" dxfId="13113" priority="4919">
      <formula>B94=""</formula>
    </cfRule>
  </conditionalFormatting>
  <conditionalFormatting sqref="C8:C27 C108:C128">
    <cfRule type="expression" dxfId="13112" priority="4918">
      <formula>B8=""</formula>
    </cfRule>
  </conditionalFormatting>
  <conditionalFormatting sqref="C9:C27">
    <cfRule type="expression" dxfId="13111" priority="4917">
      <formula>B9=""</formula>
    </cfRule>
  </conditionalFormatting>
  <conditionalFormatting sqref="C10:C20">
    <cfRule type="expression" dxfId="13110" priority="4916">
      <formula>B10=""</formula>
    </cfRule>
  </conditionalFormatting>
  <conditionalFormatting sqref="C21">
    <cfRule type="expression" dxfId="13109" priority="4915">
      <formula>B21=""</formula>
    </cfRule>
  </conditionalFormatting>
  <conditionalFormatting sqref="C22">
    <cfRule type="expression" dxfId="13108" priority="4914">
      <formula>B22=""</formula>
    </cfRule>
  </conditionalFormatting>
  <conditionalFormatting sqref="C23">
    <cfRule type="expression" dxfId="13107" priority="4913">
      <formula>B23=""</formula>
    </cfRule>
  </conditionalFormatting>
  <conditionalFormatting sqref="C24">
    <cfRule type="expression" dxfId="13106" priority="4912">
      <formula>B24=""</formula>
    </cfRule>
  </conditionalFormatting>
  <conditionalFormatting sqref="C25">
    <cfRule type="expression" dxfId="13105" priority="4911">
      <formula>B25=""</formula>
    </cfRule>
  </conditionalFormatting>
  <conditionalFormatting sqref="C26">
    <cfRule type="expression" dxfId="13104" priority="4910">
      <formula>B26=""</formula>
    </cfRule>
  </conditionalFormatting>
  <conditionalFormatting sqref="C27">
    <cfRule type="expression" dxfId="13103" priority="4909">
      <formula>B27=""</formula>
    </cfRule>
  </conditionalFormatting>
  <conditionalFormatting sqref="D8">
    <cfRule type="expression" dxfId="13102" priority="4908">
      <formula>B8=""</formula>
    </cfRule>
  </conditionalFormatting>
  <conditionalFormatting sqref="D9">
    <cfRule type="expression" dxfId="13101" priority="4907">
      <formula>B9=""</formula>
    </cfRule>
  </conditionalFormatting>
  <conditionalFormatting sqref="D10:D20">
    <cfRule type="expression" dxfId="13100" priority="4906">
      <formula>B10=""</formula>
    </cfRule>
  </conditionalFormatting>
  <conditionalFormatting sqref="D21">
    <cfRule type="expression" dxfId="13099" priority="4905">
      <formula>B21=""</formula>
    </cfRule>
  </conditionalFormatting>
  <conditionalFormatting sqref="D22">
    <cfRule type="expression" dxfId="13098" priority="4904">
      <formula>B22=""</formula>
    </cfRule>
  </conditionalFormatting>
  <conditionalFormatting sqref="D23">
    <cfRule type="expression" dxfId="13097" priority="4903">
      <formula>B23=""</formula>
    </cfRule>
  </conditionalFormatting>
  <conditionalFormatting sqref="D24">
    <cfRule type="expression" dxfId="13096" priority="4902">
      <formula>B24=""</formula>
    </cfRule>
  </conditionalFormatting>
  <conditionalFormatting sqref="D25">
    <cfRule type="expression" dxfId="13095" priority="4901">
      <formula>B25=""</formula>
    </cfRule>
  </conditionalFormatting>
  <conditionalFormatting sqref="D26">
    <cfRule type="expression" dxfId="13094" priority="4900">
      <formula>B26=""</formula>
    </cfRule>
  </conditionalFormatting>
  <conditionalFormatting sqref="D27">
    <cfRule type="expression" dxfId="13093" priority="4899">
      <formula>B27=""</formula>
    </cfRule>
  </conditionalFormatting>
  <conditionalFormatting sqref="E8:E28">
    <cfRule type="expression" dxfId="13092" priority="4898">
      <formula>B8=""</formula>
    </cfRule>
  </conditionalFormatting>
  <conditionalFormatting sqref="E9">
    <cfRule type="expression" dxfId="13091" priority="4897">
      <formula>B9=""</formula>
    </cfRule>
  </conditionalFormatting>
  <conditionalFormatting sqref="E10:E20">
    <cfRule type="expression" dxfId="13090" priority="4896">
      <formula>B10=""</formula>
    </cfRule>
  </conditionalFormatting>
  <conditionalFormatting sqref="E21:E23">
    <cfRule type="expression" dxfId="13089" priority="4895">
      <formula>B21=""</formula>
    </cfRule>
  </conditionalFormatting>
  <conditionalFormatting sqref="E22">
    <cfRule type="expression" dxfId="13088" priority="4894">
      <formula>B22=""</formula>
    </cfRule>
  </conditionalFormatting>
  <conditionalFormatting sqref="E23">
    <cfRule type="expression" dxfId="13087" priority="4893">
      <formula>B23=""</formula>
    </cfRule>
  </conditionalFormatting>
  <conditionalFormatting sqref="E24">
    <cfRule type="expression" dxfId="13086" priority="4892">
      <formula>B24=""</formula>
    </cfRule>
  </conditionalFormatting>
  <conditionalFormatting sqref="E25">
    <cfRule type="expression" dxfId="13085" priority="4891">
      <formula>B25=""</formula>
    </cfRule>
  </conditionalFormatting>
  <conditionalFormatting sqref="E26">
    <cfRule type="expression" dxfId="13084" priority="4890">
      <formula>B26=""</formula>
    </cfRule>
  </conditionalFormatting>
  <conditionalFormatting sqref="E27:E28">
    <cfRule type="expression" dxfId="13083" priority="4889">
      <formula>B27=""</formula>
    </cfRule>
  </conditionalFormatting>
  <conditionalFormatting sqref="F8:F28 F108:F128">
    <cfRule type="expression" dxfId="13082" priority="4888">
      <formula>B8=""</formula>
    </cfRule>
  </conditionalFormatting>
  <conditionalFormatting sqref="F9">
    <cfRule type="expression" dxfId="13081" priority="4887">
      <formula>B9=""</formula>
    </cfRule>
  </conditionalFormatting>
  <conditionalFormatting sqref="F10:F20">
    <cfRule type="expression" dxfId="13080" priority="4886">
      <formula>B10=""</formula>
    </cfRule>
  </conditionalFormatting>
  <conditionalFormatting sqref="F21">
    <cfRule type="expression" dxfId="13079" priority="4885">
      <formula>B21=""</formula>
    </cfRule>
  </conditionalFormatting>
  <conditionalFormatting sqref="F22">
    <cfRule type="expression" dxfId="13078" priority="4884">
      <formula>B22=""</formula>
    </cfRule>
  </conditionalFormatting>
  <conditionalFormatting sqref="F23">
    <cfRule type="expression" dxfId="13077" priority="4883">
      <formula>B23=""</formula>
    </cfRule>
  </conditionalFormatting>
  <conditionalFormatting sqref="F24">
    <cfRule type="expression" dxfId="13076" priority="4882">
      <formula>B24=""</formula>
    </cfRule>
  </conditionalFormatting>
  <conditionalFormatting sqref="F25">
    <cfRule type="expression" dxfId="13075" priority="4881">
      <formula>B25=""</formula>
    </cfRule>
  </conditionalFormatting>
  <conditionalFormatting sqref="F26">
    <cfRule type="expression" dxfId="13074" priority="4880">
      <formula>B26=""</formula>
    </cfRule>
  </conditionalFormatting>
  <conditionalFormatting sqref="F27:F28">
    <cfRule type="expression" dxfId="13073" priority="4879">
      <formula>B27=""</formula>
    </cfRule>
  </conditionalFormatting>
  <conditionalFormatting sqref="E9">
    <cfRule type="expression" dxfId="13072" priority="4878">
      <formula>B9=""</formula>
    </cfRule>
  </conditionalFormatting>
  <conditionalFormatting sqref="E10:E20">
    <cfRule type="expression" dxfId="13071" priority="4877">
      <formula>B10=""</formula>
    </cfRule>
  </conditionalFormatting>
  <conditionalFormatting sqref="E21:E23">
    <cfRule type="expression" dxfId="13070" priority="4876">
      <formula>B21=""</formula>
    </cfRule>
  </conditionalFormatting>
  <conditionalFormatting sqref="E22">
    <cfRule type="expression" dxfId="13069" priority="4875">
      <formula>B22=""</formula>
    </cfRule>
  </conditionalFormatting>
  <conditionalFormatting sqref="E23">
    <cfRule type="expression" dxfId="13068" priority="4874">
      <formula>B23=""</formula>
    </cfRule>
  </conditionalFormatting>
  <conditionalFormatting sqref="E24">
    <cfRule type="expression" dxfId="13067" priority="4873">
      <formula>B24=""</formula>
    </cfRule>
  </conditionalFormatting>
  <conditionalFormatting sqref="E25">
    <cfRule type="expression" dxfId="13066" priority="4872">
      <formula>B25=""</formula>
    </cfRule>
  </conditionalFormatting>
  <conditionalFormatting sqref="E26">
    <cfRule type="expression" dxfId="13065" priority="4871">
      <formula>B26=""</formula>
    </cfRule>
  </conditionalFormatting>
  <conditionalFormatting sqref="E27:E28">
    <cfRule type="expression" dxfId="13064" priority="4870">
      <formula>B27=""</formula>
    </cfRule>
  </conditionalFormatting>
  <conditionalFormatting sqref="G8:G27">
    <cfRule type="expression" dxfId="13063" priority="4869">
      <formula>B8=""</formula>
    </cfRule>
  </conditionalFormatting>
  <conditionalFormatting sqref="G9">
    <cfRule type="expression" dxfId="13062" priority="4868">
      <formula>B9=""</formula>
    </cfRule>
  </conditionalFormatting>
  <conditionalFormatting sqref="G10:G20">
    <cfRule type="expression" dxfId="13061" priority="4867">
      <formula>B10=""</formula>
    </cfRule>
  </conditionalFormatting>
  <conditionalFormatting sqref="G21">
    <cfRule type="expression" dxfId="13060" priority="4866">
      <formula>B21=""</formula>
    </cfRule>
  </conditionalFormatting>
  <conditionalFormatting sqref="G22">
    <cfRule type="expression" dxfId="13059" priority="4865">
      <formula>B22=""</formula>
    </cfRule>
  </conditionalFormatting>
  <conditionalFormatting sqref="G23">
    <cfRule type="expression" dxfId="13058" priority="4864">
      <formula>B23=""</formula>
    </cfRule>
  </conditionalFormatting>
  <conditionalFormatting sqref="G24">
    <cfRule type="expression" dxfId="13057" priority="4863">
      <formula>B24=""</formula>
    </cfRule>
  </conditionalFormatting>
  <conditionalFormatting sqref="G25">
    <cfRule type="expression" dxfId="13056" priority="4862">
      <formula>B25=""</formula>
    </cfRule>
  </conditionalFormatting>
  <conditionalFormatting sqref="G26">
    <cfRule type="expression" dxfId="13055" priority="4861">
      <formula>B26=""</formula>
    </cfRule>
  </conditionalFormatting>
  <conditionalFormatting sqref="G27">
    <cfRule type="expression" dxfId="13054" priority="4860">
      <formula>B27=""</formula>
    </cfRule>
  </conditionalFormatting>
  <conditionalFormatting sqref="H8">
    <cfRule type="expression" dxfId="13053" priority="4859">
      <formula>B8=""</formula>
    </cfRule>
  </conditionalFormatting>
  <conditionalFormatting sqref="H9">
    <cfRule type="expression" dxfId="13052" priority="4858">
      <formula>B9=""</formula>
    </cfRule>
  </conditionalFormatting>
  <conditionalFormatting sqref="H10:H20">
    <cfRule type="expression" dxfId="13051" priority="4857">
      <formula>B10=""</formula>
    </cfRule>
  </conditionalFormatting>
  <conditionalFormatting sqref="H21">
    <cfRule type="expression" dxfId="13050" priority="4856">
      <formula>B21=""</formula>
    </cfRule>
  </conditionalFormatting>
  <conditionalFormatting sqref="H22">
    <cfRule type="expression" dxfId="13049" priority="4855">
      <formula>B22=""</formula>
    </cfRule>
  </conditionalFormatting>
  <conditionalFormatting sqref="H23">
    <cfRule type="expression" dxfId="13048" priority="4854">
      <formula>B23=""</formula>
    </cfRule>
  </conditionalFormatting>
  <conditionalFormatting sqref="H24">
    <cfRule type="expression" dxfId="13047" priority="4853">
      <formula>B24=""</formula>
    </cfRule>
  </conditionalFormatting>
  <conditionalFormatting sqref="H25">
    <cfRule type="expression" dxfId="13046" priority="4852">
      <formula>B25=""</formula>
    </cfRule>
  </conditionalFormatting>
  <conditionalFormatting sqref="H26">
    <cfRule type="expression" dxfId="13045" priority="4851">
      <formula>B26=""</formula>
    </cfRule>
  </conditionalFormatting>
  <conditionalFormatting sqref="H27">
    <cfRule type="expression" dxfId="13044" priority="4850">
      <formula>B27=""</formula>
    </cfRule>
  </conditionalFormatting>
  <conditionalFormatting sqref="F8:F28">
    <cfRule type="expression" dxfId="13043" priority="4849">
      <formula>B8=""</formula>
    </cfRule>
  </conditionalFormatting>
  <conditionalFormatting sqref="F9">
    <cfRule type="expression" dxfId="13042" priority="4848">
      <formula>B9=""</formula>
    </cfRule>
  </conditionalFormatting>
  <conditionalFormatting sqref="F10:F20">
    <cfRule type="expression" dxfId="13041" priority="4847">
      <formula>B10=""</formula>
    </cfRule>
  </conditionalFormatting>
  <conditionalFormatting sqref="F21">
    <cfRule type="expression" dxfId="13040" priority="4846">
      <formula>B21=""</formula>
    </cfRule>
  </conditionalFormatting>
  <conditionalFormatting sqref="F22">
    <cfRule type="expression" dxfId="13039" priority="4845">
      <formula>B22=""</formula>
    </cfRule>
  </conditionalFormatting>
  <conditionalFormatting sqref="F23">
    <cfRule type="expression" dxfId="13038" priority="4844">
      <formula>B23=""</formula>
    </cfRule>
  </conditionalFormatting>
  <conditionalFormatting sqref="F24">
    <cfRule type="expression" dxfId="13037" priority="4843">
      <formula>B24=""</formula>
    </cfRule>
  </conditionalFormatting>
  <conditionalFormatting sqref="F25">
    <cfRule type="expression" dxfId="13036" priority="4842">
      <formula>B25=""</formula>
    </cfRule>
  </conditionalFormatting>
  <conditionalFormatting sqref="F26">
    <cfRule type="expression" dxfId="13035" priority="4841">
      <formula>B26=""</formula>
    </cfRule>
  </conditionalFormatting>
  <conditionalFormatting sqref="F27:F28">
    <cfRule type="expression" dxfId="13034" priority="4840">
      <formula>B27=""</formula>
    </cfRule>
  </conditionalFormatting>
  <conditionalFormatting sqref="C30:C49">
    <cfRule type="expression" dxfId="13033" priority="4839">
      <formula>B30=""</formula>
    </cfRule>
  </conditionalFormatting>
  <conditionalFormatting sqref="C31 C33 C35 C37 C39 C41 C43 C45 C47 C49">
    <cfRule type="expression" dxfId="13032" priority="4838">
      <formula>B31=""</formula>
    </cfRule>
  </conditionalFormatting>
  <conditionalFormatting sqref="C32:C49">
    <cfRule type="expression" dxfId="13031" priority="4837">
      <formula>B32=""</formula>
    </cfRule>
  </conditionalFormatting>
  <conditionalFormatting sqref="C43">
    <cfRule type="expression" dxfId="13030" priority="4836">
      <formula>B43=""</formula>
    </cfRule>
  </conditionalFormatting>
  <conditionalFormatting sqref="C44">
    <cfRule type="expression" dxfId="13029" priority="4835">
      <formula>B44=""</formula>
    </cfRule>
  </conditionalFormatting>
  <conditionalFormatting sqref="C45">
    <cfRule type="expression" dxfId="13028" priority="4834">
      <formula>B45=""</formula>
    </cfRule>
  </conditionalFormatting>
  <conditionalFormatting sqref="C46">
    <cfRule type="expression" dxfId="13027" priority="4833">
      <formula>B46=""</formula>
    </cfRule>
  </conditionalFormatting>
  <conditionalFormatting sqref="C47">
    <cfRule type="expression" dxfId="13026" priority="4832">
      <formula>B47=""</formula>
    </cfRule>
  </conditionalFormatting>
  <conditionalFormatting sqref="C48">
    <cfRule type="expression" dxfId="13025" priority="4831">
      <formula>B48=""</formula>
    </cfRule>
  </conditionalFormatting>
  <conditionalFormatting sqref="C49">
    <cfRule type="expression" dxfId="13024" priority="4830">
      <formula>B49=""</formula>
    </cfRule>
  </conditionalFormatting>
  <conditionalFormatting sqref="D30">
    <cfRule type="expression" dxfId="13023" priority="4829">
      <formula>B30=""</formula>
    </cfRule>
  </conditionalFormatting>
  <conditionalFormatting sqref="D31 D33 D35 D37 D39 D41 D43 D45 D47 D49">
    <cfRule type="expression" dxfId="13022" priority="4828">
      <formula>B31=""</formula>
    </cfRule>
  </conditionalFormatting>
  <conditionalFormatting sqref="D32:D49">
    <cfRule type="expression" dxfId="13021" priority="4827">
      <formula>B32=""</formula>
    </cfRule>
  </conditionalFormatting>
  <conditionalFormatting sqref="D43">
    <cfRule type="expression" dxfId="13020" priority="4826">
      <formula>B43=""</formula>
    </cfRule>
  </conditionalFormatting>
  <conditionalFormatting sqref="D44">
    <cfRule type="expression" dxfId="13019" priority="4825">
      <formula>B44=""</formula>
    </cfRule>
  </conditionalFormatting>
  <conditionalFormatting sqref="D45">
    <cfRule type="expression" dxfId="13018" priority="4824">
      <formula>B45=""</formula>
    </cfRule>
  </conditionalFormatting>
  <conditionalFormatting sqref="D46">
    <cfRule type="expression" dxfId="13017" priority="4823">
      <formula>B46=""</formula>
    </cfRule>
  </conditionalFormatting>
  <conditionalFormatting sqref="D47">
    <cfRule type="expression" dxfId="13016" priority="4822">
      <formula>B47=""</formula>
    </cfRule>
  </conditionalFormatting>
  <conditionalFormatting sqref="D48">
    <cfRule type="expression" dxfId="13015" priority="4821">
      <formula>B48=""</formula>
    </cfRule>
  </conditionalFormatting>
  <conditionalFormatting sqref="D49">
    <cfRule type="expression" dxfId="13014" priority="4820">
      <formula>B49=""</formula>
    </cfRule>
  </conditionalFormatting>
  <conditionalFormatting sqref="E30">
    <cfRule type="expression" dxfId="13013" priority="4819">
      <formula>B30=""</formula>
    </cfRule>
  </conditionalFormatting>
  <conditionalFormatting sqref="E31 E33 E35 E37 E39 E41 E43 E45 E47 E49">
    <cfRule type="expression" dxfId="13012" priority="4818">
      <formula>B31=""</formula>
    </cfRule>
  </conditionalFormatting>
  <conditionalFormatting sqref="E32:E49">
    <cfRule type="expression" dxfId="13011" priority="4817">
      <formula>B32=""</formula>
    </cfRule>
  </conditionalFormatting>
  <conditionalFormatting sqref="E43">
    <cfRule type="expression" dxfId="13010" priority="4816">
      <formula>B43=""</formula>
    </cfRule>
  </conditionalFormatting>
  <conditionalFormatting sqref="E44">
    <cfRule type="expression" dxfId="13009" priority="4815">
      <formula>B44=""</formula>
    </cfRule>
  </conditionalFormatting>
  <conditionalFormatting sqref="E45">
    <cfRule type="expression" dxfId="13008" priority="4814">
      <formula>B45=""</formula>
    </cfRule>
  </conditionalFormatting>
  <conditionalFormatting sqref="E46">
    <cfRule type="expression" dxfId="13007" priority="4813">
      <formula>B46=""</formula>
    </cfRule>
  </conditionalFormatting>
  <conditionalFormatting sqref="E47">
    <cfRule type="expression" dxfId="13006" priority="4812">
      <formula>B47=""</formula>
    </cfRule>
  </conditionalFormatting>
  <conditionalFormatting sqref="E48">
    <cfRule type="expression" dxfId="13005" priority="4811">
      <formula>B48=""</formula>
    </cfRule>
  </conditionalFormatting>
  <conditionalFormatting sqref="E49:E50">
    <cfRule type="expression" dxfId="13004" priority="4810">
      <formula>B49=""</formula>
    </cfRule>
  </conditionalFormatting>
  <conditionalFormatting sqref="F30:F50">
    <cfRule type="expression" dxfId="13003" priority="4809">
      <formula>B30=""</formula>
    </cfRule>
  </conditionalFormatting>
  <conditionalFormatting sqref="F31 F33 F35 F37 F39 F41 F43 F45 F47 F49">
    <cfRule type="expression" dxfId="13002" priority="4808">
      <formula>B31=""</formula>
    </cfRule>
  </conditionalFormatting>
  <conditionalFormatting sqref="F32:F49">
    <cfRule type="expression" dxfId="13001" priority="4807">
      <formula>B32=""</formula>
    </cfRule>
  </conditionalFormatting>
  <conditionalFormatting sqref="F43">
    <cfRule type="expression" dxfId="13000" priority="4806">
      <formula>B43=""</formula>
    </cfRule>
  </conditionalFormatting>
  <conditionalFormatting sqref="F44">
    <cfRule type="expression" dxfId="12999" priority="4805">
      <formula>B44=""</formula>
    </cfRule>
  </conditionalFormatting>
  <conditionalFormatting sqref="F45">
    <cfRule type="expression" dxfId="12998" priority="4804">
      <formula>B45=""</formula>
    </cfRule>
  </conditionalFormatting>
  <conditionalFormatting sqref="F46">
    <cfRule type="expression" dxfId="12997" priority="4803">
      <formula>B46=""</formula>
    </cfRule>
  </conditionalFormatting>
  <conditionalFormatting sqref="F47">
    <cfRule type="expression" dxfId="12996" priority="4802">
      <formula>B47=""</formula>
    </cfRule>
  </conditionalFormatting>
  <conditionalFormatting sqref="F48">
    <cfRule type="expression" dxfId="12995" priority="4801">
      <formula>B48=""</formula>
    </cfRule>
  </conditionalFormatting>
  <conditionalFormatting sqref="F49">
    <cfRule type="expression" dxfId="12994" priority="4800">
      <formula>B49=""</formula>
    </cfRule>
  </conditionalFormatting>
  <conditionalFormatting sqref="E31 E33 E35 E37 E39 E41 E43 E45 E47 E49">
    <cfRule type="expression" dxfId="12993" priority="4799">
      <formula>B31=""</formula>
    </cfRule>
  </conditionalFormatting>
  <conditionalFormatting sqref="E32:E49">
    <cfRule type="expression" dxfId="12992" priority="4798">
      <formula>B32=""</formula>
    </cfRule>
  </conditionalFormatting>
  <conditionalFormatting sqref="E43">
    <cfRule type="expression" dxfId="12991" priority="4797">
      <formula>B43=""</formula>
    </cfRule>
  </conditionalFormatting>
  <conditionalFormatting sqref="E44">
    <cfRule type="expression" dxfId="12990" priority="4796">
      <formula>B44=""</formula>
    </cfRule>
  </conditionalFormatting>
  <conditionalFormatting sqref="E45">
    <cfRule type="expression" dxfId="12989" priority="4795">
      <formula>B45=""</formula>
    </cfRule>
  </conditionalFormatting>
  <conditionalFormatting sqref="E46">
    <cfRule type="expression" dxfId="12988" priority="4794">
      <formula>B46=""</formula>
    </cfRule>
  </conditionalFormatting>
  <conditionalFormatting sqref="E47">
    <cfRule type="expression" dxfId="12987" priority="4793">
      <formula>B47=""</formula>
    </cfRule>
  </conditionalFormatting>
  <conditionalFormatting sqref="E48">
    <cfRule type="expression" dxfId="12986" priority="4792">
      <formula>B48=""</formula>
    </cfRule>
  </conditionalFormatting>
  <conditionalFormatting sqref="E49:E50">
    <cfRule type="expression" dxfId="12985" priority="4791">
      <formula>B49=""</formula>
    </cfRule>
  </conditionalFormatting>
  <conditionalFormatting sqref="G30">
    <cfRule type="expression" dxfId="12984" priority="4790">
      <formula>B30=""</formula>
    </cfRule>
  </conditionalFormatting>
  <conditionalFormatting sqref="G31 G33 G35 G37 G39 G41 G43 G45 G47 G49">
    <cfRule type="expression" dxfId="12983" priority="4789">
      <formula>B31=""</formula>
    </cfRule>
  </conditionalFormatting>
  <conditionalFormatting sqref="G32:G49">
    <cfRule type="expression" dxfId="12982" priority="4788">
      <formula>B32=""</formula>
    </cfRule>
  </conditionalFormatting>
  <conditionalFormatting sqref="G43">
    <cfRule type="expression" dxfId="12981" priority="4787">
      <formula>B43=""</formula>
    </cfRule>
  </conditionalFormatting>
  <conditionalFormatting sqref="G44">
    <cfRule type="expression" dxfId="12980" priority="4786">
      <formula>B44=""</formula>
    </cfRule>
  </conditionalFormatting>
  <conditionalFormatting sqref="G45">
    <cfRule type="expression" dxfId="12979" priority="4785">
      <formula>B45=""</formula>
    </cfRule>
  </conditionalFormatting>
  <conditionalFormatting sqref="G46">
    <cfRule type="expression" dxfId="12978" priority="4784">
      <formula>B46=""</formula>
    </cfRule>
  </conditionalFormatting>
  <conditionalFormatting sqref="G47">
    <cfRule type="expression" dxfId="12977" priority="4783">
      <formula>B47=""</formula>
    </cfRule>
  </conditionalFormatting>
  <conditionalFormatting sqref="G48">
    <cfRule type="expression" dxfId="12976" priority="4782">
      <formula>B48=""</formula>
    </cfRule>
  </conditionalFormatting>
  <conditionalFormatting sqref="G49">
    <cfRule type="expression" dxfId="12975" priority="4781">
      <formula>B49=""</formula>
    </cfRule>
  </conditionalFormatting>
  <conditionalFormatting sqref="H30">
    <cfRule type="expression" dxfId="12974" priority="4780">
      <formula>B30=""</formula>
    </cfRule>
  </conditionalFormatting>
  <conditionalFormatting sqref="H31 H33 H35 H37 H39 H41 H43 H45 H47 H49">
    <cfRule type="expression" dxfId="12973" priority="4779">
      <formula>B31=""</formula>
    </cfRule>
  </conditionalFormatting>
  <conditionalFormatting sqref="H32:H49">
    <cfRule type="expression" dxfId="12972" priority="4778">
      <formula>B32=""</formula>
    </cfRule>
  </conditionalFormatting>
  <conditionalFormatting sqref="H43">
    <cfRule type="expression" dxfId="12971" priority="4777">
      <formula>B43=""</formula>
    </cfRule>
  </conditionalFormatting>
  <conditionalFormatting sqref="H44">
    <cfRule type="expression" dxfId="12970" priority="4776">
      <formula>B44=""</formula>
    </cfRule>
  </conditionalFormatting>
  <conditionalFormatting sqref="H45">
    <cfRule type="expression" dxfId="12969" priority="4775">
      <formula>B45=""</formula>
    </cfRule>
  </conditionalFormatting>
  <conditionalFormatting sqref="H46">
    <cfRule type="expression" dxfId="12968" priority="4774">
      <formula>B46=""</formula>
    </cfRule>
  </conditionalFormatting>
  <conditionalFormatting sqref="H47">
    <cfRule type="expression" dxfId="12967" priority="4773">
      <formula>B47=""</formula>
    </cfRule>
  </conditionalFormatting>
  <conditionalFormatting sqref="H48">
    <cfRule type="expression" dxfId="12966" priority="4772">
      <formula>B48=""</formula>
    </cfRule>
  </conditionalFormatting>
  <conditionalFormatting sqref="H49">
    <cfRule type="expression" dxfId="12965" priority="4771">
      <formula>B49=""</formula>
    </cfRule>
  </conditionalFormatting>
  <conditionalFormatting sqref="C30:C49">
    <cfRule type="expression" dxfId="12964" priority="4770">
      <formula>B30=""</formula>
    </cfRule>
  </conditionalFormatting>
  <conditionalFormatting sqref="C31 C33 C35 C37 C39 C41 C43 C45 C47 C49">
    <cfRule type="expression" dxfId="12963" priority="4769">
      <formula>B31=""</formula>
    </cfRule>
  </conditionalFormatting>
  <conditionalFormatting sqref="C32:C49">
    <cfRule type="expression" dxfId="12962" priority="4768">
      <formula>B32=""</formula>
    </cfRule>
  </conditionalFormatting>
  <conditionalFormatting sqref="C43">
    <cfRule type="expression" dxfId="12961" priority="4767">
      <formula>B43=""</formula>
    </cfRule>
  </conditionalFormatting>
  <conditionalFormatting sqref="C44">
    <cfRule type="expression" dxfId="12960" priority="4766">
      <formula>B44=""</formula>
    </cfRule>
  </conditionalFormatting>
  <conditionalFormatting sqref="C45">
    <cfRule type="expression" dxfId="12959" priority="4765">
      <formula>B45=""</formula>
    </cfRule>
  </conditionalFormatting>
  <conditionalFormatting sqref="C46">
    <cfRule type="expression" dxfId="12958" priority="4764">
      <formula>B46=""</formula>
    </cfRule>
  </conditionalFormatting>
  <conditionalFormatting sqref="C47">
    <cfRule type="expression" dxfId="12957" priority="4763">
      <formula>B47=""</formula>
    </cfRule>
  </conditionalFormatting>
  <conditionalFormatting sqref="C48">
    <cfRule type="expression" dxfId="12956" priority="4762">
      <formula>B48=""</formula>
    </cfRule>
  </conditionalFormatting>
  <conditionalFormatting sqref="C49">
    <cfRule type="expression" dxfId="12955" priority="4761">
      <formula>B49=""</formula>
    </cfRule>
  </conditionalFormatting>
  <conditionalFormatting sqref="C30">
    <cfRule type="expression" dxfId="12954" priority="4760">
      <formula>B30=""</formula>
    </cfRule>
  </conditionalFormatting>
  <conditionalFormatting sqref="C31 C33 C35 C37 C39 C41 C43 C45 C47 C49">
    <cfRule type="expression" dxfId="12953" priority="4759">
      <formula>B31=""</formula>
    </cfRule>
  </conditionalFormatting>
  <conditionalFormatting sqref="C32:C49">
    <cfRule type="expression" dxfId="12952" priority="4758">
      <formula>B32=""</formula>
    </cfRule>
  </conditionalFormatting>
  <conditionalFormatting sqref="C43">
    <cfRule type="expression" dxfId="12951" priority="4757">
      <formula>B43=""</formula>
    </cfRule>
  </conditionalFormatting>
  <conditionalFormatting sqref="C44">
    <cfRule type="expression" dxfId="12950" priority="4756">
      <formula>B44=""</formula>
    </cfRule>
  </conditionalFormatting>
  <conditionalFormatting sqref="C45">
    <cfRule type="expression" dxfId="12949" priority="4755">
      <formula>B45=""</formula>
    </cfRule>
  </conditionalFormatting>
  <conditionalFormatting sqref="C46">
    <cfRule type="expression" dxfId="12948" priority="4754">
      <formula>B46=""</formula>
    </cfRule>
  </conditionalFormatting>
  <conditionalFormatting sqref="C47">
    <cfRule type="expression" dxfId="12947" priority="4753">
      <formula>B47=""</formula>
    </cfRule>
  </conditionalFormatting>
  <conditionalFormatting sqref="C48">
    <cfRule type="expression" dxfId="12946" priority="4752">
      <formula>B48=""</formula>
    </cfRule>
  </conditionalFormatting>
  <conditionalFormatting sqref="C49">
    <cfRule type="expression" dxfId="12945" priority="4751">
      <formula>B49=""</formula>
    </cfRule>
  </conditionalFormatting>
  <conditionalFormatting sqref="D30">
    <cfRule type="expression" dxfId="12944" priority="4750">
      <formula>B30=""</formula>
    </cfRule>
  </conditionalFormatting>
  <conditionalFormatting sqref="D31 D33 D35 D37 D39 D41 D43 D45 D47 D49">
    <cfRule type="expression" dxfId="12943" priority="4749">
      <formula>B31=""</formula>
    </cfRule>
  </conditionalFormatting>
  <conditionalFormatting sqref="D32:D49">
    <cfRule type="expression" dxfId="12942" priority="4748">
      <formula>B32=""</formula>
    </cfRule>
  </conditionalFormatting>
  <conditionalFormatting sqref="D43">
    <cfRule type="expression" dxfId="12941" priority="4747">
      <formula>B43=""</formula>
    </cfRule>
  </conditionalFormatting>
  <conditionalFormatting sqref="D44">
    <cfRule type="expression" dxfId="12940" priority="4746">
      <formula>B44=""</formula>
    </cfRule>
  </conditionalFormatting>
  <conditionalFormatting sqref="D45">
    <cfRule type="expression" dxfId="12939" priority="4745">
      <formula>B45=""</formula>
    </cfRule>
  </conditionalFormatting>
  <conditionalFormatting sqref="D46">
    <cfRule type="expression" dxfId="12938" priority="4744">
      <formula>B46=""</formula>
    </cfRule>
  </conditionalFormatting>
  <conditionalFormatting sqref="D47">
    <cfRule type="expression" dxfId="12937" priority="4743">
      <formula>B47=""</formula>
    </cfRule>
  </conditionalFormatting>
  <conditionalFormatting sqref="D48">
    <cfRule type="expression" dxfId="12936" priority="4742">
      <formula>B48=""</formula>
    </cfRule>
  </conditionalFormatting>
  <conditionalFormatting sqref="D49">
    <cfRule type="expression" dxfId="12935" priority="4741">
      <formula>B49=""</formula>
    </cfRule>
  </conditionalFormatting>
  <conditionalFormatting sqref="E30:E50">
    <cfRule type="expression" dxfId="12934" priority="4740">
      <formula>B30=""</formula>
    </cfRule>
  </conditionalFormatting>
  <conditionalFormatting sqref="E31 E33 E35 E37 E39 E41 E43 E45 E47 E49">
    <cfRule type="expression" dxfId="12933" priority="4739">
      <formula>B31=""</formula>
    </cfRule>
  </conditionalFormatting>
  <conditionalFormatting sqref="E32:E49">
    <cfRule type="expression" dxfId="12932" priority="4738">
      <formula>B32=""</formula>
    </cfRule>
  </conditionalFormatting>
  <conditionalFormatting sqref="E43">
    <cfRule type="expression" dxfId="12931" priority="4737">
      <formula>B43=""</formula>
    </cfRule>
  </conditionalFormatting>
  <conditionalFormatting sqref="E44">
    <cfRule type="expression" dxfId="12930" priority="4736">
      <formula>B44=""</formula>
    </cfRule>
  </conditionalFormatting>
  <conditionalFormatting sqref="E45">
    <cfRule type="expression" dxfId="12929" priority="4735">
      <formula>B45=""</formula>
    </cfRule>
  </conditionalFormatting>
  <conditionalFormatting sqref="E46">
    <cfRule type="expression" dxfId="12928" priority="4734">
      <formula>B46=""</formula>
    </cfRule>
  </conditionalFormatting>
  <conditionalFormatting sqref="E47">
    <cfRule type="expression" dxfId="12927" priority="4733">
      <formula>B47=""</formula>
    </cfRule>
  </conditionalFormatting>
  <conditionalFormatting sqref="E48">
    <cfRule type="expression" dxfId="12926" priority="4732">
      <formula>B48=""</formula>
    </cfRule>
  </conditionalFormatting>
  <conditionalFormatting sqref="E49:E50">
    <cfRule type="expression" dxfId="12925" priority="4731">
      <formula>B49=""</formula>
    </cfRule>
  </conditionalFormatting>
  <conditionalFormatting sqref="F30:F50">
    <cfRule type="expression" dxfId="12924" priority="4730">
      <formula>B30=""</formula>
    </cfRule>
  </conditionalFormatting>
  <conditionalFormatting sqref="F31 F33 F35 F37 F39 F41 F43 F45 F47 F49">
    <cfRule type="expression" dxfId="12923" priority="4729">
      <formula>B31=""</formula>
    </cfRule>
  </conditionalFormatting>
  <conditionalFormatting sqref="F32:F49">
    <cfRule type="expression" dxfId="12922" priority="4728">
      <formula>B32=""</formula>
    </cfRule>
  </conditionalFormatting>
  <conditionalFormatting sqref="F43">
    <cfRule type="expression" dxfId="12921" priority="4727">
      <formula>B43=""</formula>
    </cfRule>
  </conditionalFormatting>
  <conditionalFormatting sqref="F44">
    <cfRule type="expression" dxfId="12920" priority="4726">
      <formula>B44=""</formula>
    </cfRule>
  </conditionalFormatting>
  <conditionalFormatting sqref="F45">
    <cfRule type="expression" dxfId="12919" priority="4725">
      <formula>B45=""</formula>
    </cfRule>
  </conditionalFormatting>
  <conditionalFormatting sqref="F46">
    <cfRule type="expression" dxfId="12918" priority="4724">
      <formula>B46=""</formula>
    </cfRule>
  </conditionalFormatting>
  <conditionalFormatting sqref="F47">
    <cfRule type="expression" dxfId="12917" priority="4723">
      <formula>B47=""</formula>
    </cfRule>
  </conditionalFormatting>
  <conditionalFormatting sqref="F48">
    <cfRule type="expression" dxfId="12916" priority="4722">
      <formula>B48=""</formula>
    </cfRule>
  </conditionalFormatting>
  <conditionalFormatting sqref="F49">
    <cfRule type="expression" dxfId="12915" priority="4721">
      <formula>B49=""</formula>
    </cfRule>
  </conditionalFormatting>
  <conditionalFormatting sqref="E31 E33 E35 E37 E39 E41 E43 E45 E47 E49">
    <cfRule type="expression" dxfId="12914" priority="4720">
      <formula>B31=""</formula>
    </cfRule>
  </conditionalFormatting>
  <conditionalFormatting sqref="E32:E49">
    <cfRule type="expression" dxfId="12913" priority="4719">
      <formula>B32=""</formula>
    </cfRule>
  </conditionalFormatting>
  <conditionalFormatting sqref="E43">
    <cfRule type="expression" dxfId="12912" priority="4718">
      <formula>B43=""</formula>
    </cfRule>
  </conditionalFormatting>
  <conditionalFormatting sqref="E44">
    <cfRule type="expression" dxfId="12911" priority="4717">
      <formula>B44=""</formula>
    </cfRule>
  </conditionalFormatting>
  <conditionalFormatting sqref="E45">
    <cfRule type="expression" dxfId="12910" priority="4716">
      <formula>B45=""</formula>
    </cfRule>
  </conditionalFormatting>
  <conditionalFormatting sqref="E46">
    <cfRule type="expression" dxfId="12909" priority="4715">
      <formula>B46=""</formula>
    </cfRule>
  </conditionalFormatting>
  <conditionalFormatting sqref="E47">
    <cfRule type="expression" dxfId="12908" priority="4714">
      <formula>B47=""</formula>
    </cfRule>
  </conditionalFormatting>
  <conditionalFormatting sqref="E48">
    <cfRule type="expression" dxfId="12907" priority="4713">
      <formula>B48=""</formula>
    </cfRule>
  </conditionalFormatting>
  <conditionalFormatting sqref="E49:E50">
    <cfRule type="expression" dxfId="12906" priority="4712">
      <formula>B49=""</formula>
    </cfRule>
  </conditionalFormatting>
  <conditionalFormatting sqref="G30:G49">
    <cfRule type="expression" dxfId="12905" priority="4711">
      <formula>B30=""</formula>
    </cfRule>
  </conditionalFormatting>
  <conditionalFormatting sqref="G31 G33 G35 G37 G39 G41 G43 G45 G47 G49">
    <cfRule type="expression" dxfId="12904" priority="4710">
      <formula>B31=""</formula>
    </cfRule>
  </conditionalFormatting>
  <conditionalFormatting sqref="G32:G49">
    <cfRule type="expression" dxfId="12903" priority="4709">
      <formula>B32=""</formula>
    </cfRule>
  </conditionalFormatting>
  <conditionalFormatting sqref="G43">
    <cfRule type="expression" dxfId="12902" priority="4708">
      <formula>B43=""</formula>
    </cfRule>
  </conditionalFormatting>
  <conditionalFormatting sqref="G44">
    <cfRule type="expression" dxfId="12901" priority="4707">
      <formula>B44=""</formula>
    </cfRule>
  </conditionalFormatting>
  <conditionalFormatting sqref="G45">
    <cfRule type="expression" dxfId="12900" priority="4706">
      <formula>B45=""</formula>
    </cfRule>
  </conditionalFormatting>
  <conditionalFormatting sqref="G46">
    <cfRule type="expression" dxfId="12899" priority="4705">
      <formula>B46=""</formula>
    </cfRule>
  </conditionalFormatting>
  <conditionalFormatting sqref="G47">
    <cfRule type="expression" dxfId="12898" priority="4704">
      <formula>B47=""</formula>
    </cfRule>
  </conditionalFormatting>
  <conditionalFormatting sqref="G48">
    <cfRule type="expression" dxfId="12897" priority="4703">
      <formula>B48=""</formula>
    </cfRule>
  </conditionalFormatting>
  <conditionalFormatting sqref="G49">
    <cfRule type="expression" dxfId="12896" priority="4702">
      <formula>B49=""</formula>
    </cfRule>
  </conditionalFormatting>
  <conditionalFormatting sqref="H30">
    <cfRule type="expression" dxfId="12895" priority="4701">
      <formula>B30=""</formula>
    </cfRule>
  </conditionalFormatting>
  <conditionalFormatting sqref="H31 H33 H35 H37 H39 H41 H43 H45 H47 H49">
    <cfRule type="expression" dxfId="12894" priority="4700">
      <formula>B31=""</formula>
    </cfRule>
  </conditionalFormatting>
  <conditionalFormatting sqref="H32:H49">
    <cfRule type="expression" dxfId="12893" priority="4699">
      <formula>B32=""</formula>
    </cfRule>
  </conditionalFormatting>
  <conditionalFormatting sqref="H43">
    <cfRule type="expression" dxfId="12892" priority="4698">
      <formula>B43=""</formula>
    </cfRule>
  </conditionalFormatting>
  <conditionalFormatting sqref="H44">
    <cfRule type="expression" dxfId="12891" priority="4697">
      <formula>B44=""</formula>
    </cfRule>
  </conditionalFormatting>
  <conditionalFormatting sqref="H45">
    <cfRule type="expression" dxfId="12890" priority="4696">
      <formula>B45=""</formula>
    </cfRule>
  </conditionalFormatting>
  <conditionalFormatting sqref="H46">
    <cfRule type="expression" dxfId="12889" priority="4695">
      <formula>B46=""</formula>
    </cfRule>
  </conditionalFormatting>
  <conditionalFormatting sqref="H47">
    <cfRule type="expression" dxfId="12888" priority="4694">
      <formula>B47=""</formula>
    </cfRule>
  </conditionalFormatting>
  <conditionalFormatting sqref="H48">
    <cfRule type="expression" dxfId="12887" priority="4693">
      <formula>B48=""</formula>
    </cfRule>
  </conditionalFormatting>
  <conditionalFormatting sqref="H49">
    <cfRule type="expression" dxfId="12886" priority="4692">
      <formula>B49=""</formula>
    </cfRule>
  </conditionalFormatting>
  <conditionalFormatting sqref="F30:F50">
    <cfRule type="expression" dxfId="12885" priority="4691">
      <formula>B30=""</formula>
    </cfRule>
  </conditionalFormatting>
  <conditionalFormatting sqref="F31 F33 F35 F37 F39 F41 F43 F45 F47 F49">
    <cfRule type="expression" dxfId="12884" priority="4690">
      <formula>B31=""</formula>
    </cfRule>
  </conditionalFormatting>
  <conditionalFormatting sqref="F32:F49">
    <cfRule type="expression" dxfId="12883" priority="4689">
      <formula>B32=""</formula>
    </cfRule>
  </conditionalFormatting>
  <conditionalFormatting sqref="F43">
    <cfRule type="expression" dxfId="12882" priority="4688">
      <formula>B43=""</formula>
    </cfRule>
  </conditionalFormatting>
  <conditionalFormatting sqref="F44">
    <cfRule type="expression" dxfId="12881" priority="4687">
      <formula>B44=""</formula>
    </cfRule>
  </conditionalFormatting>
  <conditionalFormatting sqref="F45">
    <cfRule type="expression" dxfId="12880" priority="4686">
      <formula>B45=""</formula>
    </cfRule>
  </conditionalFormatting>
  <conditionalFormatting sqref="F46">
    <cfRule type="expression" dxfId="12879" priority="4685">
      <formula>B46=""</formula>
    </cfRule>
  </conditionalFormatting>
  <conditionalFormatting sqref="F47">
    <cfRule type="expression" dxfId="12878" priority="4684">
      <formula>B47=""</formula>
    </cfRule>
  </conditionalFormatting>
  <conditionalFormatting sqref="F48">
    <cfRule type="expression" dxfId="12877" priority="4683">
      <formula>B48=""</formula>
    </cfRule>
  </conditionalFormatting>
  <conditionalFormatting sqref="F49">
    <cfRule type="expression" dxfId="12876" priority="4682">
      <formula>B49=""</formula>
    </cfRule>
  </conditionalFormatting>
  <conditionalFormatting sqref="C52:C71">
    <cfRule type="expression" dxfId="12875" priority="4681">
      <formula>B52=""</formula>
    </cfRule>
  </conditionalFormatting>
  <conditionalFormatting sqref="C53">
    <cfRule type="expression" dxfId="12874" priority="4680">
      <formula>B53=""</formula>
    </cfRule>
  </conditionalFormatting>
  <conditionalFormatting sqref="C54:C64">
    <cfRule type="expression" dxfId="12873" priority="4679">
      <formula>B54=""</formula>
    </cfRule>
  </conditionalFormatting>
  <conditionalFormatting sqref="C65">
    <cfRule type="expression" dxfId="12872" priority="4678">
      <formula>B65=""</formula>
    </cfRule>
  </conditionalFormatting>
  <conditionalFormatting sqref="C66">
    <cfRule type="expression" dxfId="12871" priority="4677">
      <formula>B66=""</formula>
    </cfRule>
  </conditionalFormatting>
  <conditionalFormatting sqref="C67">
    <cfRule type="expression" dxfId="12870" priority="4676">
      <formula>B67=""</formula>
    </cfRule>
  </conditionalFormatting>
  <conditionalFormatting sqref="C68">
    <cfRule type="expression" dxfId="12869" priority="4675">
      <formula>B68=""</formula>
    </cfRule>
  </conditionalFormatting>
  <conditionalFormatting sqref="C69">
    <cfRule type="expression" dxfId="12868" priority="4674">
      <formula>B69=""</formula>
    </cfRule>
  </conditionalFormatting>
  <conditionalFormatting sqref="C70">
    <cfRule type="expression" dxfId="12867" priority="4673">
      <formula>B70=""</formula>
    </cfRule>
  </conditionalFormatting>
  <conditionalFormatting sqref="C71">
    <cfRule type="expression" dxfId="12866" priority="4672">
      <formula>B71=""</formula>
    </cfRule>
  </conditionalFormatting>
  <conditionalFormatting sqref="C71">
    <cfRule type="expression" dxfId="12865" priority="4671">
      <formula>B71=""</formula>
    </cfRule>
  </conditionalFormatting>
  <conditionalFormatting sqref="C52:C71">
    <cfRule type="expression" dxfId="12864" priority="4670">
      <formula>B52=""</formula>
    </cfRule>
  </conditionalFormatting>
  <conditionalFormatting sqref="C53">
    <cfRule type="expression" dxfId="12863" priority="4669">
      <formula>B53=""</formula>
    </cfRule>
  </conditionalFormatting>
  <conditionalFormatting sqref="C54:C64">
    <cfRule type="expression" dxfId="12862" priority="4668">
      <formula>B54=""</formula>
    </cfRule>
  </conditionalFormatting>
  <conditionalFormatting sqref="C65">
    <cfRule type="expression" dxfId="12861" priority="4667">
      <formula>B65=""</formula>
    </cfRule>
  </conditionalFormatting>
  <conditionalFormatting sqref="C66">
    <cfRule type="expression" dxfId="12860" priority="4666">
      <formula>B66=""</formula>
    </cfRule>
  </conditionalFormatting>
  <conditionalFormatting sqref="C67">
    <cfRule type="expression" dxfId="12859" priority="4665">
      <formula>B67=""</formula>
    </cfRule>
  </conditionalFormatting>
  <conditionalFormatting sqref="C68">
    <cfRule type="expression" dxfId="12858" priority="4664">
      <formula>B68=""</formula>
    </cfRule>
  </conditionalFormatting>
  <conditionalFormatting sqref="C69">
    <cfRule type="expression" dxfId="12857" priority="4663">
      <formula>B69=""</formula>
    </cfRule>
  </conditionalFormatting>
  <conditionalFormatting sqref="C70">
    <cfRule type="expression" dxfId="12856" priority="4662">
      <formula>B70=""</formula>
    </cfRule>
  </conditionalFormatting>
  <conditionalFormatting sqref="C71">
    <cfRule type="expression" dxfId="12855" priority="4661">
      <formula>B71=""</formula>
    </cfRule>
  </conditionalFormatting>
  <conditionalFormatting sqref="C52:C71">
    <cfRule type="expression" dxfId="12854" priority="4660">
      <formula>B52=""</formula>
    </cfRule>
  </conditionalFormatting>
  <conditionalFormatting sqref="C53">
    <cfRule type="expression" dxfId="12853" priority="4659">
      <formula>B53=""</formula>
    </cfRule>
  </conditionalFormatting>
  <conditionalFormatting sqref="C54:C64">
    <cfRule type="expression" dxfId="12852" priority="4658">
      <formula>B54=""</formula>
    </cfRule>
  </conditionalFormatting>
  <conditionalFormatting sqref="C65">
    <cfRule type="expression" dxfId="12851" priority="4657">
      <formula>B65=""</formula>
    </cfRule>
  </conditionalFormatting>
  <conditionalFormatting sqref="C66">
    <cfRule type="expression" dxfId="12850" priority="4656">
      <formula>B66=""</formula>
    </cfRule>
  </conditionalFormatting>
  <conditionalFormatting sqref="C67">
    <cfRule type="expression" dxfId="12849" priority="4655">
      <formula>B67=""</formula>
    </cfRule>
  </conditionalFormatting>
  <conditionalFormatting sqref="C68">
    <cfRule type="expression" dxfId="12848" priority="4654">
      <formula>B68=""</formula>
    </cfRule>
  </conditionalFormatting>
  <conditionalFormatting sqref="C69">
    <cfRule type="expression" dxfId="12847" priority="4653">
      <formula>B69=""</formula>
    </cfRule>
  </conditionalFormatting>
  <conditionalFormatting sqref="C70">
    <cfRule type="expression" dxfId="12846" priority="4652">
      <formula>B70=""</formula>
    </cfRule>
  </conditionalFormatting>
  <conditionalFormatting sqref="C71">
    <cfRule type="expression" dxfId="12845" priority="4651">
      <formula>B71=""</formula>
    </cfRule>
  </conditionalFormatting>
  <conditionalFormatting sqref="C52:C71">
    <cfRule type="expression" dxfId="12844" priority="4650">
      <formula>B52=""</formula>
    </cfRule>
  </conditionalFormatting>
  <conditionalFormatting sqref="C53">
    <cfRule type="expression" dxfId="12843" priority="4649">
      <formula>B53=""</formula>
    </cfRule>
  </conditionalFormatting>
  <conditionalFormatting sqref="C54:C64">
    <cfRule type="expression" dxfId="12842" priority="4648">
      <formula>B54=""</formula>
    </cfRule>
  </conditionalFormatting>
  <conditionalFormatting sqref="C65">
    <cfRule type="expression" dxfId="12841" priority="4647">
      <formula>B65=""</formula>
    </cfRule>
  </conditionalFormatting>
  <conditionalFormatting sqref="C66">
    <cfRule type="expression" dxfId="12840" priority="4646">
      <formula>B66=""</formula>
    </cfRule>
  </conditionalFormatting>
  <conditionalFormatting sqref="C67">
    <cfRule type="expression" dxfId="12839" priority="4645">
      <formula>B67=""</formula>
    </cfRule>
  </conditionalFormatting>
  <conditionalFormatting sqref="C68">
    <cfRule type="expression" dxfId="12838" priority="4644">
      <formula>B68=""</formula>
    </cfRule>
  </conditionalFormatting>
  <conditionalFormatting sqref="C69">
    <cfRule type="expression" dxfId="12837" priority="4643">
      <formula>B69=""</formula>
    </cfRule>
  </conditionalFormatting>
  <conditionalFormatting sqref="C70">
    <cfRule type="expression" dxfId="12836" priority="4642">
      <formula>B70=""</formula>
    </cfRule>
  </conditionalFormatting>
  <conditionalFormatting sqref="C71">
    <cfRule type="expression" dxfId="12835" priority="4641">
      <formula>B71=""</formula>
    </cfRule>
  </conditionalFormatting>
  <conditionalFormatting sqref="C52:C71">
    <cfRule type="expression" dxfId="12834" priority="4640">
      <formula>B52=""</formula>
    </cfRule>
  </conditionalFormatting>
  <conditionalFormatting sqref="C53">
    <cfRule type="expression" dxfId="12833" priority="4639">
      <formula>B53=""</formula>
    </cfRule>
  </conditionalFormatting>
  <conditionalFormatting sqref="C54:C64">
    <cfRule type="expression" dxfId="12832" priority="4638">
      <formula>B54=""</formula>
    </cfRule>
  </conditionalFormatting>
  <conditionalFormatting sqref="C65">
    <cfRule type="expression" dxfId="12831" priority="4637">
      <formula>B65=""</formula>
    </cfRule>
  </conditionalFormatting>
  <conditionalFormatting sqref="C66">
    <cfRule type="expression" dxfId="12830" priority="4636">
      <formula>B66=""</formula>
    </cfRule>
  </conditionalFormatting>
  <conditionalFormatting sqref="C67">
    <cfRule type="expression" dxfId="12829" priority="4635">
      <formula>B67=""</formula>
    </cfRule>
  </conditionalFormatting>
  <conditionalFormatting sqref="C68">
    <cfRule type="expression" dxfId="12828" priority="4634">
      <formula>B68=""</formula>
    </cfRule>
  </conditionalFormatting>
  <conditionalFormatting sqref="C69">
    <cfRule type="expression" dxfId="12827" priority="4633">
      <formula>B69=""</formula>
    </cfRule>
  </conditionalFormatting>
  <conditionalFormatting sqref="C70">
    <cfRule type="expression" dxfId="12826" priority="4632">
      <formula>B70=""</formula>
    </cfRule>
  </conditionalFormatting>
  <conditionalFormatting sqref="C71">
    <cfRule type="expression" dxfId="12825" priority="4631">
      <formula>B71=""</formula>
    </cfRule>
  </conditionalFormatting>
  <conditionalFormatting sqref="C74:C93">
    <cfRule type="expression" dxfId="12824" priority="4630">
      <formula>B74=""</formula>
    </cfRule>
  </conditionalFormatting>
  <conditionalFormatting sqref="C75 C77 C79 C81 C83 C85 C87 C89 C91 C93">
    <cfRule type="expression" dxfId="12823" priority="4629">
      <formula>B75=""</formula>
    </cfRule>
  </conditionalFormatting>
  <conditionalFormatting sqref="C76 C78 C80 C82 C84 C86 C88 C90 C92">
    <cfRule type="expression" dxfId="12822" priority="4628">
      <formula>B76=""</formula>
    </cfRule>
  </conditionalFormatting>
  <conditionalFormatting sqref="C77:C87">
    <cfRule type="expression" dxfId="12821" priority="4627">
      <formula>B77=""</formula>
    </cfRule>
  </conditionalFormatting>
  <conditionalFormatting sqref="C88">
    <cfRule type="expression" dxfId="12820" priority="4626">
      <formula>B88=""</formula>
    </cfRule>
  </conditionalFormatting>
  <conditionalFormatting sqref="C89">
    <cfRule type="expression" dxfId="12819" priority="4625">
      <formula>B89=""</formula>
    </cfRule>
  </conditionalFormatting>
  <conditionalFormatting sqref="C90">
    <cfRule type="expression" dxfId="12818" priority="4624">
      <formula>B90=""</formula>
    </cfRule>
  </conditionalFormatting>
  <conditionalFormatting sqref="C91">
    <cfRule type="expression" dxfId="12817" priority="4623">
      <formula>B91=""</formula>
    </cfRule>
  </conditionalFormatting>
  <conditionalFormatting sqref="C92">
    <cfRule type="expression" dxfId="12816" priority="4622">
      <formula>B92=""</formula>
    </cfRule>
  </conditionalFormatting>
  <conditionalFormatting sqref="C93">
    <cfRule type="expression" dxfId="12815" priority="4621">
      <formula>B93=""</formula>
    </cfRule>
  </conditionalFormatting>
  <conditionalFormatting sqref="C93">
    <cfRule type="expression" dxfId="12814" priority="4620">
      <formula>B93=""</formula>
    </cfRule>
  </conditionalFormatting>
  <conditionalFormatting sqref="C74:C93">
    <cfRule type="expression" dxfId="12813" priority="4619">
      <formula>B74=""</formula>
    </cfRule>
  </conditionalFormatting>
  <conditionalFormatting sqref="C75 C77 C79 C81 C83 C85 C87 C89 C91 C93">
    <cfRule type="expression" dxfId="12812" priority="4618">
      <formula>B75=""</formula>
    </cfRule>
  </conditionalFormatting>
  <conditionalFormatting sqref="C76 C78 C80 C82 C84 C86 C88 C90 C92">
    <cfRule type="expression" dxfId="12811" priority="4617">
      <formula>B76=""</formula>
    </cfRule>
  </conditionalFormatting>
  <conditionalFormatting sqref="C77:C87">
    <cfRule type="expression" dxfId="12810" priority="4616">
      <formula>B77=""</formula>
    </cfRule>
  </conditionalFormatting>
  <conditionalFormatting sqref="C88">
    <cfRule type="expression" dxfId="12809" priority="4615">
      <formula>B88=""</formula>
    </cfRule>
  </conditionalFormatting>
  <conditionalFormatting sqref="C89">
    <cfRule type="expression" dxfId="12808" priority="4614">
      <formula>B89=""</formula>
    </cfRule>
  </conditionalFormatting>
  <conditionalFormatting sqref="C90">
    <cfRule type="expression" dxfId="12807" priority="4613">
      <formula>B90=""</formula>
    </cfRule>
  </conditionalFormatting>
  <conditionalFormatting sqref="C91">
    <cfRule type="expression" dxfId="12806" priority="4612">
      <formula>B91=""</formula>
    </cfRule>
  </conditionalFormatting>
  <conditionalFormatting sqref="C92">
    <cfRule type="expression" dxfId="12805" priority="4611">
      <formula>B92=""</formula>
    </cfRule>
  </conditionalFormatting>
  <conditionalFormatting sqref="C93">
    <cfRule type="expression" dxfId="12804" priority="4610">
      <formula>B93=""</formula>
    </cfRule>
  </conditionalFormatting>
  <conditionalFormatting sqref="C74:C93">
    <cfRule type="expression" dxfId="12803" priority="4609">
      <formula>B74=""</formula>
    </cfRule>
  </conditionalFormatting>
  <conditionalFormatting sqref="C75 C77 C79 C81 C83 C85 C87 C89 C91 C93">
    <cfRule type="expression" dxfId="12802" priority="4608">
      <formula>B75=""</formula>
    </cfRule>
  </conditionalFormatting>
  <conditionalFormatting sqref="C76 C78 C80 C82 C84 C86 C88 C90 C92">
    <cfRule type="expression" dxfId="12801" priority="4607">
      <formula>B76=""</formula>
    </cfRule>
  </conditionalFormatting>
  <conditionalFormatting sqref="C77:C87">
    <cfRule type="expression" dxfId="12800" priority="4606">
      <formula>B77=""</formula>
    </cfRule>
  </conditionalFormatting>
  <conditionalFormatting sqref="C88">
    <cfRule type="expression" dxfId="12799" priority="4605">
      <formula>B88=""</formula>
    </cfRule>
  </conditionalFormatting>
  <conditionalFormatting sqref="C89">
    <cfRule type="expression" dxfId="12798" priority="4604">
      <formula>B89=""</formula>
    </cfRule>
  </conditionalFormatting>
  <conditionalFormatting sqref="C90">
    <cfRule type="expression" dxfId="12797" priority="4603">
      <formula>B90=""</formula>
    </cfRule>
  </conditionalFormatting>
  <conditionalFormatting sqref="C91">
    <cfRule type="expression" dxfId="12796" priority="4602">
      <formula>B91=""</formula>
    </cfRule>
  </conditionalFormatting>
  <conditionalFormatting sqref="C92">
    <cfRule type="expression" dxfId="12795" priority="4601">
      <formula>B92=""</formula>
    </cfRule>
  </conditionalFormatting>
  <conditionalFormatting sqref="C93">
    <cfRule type="expression" dxfId="12794" priority="4600">
      <formula>B93=""</formula>
    </cfRule>
  </conditionalFormatting>
  <conditionalFormatting sqref="C93">
    <cfRule type="expression" dxfId="12793" priority="4599">
      <formula>B93=""</formula>
    </cfRule>
  </conditionalFormatting>
  <conditionalFormatting sqref="C74:C93">
    <cfRule type="expression" dxfId="12792" priority="4598">
      <formula>B74=""</formula>
    </cfRule>
  </conditionalFormatting>
  <conditionalFormatting sqref="C75 C77 C79 C81 C83 C85 C87 C89 C91 C93">
    <cfRule type="expression" dxfId="12791" priority="4597">
      <formula>B75=""</formula>
    </cfRule>
  </conditionalFormatting>
  <conditionalFormatting sqref="C76 C78 C80 C82 C84 C86 C88 C90 C92">
    <cfRule type="expression" dxfId="12790" priority="4596">
      <formula>B76=""</formula>
    </cfRule>
  </conditionalFormatting>
  <conditionalFormatting sqref="C77:C87">
    <cfRule type="expression" dxfId="12789" priority="4595">
      <formula>B77=""</formula>
    </cfRule>
  </conditionalFormatting>
  <conditionalFormatting sqref="C88">
    <cfRule type="expression" dxfId="12788" priority="4594">
      <formula>B88=""</formula>
    </cfRule>
  </conditionalFormatting>
  <conditionalFormatting sqref="C89">
    <cfRule type="expression" dxfId="12787" priority="4593">
      <formula>B89=""</formula>
    </cfRule>
  </conditionalFormatting>
  <conditionalFormatting sqref="C90">
    <cfRule type="expression" dxfId="12786" priority="4592">
      <formula>B90=""</formula>
    </cfRule>
  </conditionalFormatting>
  <conditionalFormatting sqref="C91">
    <cfRule type="expression" dxfId="12785" priority="4591">
      <formula>B91=""</formula>
    </cfRule>
  </conditionalFormatting>
  <conditionalFormatting sqref="C92">
    <cfRule type="expression" dxfId="12784" priority="4590">
      <formula>B92=""</formula>
    </cfRule>
  </conditionalFormatting>
  <conditionalFormatting sqref="C93">
    <cfRule type="expression" dxfId="12783" priority="4589">
      <formula>B93=""</formula>
    </cfRule>
  </conditionalFormatting>
  <conditionalFormatting sqref="C74:C93">
    <cfRule type="expression" dxfId="12782" priority="4588">
      <formula>B74=""</formula>
    </cfRule>
  </conditionalFormatting>
  <conditionalFormatting sqref="C75 C77 C79 C81 C83 C85 C87 C89 C91 C93">
    <cfRule type="expression" dxfId="12781" priority="4587">
      <formula>B75=""</formula>
    </cfRule>
  </conditionalFormatting>
  <conditionalFormatting sqref="C76 C78 C80 C82 C84 C86 C88 C90 C92">
    <cfRule type="expression" dxfId="12780" priority="4586">
      <formula>B76=""</formula>
    </cfRule>
  </conditionalFormatting>
  <conditionalFormatting sqref="C77:C87">
    <cfRule type="expression" dxfId="12779" priority="4585">
      <formula>B77=""</formula>
    </cfRule>
  </conditionalFormatting>
  <conditionalFormatting sqref="C88">
    <cfRule type="expression" dxfId="12778" priority="4584">
      <formula>B88=""</formula>
    </cfRule>
  </conditionalFormatting>
  <conditionalFormatting sqref="C89">
    <cfRule type="expression" dxfId="12777" priority="4583">
      <formula>B89=""</formula>
    </cfRule>
  </conditionalFormatting>
  <conditionalFormatting sqref="C90">
    <cfRule type="expression" dxfId="12776" priority="4582">
      <formula>B90=""</formula>
    </cfRule>
  </conditionalFormatting>
  <conditionalFormatting sqref="C91">
    <cfRule type="expression" dxfId="12775" priority="4581">
      <formula>B91=""</formula>
    </cfRule>
  </conditionalFormatting>
  <conditionalFormatting sqref="C92">
    <cfRule type="expression" dxfId="12774" priority="4580">
      <formula>B92=""</formula>
    </cfRule>
  </conditionalFormatting>
  <conditionalFormatting sqref="C93">
    <cfRule type="expression" dxfId="12773" priority="4579">
      <formula>B93=""</formula>
    </cfRule>
  </conditionalFormatting>
  <conditionalFormatting sqref="C74:C93">
    <cfRule type="expression" dxfId="12772" priority="4578">
      <formula>B74=""</formula>
    </cfRule>
  </conditionalFormatting>
  <conditionalFormatting sqref="C75 C77 C79 C81 C83 C85 C87 C89 C91 C93">
    <cfRule type="expression" dxfId="12771" priority="4577">
      <formula>B75=""</formula>
    </cfRule>
  </conditionalFormatting>
  <conditionalFormatting sqref="C76 C78 C80 C82 C84 C86 C88 C90 C92">
    <cfRule type="expression" dxfId="12770" priority="4576">
      <formula>B76=""</formula>
    </cfRule>
  </conditionalFormatting>
  <conditionalFormatting sqref="C77:C87">
    <cfRule type="expression" dxfId="12769" priority="4575">
      <formula>B77=""</formula>
    </cfRule>
  </conditionalFormatting>
  <conditionalFormatting sqref="C88">
    <cfRule type="expression" dxfId="12768" priority="4574">
      <formula>B88=""</formula>
    </cfRule>
  </conditionalFormatting>
  <conditionalFormatting sqref="C89">
    <cfRule type="expression" dxfId="12767" priority="4573">
      <formula>B89=""</formula>
    </cfRule>
  </conditionalFormatting>
  <conditionalFormatting sqref="C90">
    <cfRule type="expression" dxfId="12766" priority="4572">
      <formula>B90=""</formula>
    </cfRule>
  </conditionalFormatting>
  <conditionalFormatting sqref="C91">
    <cfRule type="expression" dxfId="12765" priority="4571">
      <formula>B91=""</formula>
    </cfRule>
  </conditionalFormatting>
  <conditionalFormatting sqref="C92">
    <cfRule type="expression" dxfId="12764" priority="4570">
      <formula>B92=""</formula>
    </cfRule>
  </conditionalFormatting>
  <conditionalFormatting sqref="C93">
    <cfRule type="expression" dxfId="12763" priority="4569">
      <formula>B93=""</formula>
    </cfRule>
  </conditionalFormatting>
  <conditionalFormatting sqref="C74 C76 C78 C80 C82 C84 C86 C88 C90 C92">
    <cfRule type="expression" dxfId="12762" priority="4568">
      <formula>B74=""</formula>
    </cfRule>
  </conditionalFormatting>
  <conditionalFormatting sqref="C75 C77 C79 C81 C83 C85 C87 C89 C91 C93">
    <cfRule type="expression" dxfId="12761" priority="4567">
      <formula>B75=""</formula>
    </cfRule>
  </conditionalFormatting>
  <conditionalFormatting sqref="C76 C78 C80 C82 C84 C86 C88 C90 C92">
    <cfRule type="expression" dxfId="12760" priority="4566">
      <formula>B76=""</formula>
    </cfRule>
  </conditionalFormatting>
  <conditionalFormatting sqref="C77:C87">
    <cfRule type="expression" dxfId="12759" priority="4565">
      <formula>B77=""</formula>
    </cfRule>
  </conditionalFormatting>
  <conditionalFormatting sqref="C88">
    <cfRule type="expression" dxfId="12758" priority="4564">
      <formula>B88=""</formula>
    </cfRule>
  </conditionalFormatting>
  <conditionalFormatting sqref="C89">
    <cfRule type="expression" dxfId="12757" priority="4563">
      <formula>B89=""</formula>
    </cfRule>
  </conditionalFormatting>
  <conditionalFormatting sqref="C90">
    <cfRule type="expression" dxfId="12756" priority="4562">
      <formula>B90=""</formula>
    </cfRule>
  </conditionalFormatting>
  <conditionalFormatting sqref="C91">
    <cfRule type="expression" dxfId="12755" priority="4561">
      <formula>B91=""</formula>
    </cfRule>
  </conditionalFormatting>
  <conditionalFormatting sqref="C92">
    <cfRule type="expression" dxfId="12754" priority="4560">
      <formula>B92=""</formula>
    </cfRule>
  </conditionalFormatting>
  <conditionalFormatting sqref="C93">
    <cfRule type="expression" dxfId="12753" priority="4559">
      <formula>B93=""</formula>
    </cfRule>
  </conditionalFormatting>
  <conditionalFormatting sqref="B130:B150 B152:B172 B174:B194">
    <cfRule type="containsBlanks" dxfId="12752" priority="4558">
      <formula>LEN(TRIM(B130))=0</formula>
    </cfRule>
  </conditionalFormatting>
  <conditionalFormatting sqref="C109">
    <cfRule type="expression" dxfId="12751" priority="4556">
      <formula>B109=""</formula>
    </cfRule>
  </conditionalFormatting>
  <conditionalFormatting sqref="C122">
    <cfRule type="expression" dxfId="12750" priority="4553">
      <formula>B122=""</formula>
    </cfRule>
  </conditionalFormatting>
  <conditionalFormatting sqref="C123">
    <cfRule type="expression" dxfId="12749" priority="4552">
      <formula>B123=""</formula>
    </cfRule>
  </conditionalFormatting>
  <conditionalFormatting sqref="C124">
    <cfRule type="expression" dxfId="12748" priority="4551">
      <formula>B124=""</formula>
    </cfRule>
  </conditionalFormatting>
  <conditionalFormatting sqref="C125">
    <cfRule type="expression" dxfId="12747" priority="4550">
      <formula>B125=""</formula>
    </cfRule>
  </conditionalFormatting>
  <conditionalFormatting sqref="C126">
    <cfRule type="expression" dxfId="12746" priority="4549">
      <formula>B126=""</formula>
    </cfRule>
  </conditionalFormatting>
  <conditionalFormatting sqref="C127">
    <cfRule type="expression" dxfId="12745" priority="4548">
      <formula>B127=""</formula>
    </cfRule>
  </conditionalFormatting>
  <conditionalFormatting sqref="C128">
    <cfRule type="expression" dxfId="12744" priority="4547">
      <formula>B128=""</formula>
    </cfRule>
  </conditionalFormatting>
  <conditionalFormatting sqref="D108">
    <cfRule type="expression" dxfId="12743" priority="4546">
      <formula>B108=""</formula>
    </cfRule>
  </conditionalFormatting>
  <conditionalFormatting sqref="D109">
    <cfRule type="expression" dxfId="12742" priority="4545">
      <formula>B109=""</formula>
    </cfRule>
  </conditionalFormatting>
  <conditionalFormatting sqref="D122">
    <cfRule type="expression" dxfId="12741" priority="4542">
      <formula>B122=""</formula>
    </cfRule>
  </conditionalFormatting>
  <conditionalFormatting sqref="D123">
    <cfRule type="expression" dxfId="12740" priority="4541">
      <formula>B123=""</formula>
    </cfRule>
  </conditionalFormatting>
  <conditionalFormatting sqref="D124">
    <cfRule type="expression" dxfId="12739" priority="4540">
      <formula>B124=""</formula>
    </cfRule>
  </conditionalFormatting>
  <conditionalFormatting sqref="D125">
    <cfRule type="expression" dxfId="12738" priority="4539">
      <formula>B125=""</formula>
    </cfRule>
  </conditionalFormatting>
  <conditionalFormatting sqref="D126">
    <cfRule type="expression" dxfId="12737" priority="4538">
      <formula>B126=""</formula>
    </cfRule>
  </conditionalFormatting>
  <conditionalFormatting sqref="D127">
    <cfRule type="expression" dxfId="12736" priority="4537">
      <formula>B127=""</formula>
    </cfRule>
  </conditionalFormatting>
  <conditionalFormatting sqref="D128">
    <cfRule type="expression" dxfId="12735" priority="4536">
      <formula>B128=""</formula>
    </cfRule>
  </conditionalFormatting>
  <conditionalFormatting sqref="E108">
    <cfRule type="expression" dxfId="12734" priority="4535">
      <formula>B108=""</formula>
    </cfRule>
  </conditionalFormatting>
  <conditionalFormatting sqref="E109 E111 E113 E115 E117 E119 E121 E123 E125 E127">
    <cfRule type="expression" dxfId="12733" priority="4534">
      <formula>B109=""</formula>
    </cfRule>
  </conditionalFormatting>
  <conditionalFormatting sqref="E122">
    <cfRule type="expression" dxfId="12732" priority="4531">
      <formula>B122=""</formula>
    </cfRule>
  </conditionalFormatting>
  <conditionalFormatting sqref="E123">
    <cfRule type="expression" dxfId="12731" priority="4530">
      <formula>B123=""</formula>
    </cfRule>
  </conditionalFormatting>
  <conditionalFormatting sqref="E124">
    <cfRule type="expression" dxfId="12730" priority="4529">
      <formula>B124=""</formula>
    </cfRule>
  </conditionalFormatting>
  <conditionalFormatting sqref="E125">
    <cfRule type="expression" dxfId="12729" priority="4528">
      <formula>B125=""</formula>
    </cfRule>
  </conditionalFormatting>
  <conditionalFormatting sqref="E126">
    <cfRule type="expression" dxfId="12728" priority="4527">
      <formula>B126=""</formula>
    </cfRule>
  </conditionalFormatting>
  <conditionalFormatting sqref="E127">
    <cfRule type="expression" dxfId="12727" priority="4526">
      <formula>B127=""</formula>
    </cfRule>
  </conditionalFormatting>
  <conditionalFormatting sqref="E128">
    <cfRule type="expression" dxfId="12726" priority="4525">
      <formula>B128=""</formula>
    </cfRule>
  </conditionalFormatting>
  <conditionalFormatting sqref="F108">
    <cfRule type="expression" dxfId="12725" priority="4524">
      <formula>B108=""</formula>
    </cfRule>
  </conditionalFormatting>
  <conditionalFormatting sqref="F109 F111 F113 F115 F117 F119 F121 F123 F125 F127">
    <cfRule type="expression" dxfId="12724" priority="4523">
      <formula>B109=""</formula>
    </cfRule>
  </conditionalFormatting>
  <conditionalFormatting sqref="F122">
    <cfRule type="expression" dxfId="12723" priority="4520">
      <formula>B122=""</formula>
    </cfRule>
  </conditionalFormatting>
  <conditionalFormatting sqref="F123">
    <cfRule type="expression" dxfId="12722" priority="4519">
      <formula>B123=""</formula>
    </cfRule>
  </conditionalFormatting>
  <conditionalFormatting sqref="F124">
    <cfRule type="expression" dxfId="12721" priority="4518">
      <formula>B124=""</formula>
    </cfRule>
  </conditionalFormatting>
  <conditionalFormatting sqref="F125">
    <cfRule type="expression" dxfId="12720" priority="4517">
      <formula>B125=""</formula>
    </cfRule>
  </conditionalFormatting>
  <conditionalFormatting sqref="F126">
    <cfRule type="expression" dxfId="12719" priority="4516">
      <formula>B126=""</formula>
    </cfRule>
  </conditionalFormatting>
  <conditionalFormatting sqref="F127">
    <cfRule type="expression" dxfId="12718" priority="4515">
      <formula>B127=""</formula>
    </cfRule>
  </conditionalFormatting>
  <conditionalFormatting sqref="F128">
    <cfRule type="expression" dxfId="12717" priority="4514">
      <formula>B128=""</formula>
    </cfRule>
  </conditionalFormatting>
  <conditionalFormatting sqref="E109 E111 E113 E115 E117 E119 E121 E123 E125 E127">
    <cfRule type="expression" dxfId="12716" priority="4513">
      <formula>B109=""</formula>
    </cfRule>
  </conditionalFormatting>
  <conditionalFormatting sqref="E122">
    <cfRule type="expression" dxfId="12715" priority="4510">
      <formula>B122=""</formula>
    </cfRule>
  </conditionalFormatting>
  <conditionalFormatting sqref="E123">
    <cfRule type="expression" dxfId="12714" priority="4509">
      <formula>B123=""</formula>
    </cfRule>
  </conditionalFormatting>
  <conditionalFormatting sqref="E124">
    <cfRule type="expression" dxfId="12713" priority="4508">
      <formula>B124=""</formula>
    </cfRule>
  </conditionalFormatting>
  <conditionalFormatting sqref="E125">
    <cfRule type="expression" dxfId="12712" priority="4507">
      <formula>B125=""</formula>
    </cfRule>
  </conditionalFormatting>
  <conditionalFormatting sqref="E126">
    <cfRule type="expression" dxfId="12711" priority="4506">
      <formula>B126=""</formula>
    </cfRule>
  </conditionalFormatting>
  <conditionalFormatting sqref="E127">
    <cfRule type="expression" dxfId="12710" priority="4505">
      <formula>B127=""</formula>
    </cfRule>
  </conditionalFormatting>
  <conditionalFormatting sqref="E128">
    <cfRule type="expression" dxfId="12709" priority="4504">
      <formula>B128=""</formula>
    </cfRule>
  </conditionalFormatting>
  <conditionalFormatting sqref="G108">
    <cfRule type="expression" dxfId="12708" priority="4503">
      <formula>B108=""</formula>
    </cfRule>
  </conditionalFormatting>
  <conditionalFormatting sqref="G109 G111 G113 G115 G117 G119 G121 G123 G125 G127">
    <cfRule type="expression" dxfId="12707" priority="4502">
      <formula>B109=""</formula>
    </cfRule>
  </conditionalFormatting>
  <conditionalFormatting sqref="G122">
    <cfRule type="expression" dxfId="12706" priority="4499">
      <formula>B122=""</formula>
    </cfRule>
  </conditionalFormatting>
  <conditionalFormatting sqref="G123">
    <cfRule type="expression" dxfId="12705" priority="4498">
      <formula>B123=""</formula>
    </cfRule>
  </conditionalFormatting>
  <conditionalFormatting sqref="G124">
    <cfRule type="expression" dxfId="12704" priority="4497">
      <formula>B124=""</formula>
    </cfRule>
  </conditionalFormatting>
  <conditionalFormatting sqref="G125">
    <cfRule type="expression" dxfId="12703" priority="4496">
      <formula>B125=""</formula>
    </cfRule>
  </conditionalFormatting>
  <conditionalFormatting sqref="G126">
    <cfRule type="expression" dxfId="12702" priority="4495">
      <formula>B126=""</formula>
    </cfRule>
  </conditionalFormatting>
  <conditionalFormatting sqref="G127">
    <cfRule type="expression" dxfId="12701" priority="4494">
      <formula>B127=""</formula>
    </cfRule>
  </conditionalFormatting>
  <conditionalFormatting sqref="G128">
    <cfRule type="expression" dxfId="12700" priority="4493">
      <formula>B128=""</formula>
    </cfRule>
  </conditionalFormatting>
  <conditionalFormatting sqref="H108">
    <cfRule type="expression" dxfId="12699" priority="4492">
      <formula>B108=""</formula>
    </cfRule>
  </conditionalFormatting>
  <conditionalFormatting sqref="H109 H111 H113 H115 H117 H119 H121 H123 H125 H127">
    <cfRule type="expression" dxfId="12698" priority="4491">
      <formula>B109=""</formula>
    </cfRule>
  </conditionalFormatting>
  <conditionalFormatting sqref="H122">
    <cfRule type="expression" dxfId="12697" priority="4488">
      <formula>B122=""</formula>
    </cfRule>
  </conditionalFormatting>
  <conditionalFormatting sqref="H123">
    <cfRule type="expression" dxfId="12696" priority="4487">
      <formula>B123=""</formula>
    </cfRule>
  </conditionalFormatting>
  <conditionalFormatting sqref="H124">
    <cfRule type="expression" dxfId="12695" priority="4486">
      <formula>B124=""</formula>
    </cfRule>
  </conditionalFormatting>
  <conditionalFormatting sqref="H125">
    <cfRule type="expression" dxfId="12694" priority="4485">
      <formula>B125=""</formula>
    </cfRule>
  </conditionalFormatting>
  <conditionalFormatting sqref="H126">
    <cfRule type="expression" dxfId="12693" priority="4484">
      <formula>B126=""</formula>
    </cfRule>
  </conditionalFormatting>
  <conditionalFormatting sqref="H127">
    <cfRule type="expression" dxfId="12692" priority="4483">
      <formula>B127=""</formula>
    </cfRule>
  </conditionalFormatting>
  <conditionalFormatting sqref="H128">
    <cfRule type="expression" dxfId="12691" priority="4482">
      <formula>B128=""</formula>
    </cfRule>
  </conditionalFormatting>
  <conditionalFormatting sqref="C130:C150">
    <cfRule type="expression" dxfId="12690" priority="4481">
      <formula>B130=""</formula>
    </cfRule>
  </conditionalFormatting>
  <conditionalFormatting sqref="C131 C133 C135 C137 C139 C141 C143 C145 C147 C149">
    <cfRule type="expression" dxfId="12689" priority="4480">
      <formula>B131=""</formula>
    </cfRule>
  </conditionalFormatting>
  <conditionalFormatting sqref="C132:C142">
    <cfRule type="expression" dxfId="12688" priority="4479">
      <formula>B132=""</formula>
    </cfRule>
  </conditionalFormatting>
  <conditionalFormatting sqref="C143">
    <cfRule type="expression" dxfId="12687" priority="4478">
      <formula>B143=""</formula>
    </cfRule>
  </conditionalFormatting>
  <conditionalFormatting sqref="C144">
    <cfRule type="expression" dxfId="12686" priority="4477">
      <formula>B144=""</formula>
    </cfRule>
  </conditionalFormatting>
  <conditionalFormatting sqref="C145">
    <cfRule type="expression" dxfId="12685" priority="4476">
      <formula>B145=""</formula>
    </cfRule>
  </conditionalFormatting>
  <conditionalFormatting sqref="C146">
    <cfRule type="expression" dxfId="12684" priority="4475">
      <formula>B146=""</formula>
    </cfRule>
  </conditionalFormatting>
  <conditionalFormatting sqref="C147">
    <cfRule type="expression" dxfId="12683" priority="4474">
      <formula>B147=""</formula>
    </cfRule>
  </conditionalFormatting>
  <conditionalFormatting sqref="C148">
    <cfRule type="expression" dxfId="12682" priority="4473">
      <formula>B148=""</formula>
    </cfRule>
  </conditionalFormatting>
  <conditionalFormatting sqref="C149">
    <cfRule type="expression" dxfId="12681" priority="4472">
      <formula>B149=""</formula>
    </cfRule>
  </conditionalFormatting>
  <conditionalFormatting sqref="C150">
    <cfRule type="expression" dxfId="12680" priority="4471">
      <formula>B150=""</formula>
    </cfRule>
  </conditionalFormatting>
  <conditionalFormatting sqref="D130 D132 D134 D136 D138 D140 D142 D144 D146 D148">
    <cfRule type="expression" dxfId="12679" priority="4470">
      <formula>B130=""</formula>
    </cfRule>
  </conditionalFormatting>
  <conditionalFormatting sqref="D131 D133 D135 D137 D139 D141 D143 D145 D147 D149">
    <cfRule type="expression" dxfId="12678" priority="4469">
      <formula>B131=""</formula>
    </cfRule>
  </conditionalFormatting>
  <conditionalFormatting sqref="D132:D142">
    <cfRule type="expression" dxfId="12677" priority="4468">
      <formula>B132=""</formula>
    </cfRule>
  </conditionalFormatting>
  <conditionalFormatting sqref="D143">
    <cfRule type="expression" dxfId="12676" priority="4467">
      <formula>B143=""</formula>
    </cfRule>
  </conditionalFormatting>
  <conditionalFormatting sqref="D144">
    <cfRule type="expression" dxfId="12675" priority="4466">
      <formula>B144=""</formula>
    </cfRule>
  </conditionalFormatting>
  <conditionalFormatting sqref="D145">
    <cfRule type="expression" dxfId="12674" priority="4465">
      <formula>B145=""</formula>
    </cfRule>
  </conditionalFormatting>
  <conditionalFormatting sqref="D146">
    <cfRule type="expression" dxfId="12673" priority="4464">
      <formula>B146=""</formula>
    </cfRule>
  </conditionalFormatting>
  <conditionalFormatting sqref="D147">
    <cfRule type="expression" dxfId="12672" priority="4463">
      <formula>B147=""</formula>
    </cfRule>
  </conditionalFormatting>
  <conditionalFormatting sqref="D148">
    <cfRule type="expression" dxfId="12671" priority="4462">
      <formula>B148=""</formula>
    </cfRule>
  </conditionalFormatting>
  <conditionalFormatting sqref="D149">
    <cfRule type="expression" dxfId="12670" priority="4461">
      <formula>B149=""</formula>
    </cfRule>
  </conditionalFormatting>
  <conditionalFormatting sqref="D150">
    <cfRule type="expression" dxfId="12669" priority="4460">
      <formula>B150=""</formula>
    </cfRule>
  </conditionalFormatting>
  <conditionalFormatting sqref="E130 E132 E134 E136 E138 E140 E142 E144 E146 E148">
    <cfRule type="expression" dxfId="12668" priority="4459">
      <formula>B130=""</formula>
    </cfRule>
  </conditionalFormatting>
  <conditionalFormatting sqref="E131 E133 E135 E137 E139 E141 E143 E145 E147 E149">
    <cfRule type="expression" dxfId="12667" priority="4458">
      <formula>B131=""</formula>
    </cfRule>
  </conditionalFormatting>
  <conditionalFormatting sqref="E132:E142">
    <cfRule type="expression" dxfId="12666" priority="4457">
      <formula>B132=""</formula>
    </cfRule>
  </conditionalFormatting>
  <conditionalFormatting sqref="E143">
    <cfRule type="expression" dxfId="12665" priority="4456">
      <formula>B143=""</formula>
    </cfRule>
  </conditionalFormatting>
  <conditionalFormatting sqref="E144">
    <cfRule type="expression" dxfId="12664" priority="4455">
      <formula>B144=""</formula>
    </cfRule>
  </conditionalFormatting>
  <conditionalFormatting sqref="E145">
    <cfRule type="expression" dxfId="12663" priority="4454">
      <formula>B145=""</formula>
    </cfRule>
  </conditionalFormatting>
  <conditionalFormatting sqref="E146">
    <cfRule type="expression" dxfId="12662" priority="4453">
      <formula>B146=""</formula>
    </cfRule>
  </conditionalFormatting>
  <conditionalFormatting sqref="E147">
    <cfRule type="expression" dxfId="12661" priority="4452">
      <formula>B147=""</formula>
    </cfRule>
  </conditionalFormatting>
  <conditionalFormatting sqref="E148">
    <cfRule type="expression" dxfId="12660" priority="4451">
      <formula>B148=""</formula>
    </cfRule>
  </conditionalFormatting>
  <conditionalFormatting sqref="E149">
    <cfRule type="expression" dxfId="12659" priority="4450">
      <formula>B149=""</formula>
    </cfRule>
  </conditionalFormatting>
  <conditionalFormatting sqref="E150">
    <cfRule type="expression" dxfId="12658" priority="4449">
      <formula>B150=""</formula>
    </cfRule>
  </conditionalFormatting>
  <conditionalFormatting sqref="F130 F132 F134 F136 F138 F140 F142 F144 F146 F148">
    <cfRule type="expression" dxfId="12657" priority="4448">
      <formula>B130=""</formula>
    </cfRule>
  </conditionalFormatting>
  <conditionalFormatting sqref="F131 F133 F135 F137 F139 F141 F143 F145 F147 F149">
    <cfRule type="expression" dxfId="12656" priority="4447">
      <formula>B131=""</formula>
    </cfRule>
  </conditionalFormatting>
  <conditionalFormatting sqref="F132:F142">
    <cfRule type="expression" dxfId="12655" priority="4446">
      <formula>B132=""</formula>
    </cfRule>
  </conditionalFormatting>
  <conditionalFormatting sqref="F143">
    <cfRule type="expression" dxfId="12654" priority="4445">
      <formula>B143=""</formula>
    </cfRule>
  </conditionalFormatting>
  <conditionalFormatting sqref="F144">
    <cfRule type="expression" dxfId="12653" priority="4444">
      <formula>B144=""</formula>
    </cfRule>
  </conditionalFormatting>
  <conditionalFormatting sqref="F145">
    <cfRule type="expression" dxfId="12652" priority="4443">
      <formula>B145=""</formula>
    </cfRule>
  </conditionalFormatting>
  <conditionalFormatting sqref="F146">
    <cfRule type="expression" dxfId="12651" priority="4442">
      <formula>B146=""</formula>
    </cfRule>
  </conditionalFormatting>
  <conditionalFormatting sqref="F147">
    <cfRule type="expression" dxfId="12650" priority="4441">
      <formula>B147=""</formula>
    </cfRule>
  </conditionalFormatting>
  <conditionalFormatting sqref="F148">
    <cfRule type="expression" dxfId="12649" priority="4440">
      <formula>B148=""</formula>
    </cfRule>
  </conditionalFormatting>
  <conditionalFormatting sqref="F149">
    <cfRule type="expression" dxfId="12648" priority="4439">
      <formula>B149=""</formula>
    </cfRule>
  </conditionalFormatting>
  <conditionalFormatting sqref="F150">
    <cfRule type="expression" dxfId="12647" priority="4438">
      <formula>B150=""</formula>
    </cfRule>
  </conditionalFormatting>
  <conditionalFormatting sqref="E131 E133 E135 E137 E139 E141 E143 E145 E147 E149">
    <cfRule type="expression" dxfId="12646" priority="4437">
      <formula>B131=""</formula>
    </cfRule>
  </conditionalFormatting>
  <conditionalFormatting sqref="E132:E142">
    <cfRule type="expression" dxfId="12645" priority="4436">
      <formula>B132=""</formula>
    </cfRule>
  </conditionalFormatting>
  <conditionalFormatting sqref="E143">
    <cfRule type="expression" dxfId="12644" priority="4435">
      <formula>B143=""</formula>
    </cfRule>
  </conditionalFormatting>
  <conditionalFormatting sqref="E144">
    <cfRule type="expression" dxfId="12643" priority="4434">
      <formula>B144=""</formula>
    </cfRule>
  </conditionalFormatting>
  <conditionalFormatting sqref="E145">
    <cfRule type="expression" dxfId="12642" priority="4433">
      <formula>B145=""</formula>
    </cfRule>
  </conditionalFormatting>
  <conditionalFormatting sqref="E146">
    <cfRule type="expression" dxfId="12641" priority="4432">
      <formula>B146=""</formula>
    </cfRule>
  </conditionalFormatting>
  <conditionalFormatting sqref="E147">
    <cfRule type="expression" dxfId="12640" priority="4431">
      <formula>B147=""</formula>
    </cfRule>
  </conditionalFormatting>
  <conditionalFormatting sqref="E148">
    <cfRule type="expression" dxfId="12639" priority="4430">
      <formula>B148=""</formula>
    </cfRule>
  </conditionalFormatting>
  <conditionalFormatting sqref="E149">
    <cfRule type="expression" dxfId="12638" priority="4429">
      <formula>B149=""</formula>
    </cfRule>
  </conditionalFormatting>
  <conditionalFormatting sqref="E150">
    <cfRule type="expression" dxfId="12637" priority="4428">
      <formula>B150=""</formula>
    </cfRule>
  </conditionalFormatting>
  <conditionalFormatting sqref="G130 G132 G134 G136 G138 G140 G142 G144 G146 G148">
    <cfRule type="expression" dxfId="12636" priority="4427">
      <formula>B130=""</formula>
    </cfRule>
  </conditionalFormatting>
  <conditionalFormatting sqref="G131 G133 G135 G137 G139 G141 G143 G145 G147 G149">
    <cfRule type="expression" dxfId="12635" priority="4426">
      <formula>B131=""</formula>
    </cfRule>
  </conditionalFormatting>
  <conditionalFormatting sqref="G132:G142">
    <cfRule type="expression" dxfId="12634" priority="4425">
      <formula>B132=""</formula>
    </cfRule>
  </conditionalFormatting>
  <conditionalFormatting sqref="G143">
    <cfRule type="expression" dxfId="12633" priority="4424">
      <formula>B143=""</formula>
    </cfRule>
  </conditionalFormatting>
  <conditionalFormatting sqref="G144">
    <cfRule type="expression" dxfId="12632" priority="4423">
      <formula>B144=""</formula>
    </cfRule>
  </conditionalFormatting>
  <conditionalFormatting sqref="G145">
    <cfRule type="expression" dxfId="12631" priority="4422">
      <formula>B145=""</formula>
    </cfRule>
  </conditionalFormatting>
  <conditionalFormatting sqref="G146">
    <cfRule type="expression" dxfId="12630" priority="4421">
      <formula>B146=""</formula>
    </cfRule>
  </conditionalFormatting>
  <conditionalFormatting sqref="G147">
    <cfRule type="expression" dxfId="12629" priority="4420">
      <formula>B147=""</formula>
    </cfRule>
  </conditionalFormatting>
  <conditionalFormatting sqref="G148">
    <cfRule type="expression" dxfId="12628" priority="4419">
      <formula>B148=""</formula>
    </cfRule>
  </conditionalFormatting>
  <conditionalFormatting sqref="G149">
    <cfRule type="expression" dxfId="12627" priority="4418">
      <formula>B149=""</formula>
    </cfRule>
  </conditionalFormatting>
  <conditionalFormatting sqref="G150">
    <cfRule type="expression" dxfId="12626" priority="4417">
      <formula>B150=""</formula>
    </cfRule>
  </conditionalFormatting>
  <conditionalFormatting sqref="H130 H132 H134 H136 H138 H140 H142 H144 H146 H148">
    <cfRule type="expression" dxfId="12625" priority="4416">
      <formula>B130=""</formula>
    </cfRule>
  </conditionalFormatting>
  <conditionalFormatting sqref="H131 H133 H135 H137 H139 H141 H143 H145 H147 H149">
    <cfRule type="expression" dxfId="12624" priority="4415">
      <formula>B131=""</formula>
    </cfRule>
  </conditionalFormatting>
  <conditionalFormatting sqref="H132:H142">
    <cfRule type="expression" dxfId="12623" priority="4414">
      <formula>B132=""</formula>
    </cfRule>
  </conditionalFormatting>
  <conditionalFormatting sqref="H143">
    <cfRule type="expression" dxfId="12622" priority="4413">
      <formula>B143=""</formula>
    </cfRule>
  </conditionalFormatting>
  <conditionalFormatting sqref="H144">
    <cfRule type="expression" dxfId="12621" priority="4412">
      <formula>B144=""</formula>
    </cfRule>
  </conditionalFormatting>
  <conditionalFormatting sqref="H145">
    <cfRule type="expression" dxfId="12620" priority="4411">
      <formula>B145=""</formula>
    </cfRule>
  </conditionalFormatting>
  <conditionalFormatting sqref="H146">
    <cfRule type="expression" dxfId="12619" priority="4410">
      <formula>B146=""</formula>
    </cfRule>
  </conditionalFormatting>
  <conditionalFormatting sqref="H147">
    <cfRule type="expression" dxfId="12618" priority="4409">
      <formula>B147=""</formula>
    </cfRule>
  </conditionalFormatting>
  <conditionalFormatting sqref="H148">
    <cfRule type="expression" dxfId="12617" priority="4408">
      <formula>B148=""</formula>
    </cfRule>
  </conditionalFormatting>
  <conditionalFormatting sqref="H149">
    <cfRule type="expression" dxfId="12616" priority="4407">
      <formula>B149=""</formula>
    </cfRule>
  </conditionalFormatting>
  <conditionalFormatting sqref="H150">
    <cfRule type="expression" dxfId="12615" priority="4406">
      <formula>B150=""</formula>
    </cfRule>
  </conditionalFormatting>
  <conditionalFormatting sqref="C152:C171">
    <cfRule type="expression" dxfId="12614" priority="4405">
      <formula>B152=""</formula>
    </cfRule>
  </conditionalFormatting>
  <conditionalFormatting sqref="C153 C155 C157 C159 C161 C163 C165 C167 C169">
    <cfRule type="expression" dxfId="12613" priority="4404">
      <formula>B153=""</formula>
    </cfRule>
  </conditionalFormatting>
  <conditionalFormatting sqref="C154:C164">
    <cfRule type="expression" dxfId="12612" priority="4403">
      <formula>B154=""</formula>
    </cfRule>
  </conditionalFormatting>
  <conditionalFormatting sqref="C165">
    <cfRule type="expression" dxfId="12611" priority="4402">
      <formula>B165=""</formula>
    </cfRule>
  </conditionalFormatting>
  <conditionalFormatting sqref="C166">
    <cfRule type="expression" dxfId="12610" priority="4401">
      <formula>B166=""</formula>
    </cfRule>
  </conditionalFormatting>
  <conditionalFormatting sqref="C167">
    <cfRule type="expression" dxfId="12609" priority="4400">
      <formula>B167=""</formula>
    </cfRule>
  </conditionalFormatting>
  <conditionalFormatting sqref="C168">
    <cfRule type="expression" dxfId="12608" priority="4399">
      <formula>B168=""</formula>
    </cfRule>
  </conditionalFormatting>
  <conditionalFormatting sqref="C169">
    <cfRule type="expression" dxfId="12607" priority="4398">
      <formula>B169=""</formula>
    </cfRule>
  </conditionalFormatting>
  <conditionalFormatting sqref="C170">
    <cfRule type="expression" dxfId="12606" priority="4397">
      <formula>B170=""</formula>
    </cfRule>
  </conditionalFormatting>
  <conditionalFormatting sqref="C171">
    <cfRule type="expression" dxfId="12605" priority="4396">
      <formula>B171=""</formula>
    </cfRule>
  </conditionalFormatting>
  <conditionalFormatting sqref="C172">
    <cfRule type="expression" dxfId="12604" priority="4395">
      <formula>B172=""</formula>
    </cfRule>
  </conditionalFormatting>
  <conditionalFormatting sqref="D152 D154 D156 D158 D160 D162 D164 D166 D168 D170">
    <cfRule type="expression" dxfId="12603" priority="4394">
      <formula>B152=""</formula>
    </cfRule>
  </conditionalFormatting>
  <conditionalFormatting sqref="D153 D155 D157 D159 D161 D163 D165 D167 D169">
    <cfRule type="expression" dxfId="12602" priority="4393">
      <formula>B153=""</formula>
    </cfRule>
  </conditionalFormatting>
  <conditionalFormatting sqref="D154:D164">
    <cfRule type="expression" dxfId="12601" priority="4392">
      <formula>B154=""</formula>
    </cfRule>
  </conditionalFormatting>
  <conditionalFormatting sqref="D165">
    <cfRule type="expression" dxfId="12600" priority="4391">
      <formula>B165=""</formula>
    </cfRule>
  </conditionalFormatting>
  <conditionalFormatting sqref="D166">
    <cfRule type="expression" dxfId="12599" priority="4390">
      <formula>B166=""</formula>
    </cfRule>
  </conditionalFormatting>
  <conditionalFormatting sqref="D167">
    <cfRule type="expression" dxfId="12598" priority="4389">
      <formula>B167=""</formula>
    </cfRule>
  </conditionalFormatting>
  <conditionalFormatting sqref="D168">
    <cfRule type="expression" dxfId="12597" priority="4388">
      <formula>B168=""</formula>
    </cfRule>
  </conditionalFormatting>
  <conditionalFormatting sqref="D169">
    <cfRule type="expression" dxfId="12596" priority="4387">
      <formula>B169=""</formula>
    </cfRule>
  </conditionalFormatting>
  <conditionalFormatting sqref="D170">
    <cfRule type="expression" dxfId="12595" priority="4386">
      <formula>B170=""</formula>
    </cfRule>
  </conditionalFormatting>
  <conditionalFormatting sqref="D171">
    <cfRule type="expression" dxfId="12594" priority="4385">
      <formula>B171=""</formula>
    </cfRule>
  </conditionalFormatting>
  <conditionalFormatting sqref="D172">
    <cfRule type="expression" dxfId="12593" priority="4384">
      <formula>B172=""</formula>
    </cfRule>
  </conditionalFormatting>
  <conditionalFormatting sqref="E152 E154 E156 E158 E160 E162 E164 E166 E168 E170">
    <cfRule type="expression" dxfId="12592" priority="4383">
      <formula>B152=""</formula>
    </cfRule>
  </conditionalFormatting>
  <conditionalFormatting sqref="E153 E155 E157 E159 E161 E163 E165 E167 E169">
    <cfRule type="expression" dxfId="12591" priority="4382">
      <formula>B153=""</formula>
    </cfRule>
  </conditionalFormatting>
  <conditionalFormatting sqref="E154:E164">
    <cfRule type="expression" dxfId="12590" priority="4381">
      <formula>B154=""</formula>
    </cfRule>
  </conditionalFormatting>
  <conditionalFormatting sqref="E165">
    <cfRule type="expression" dxfId="12589" priority="4380">
      <formula>B165=""</formula>
    </cfRule>
  </conditionalFormatting>
  <conditionalFormatting sqref="E166">
    <cfRule type="expression" dxfId="12588" priority="4379">
      <formula>B166=""</formula>
    </cfRule>
  </conditionalFormatting>
  <conditionalFormatting sqref="E167">
    <cfRule type="expression" dxfId="12587" priority="4378">
      <formula>B167=""</formula>
    </cfRule>
  </conditionalFormatting>
  <conditionalFormatting sqref="E168">
    <cfRule type="expression" dxfId="12586" priority="4377">
      <formula>B168=""</formula>
    </cfRule>
  </conditionalFormatting>
  <conditionalFormatting sqref="E169">
    <cfRule type="expression" dxfId="12585" priority="4376">
      <formula>B169=""</formula>
    </cfRule>
  </conditionalFormatting>
  <conditionalFormatting sqref="E170">
    <cfRule type="expression" dxfId="12584" priority="4375">
      <formula>B170=""</formula>
    </cfRule>
  </conditionalFormatting>
  <conditionalFormatting sqref="E171">
    <cfRule type="expression" dxfId="12583" priority="4374">
      <formula>B171=""</formula>
    </cfRule>
  </conditionalFormatting>
  <conditionalFormatting sqref="E172">
    <cfRule type="expression" dxfId="12582" priority="4373">
      <formula>B172=""</formula>
    </cfRule>
  </conditionalFormatting>
  <conditionalFormatting sqref="F152 F154 F156 F158 F160 F162 F164 F166 F168 F170">
    <cfRule type="expression" dxfId="12581" priority="4372">
      <formula>B152=""</formula>
    </cfRule>
  </conditionalFormatting>
  <conditionalFormatting sqref="F153 F155 F157 F159 F161 F163 F165 F167 F169">
    <cfRule type="expression" dxfId="12580" priority="4371">
      <formula>B153=""</formula>
    </cfRule>
  </conditionalFormatting>
  <conditionalFormatting sqref="F154:F164">
    <cfRule type="expression" dxfId="12579" priority="4370">
      <formula>B154=""</formula>
    </cfRule>
  </conditionalFormatting>
  <conditionalFormatting sqref="F165">
    <cfRule type="expression" dxfId="12578" priority="4369">
      <formula>B165=""</formula>
    </cfRule>
  </conditionalFormatting>
  <conditionalFormatting sqref="F166">
    <cfRule type="expression" dxfId="12577" priority="4368">
      <formula>B166=""</formula>
    </cfRule>
  </conditionalFormatting>
  <conditionalFormatting sqref="F167">
    <cfRule type="expression" dxfId="12576" priority="4367">
      <formula>B167=""</formula>
    </cfRule>
  </conditionalFormatting>
  <conditionalFormatting sqref="F168">
    <cfRule type="expression" dxfId="12575" priority="4366">
      <formula>B168=""</formula>
    </cfRule>
  </conditionalFormatting>
  <conditionalFormatting sqref="F169">
    <cfRule type="expression" dxfId="12574" priority="4365">
      <formula>B169=""</formula>
    </cfRule>
  </conditionalFormatting>
  <conditionalFormatting sqref="F170">
    <cfRule type="expression" dxfId="12573" priority="4364">
      <formula>B170=""</formula>
    </cfRule>
  </conditionalFormatting>
  <conditionalFormatting sqref="F171">
    <cfRule type="expression" dxfId="12572" priority="4363">
      <formula>B171=""</formula>
    </cfRule>
  </conditionalFormatting>
  <conditionalFormatting sqref="F172">
    <cfRule type="expression" dxfId="12571" priority="4362">
      <formula>B172=""</formula>
    </cfRule>
  </conditionalFormatting>
  <conditionalFormatting sqref="E153 E155 E157 E159 E161 E163 E165 E167 E169">
    <cfRule type="expression" dxfId="12570" priority="4361">
      <formula>B153=""</formula>
    </cfRule>
  </conditionalFormatting>
  <conditionalFormatting sqref="E154:E164">
    <cfRule type="expression" dxfId="12569" priority="4360">
      <formula>B154=""</formula>
    </cfRule>
  </conditionalFormatting>
  <conditionalFormatting sqref="E165">
    <cfRule type="expression" dxfId="12568" priority="4359">
      <formula>B165=""</formula>
    </cfRule>
  </conditionalFormatting>
  <conditionalFormatting sqref="E166">
    <cfRule type="expression" dxfId="12567" priority="4358">
      <formula>B166=""</formula>
    </cfRule>
  </conditionalFormatting>
  <conditionalFormatting sqref="E167">
    <cfRule type="expression" dxfId="12566" priority="4357">
      <formula>B167=""</formula>
    </cfRule>
  </conditionalFormatting>
  <conditionalFormatting sqref="E168">
    <cfRule type="expression" dxfId="12565" priority="4356">
      <formula>B168=""</formula>
    </cfRule>
  </conditionalFormatting>
  <conditionalFormatting sqref="E169">
    <cfRule type="expression" dxfId="12564" priority="4355">
      <formula>B169=""</formula>
    </cfRule>
  </conditionalFormatting>
  <conditionalFormatting sqref="E170">
    <cfRule type="expression" dxfId="12563" priority="4354">
      <formula>B170=""</formula>
    </cfRule>
  </conditionalFormatting>
  <conditionalFormatting sqref="E171">
    <cfRule type="expression" dxfId="12562" priority="4353">
      <formula>B171=""</formula>
    </cfRule>
  </conditionalFormatting>
  <conditionalFormatting sqref="E172">
    <cfRule type="expression" dxfId="12561" priority="4352">
      <formula>B172=""</formula>
    </cfRule>
  </conditionalFormatting>
  <conditionalFormatting sqref="G152 G154 G156 G158 G160 G162 G164 G166 G168 G170">
    <cfRule type="expression" dxfId="12560" priority="4351">
      <formula>B152=""</formula>
    </cfRule>
  </conditionalFormatting>
  <conditionalFormatting sqref="G153 G155 G157 G159 G161 G163 G165 G167 G169">
    <cfRule type="expression" dxfId="12559" priority="4350">
      <formula>B153=""</formula>
    </cfRule>
  </conditionalFormatting>
  <conditionalFormatting sqref="G154:G164">
    <cfRule type="expression" dxfId="12558" priority="4349">
      <formula>B154=""</formula>
    </cfRule>
  </conditionalFormatting>
  <conditionalFormatting sqref="G165">
    <cfRule type="expression" dxfId="12557" priority="4348">
      <formula>B165=""</formula>
    </cfRule>
  </conditionalFormatting>
  <conditionalFormatting sqref="G166">
    <cfRule type="expression" dxfId="12556" priority="4347">
      <formula>B166=""</formula>
    </cfRule>
  </conditionalFormatting>
  <conditionalFormatting sqref="G167">
    <cfRule type="expression" dxfId="12555" priority="4346">
      <formula>B167=""</formula>
    </cfRule>
  </conditionalFormatting>
  <conditionalFormatting sqref="G168">
    <cfRule type="expression" dxfId="12554" priority="4345">
      <formula>B168=""</formula>
    </cfRule>
  </conditionalFormatting>
  <conditionalFormatting sqref="G169">
    <cfRule type="expression" dxfId="12553" priority="4344">
      <formula>B169=""</formula>
    </cfRule>
  </conditionalFormatting>
  <conditionalFormatting sqref="G170">
    <cfRule type="expression" dxfId="12552" priority="4343">
      <formula>B170=""</formula>
    </cfRule>
  </conditionalFormatting>
  <conditionalFormatting sqref="G171">
    <cfRule type="expression" dxfId="12551" priority="4342">
      <formula>B171=""</formula>
    </cfRule>
  </conditionalFormatting>
  <conditionalFormatting sqref="G172">
    <cfRule type="expression" dxfId="12550" priority="4341">
      <formula>B172=""</formula>
    </cfRule>
  </conditionalFormatting>
  <conditionalFormatting sqref="H152 H154 H156 H158 H160 H162 H164 H166 H168 H170">
    <cfRule type="expression" dxfId="12549" priority="4340">
      <formula>B152=""</formula>
    </cfRule>
  </conditionalFormatting>
  <conditionalFormatting sqref="H153 H155 H157 H159 H161 H163 H165 H167 H169">
    <cfRule type="expression" dxfId="12548" priority="4339">
      <formula>B153=""</formula>
    </cfRule>
  </conditionalFormatting>
  <conditionalFormatting sqref="H154:H164">
    <cfRule type="expression" dxfId="12547" priority="4338">
      <formula>B154=""</formula>
    </cfRule>
  </conditionalFormatting>
  <conditionalFormatting sqref="H165">
    <cfRule type="expression" dxfId="12546" priority="4337">
      <formula>B165=""</formula>
    </cfRule>
  </conditionalFormatting>
  <conditionalFormatting sqref="H166">
    <cfRule type="expression" dxfId="12545" priority="4336">
      <formula>B166=""</formula>
    </cfRule>
  </conditionalFormatting>
  <conditionalFormatting sqref="H167">
    <cfRule type="expression" dxfId="12544" priority="4335">
      <formula>B167=""</formula>
    </cfRule>
  </conditionalFormatting>
  <conditionalFormatting sqref="H168">
    <cfRule type="expression" dxfId="12543" priority="4334">
      <formula>B168=""</formula>
    </cfRule>
  </conditionalFormatting>
  <conditionalFormatting sqref="H169">
    <cfRule type="expression" dxfId="12542" priority="4333">
      <formula>B169=""</formula>
    </cfRule>
  </conditionalFormatting>
  <conditionalFormatting sqref="H170">
    <cfRule type="expression" dxfId="12541" priority="4332">
      <formula>B170=""</formula>
    </cfRule>
  </conditionalFormatting>
  <conditionalFormatting sqref="H171">
    <cfRule type="expression" dxfId="12540" priority="4331">
      <formula>B171=""</formula>
    </cfRule>
  </conditionalFormatting>
  <conditionalFormatting sqref="H172">
    <cfRule type="expression" dxfId="12539" priority="4330">
      <formula>B172=""</formula>
    </cfRule>
  </conditionalFormatting>
  <conditionalFormatting sqref="C174:C194">
    <cfRule type="expression" dxfId="12538" priority="4329">
      <formula>B174=""</formula>
    </cfRule>
  </conditionalFormatting>
  <conditionalFormatting sqref="C175 C177 C179 C181 C183 C185 C187 C189 C191 C193">
    <cfRule type="expression" dxfId="12537" priority="4328">
      <formula>B175=""</formula>
    </cfRule>
  </conditionalFormatting>
  <conditionalFormatting sqref="C176:C186">
    <cfRule type="expression" dxfId="12536" priority="4327">
      <formula>B176=""</formula>
    </cfRule>
  </conditionalFormatting>
  <conditionalFormatting sqref="C187">
    <cfRule type="expression" dxfId="12535" priority="4326">
      <formula>B187=""</formula>
    </cfRule>
  </conditionalFormatting>
  <conditionalFormatting sqref="C188">
    <cfRule type="expression" dxfId="12534" priority="4325">
      <formula>B188=""</formula>
    </cfRule>
  </conditionalFormatting>
  <conditionalFormatting sqref="C189">
    <cfRule type="expression" dxfId="12533" priority="4324">
      <formula>B189=""</formula>
    </cfRule>
  </conditionalFormatting>
  <conditionalFormatting sqref="C190">
    <cfRule type="expression" dxfId="12532" priority="4323">
      <formula>B190=""</formula>
    </cfRule>
  </conditionalFormatting>
  <conditionalFormatting sqref="C191">
    <cfRule type="expression" dxfId="12531" priority="4322">
      <formula>B191=""</formula>
    </cfRule>
  </conditionalFormatting>
  <conditionalFormatting sqref="C192">
    <cfRule type="expression" dxfId="12530" priority="4321">
      <formula>B192=""</formula>
    </cfRule>
  </conditionalFormatting>
  <conditionalFormatting sqref="C193">
    <cfRule type="expression" dxfId="12529" priority="4320">
      <formula>B193=""</formula>
    </cfRule>
  </conditionalFormatting>
  <conditionalFormatting sqref="C194">
    <cfRule type="expression" dxfId="12528" priority="4319">
      <formula>B194=""</formula>
    </cfRule>
  </conditionalFormatting>
  <conditionalFormatting sqref="D174 D176 D178 D180 D182 D184 D186 D188 D190 D192">
    <cfRule type="expression" dxfId="12527" priority="4318">
      <formula>B174=""</formula>
    </cfRule>
  </conditionalFormatting>
  <conditionalFormatting sqref="D175 D177 D179 D181 D183 D185 D187 D189 D191 D193">
    <cfRule type="expression" dxfId="12526" priority="4317">
      <formula>B175=""</formula>
    </cfRule>
  </conditionalFormatting>
  <conditionalFormatting sqref="D176:D186">
    <cfRule type="expression" dxfId="12525" priority="4316">
      <formula>B176=""</formula>
    </cfRule>
  </conditionalFormatting>
  <conditionalFormatting sqref="D187">
    <cfRule type="expression" dxfId="12524" priority="4315">
      <formula>B187=""</formula>
    </cfRule>
  </conditionalFormatting>
  <conditionalFormatting sqref="D188">
    <cfRule type="expression" dxfId="12523" priority="4314">
      <formula>B188=""</formula>
    </cfRule>
  </conditionalFormatting>
  <conditionalFormatting sqref="D189">
    <cfRule type="expression" dxfId="12522" priority="4313">
      <formula>B189=""</formula>
    </cfRule>
  </conditionalFormatting>
  <conditionalFormatting sqref="D190">
    <cfRule type="expression" dxfId="12521" priority="4312">
      <formula>B190=""</formula>
    </cfRule>
  </conditionalFormatting>
  <conditionalFormatting sqref="D191">
    <cfRule type="expression" dxfId="12520" priority="4311">
      <formula>B191=""</formula>
    </cfRule>
  </conditionalFormatting>
  <conditionalFormatting sqref="D192">
    <cfRule type="expression" dxfId="12519" priority="4310">
      <formula>B192=""</formula>
    </cfRule>
  </conditionalFormatting>
  <conditionalFormatting sqref="D193">
    <cfRule type="expression" dxfId="12518" priority="4309">
      <formula>B193=""</formula>
    </cfRule>
  </conditionalFormatting>
  <conditionalFormatting sqref="D194">
    <cfRule type="expression" dxfId="12517" priority="4308">
      <formula>B194=""</formula>
    </cfRule>
  </conditionalFormatting>
  <conditionalFormatting sqref="E174 E176 E178 E180 E182 E184 E186 E188 E190 E192">
    <cfRule type="expression" dxfId="12516" priority="4307">
      <formula>B174=""</formula>
    </cfRule>
  </conditionalFormatting>
  <conditionalFormatting sqref="E175 E177 E179 E181 E183 E185 E187 E189 E191 E193">
    <cfRule type="expression" dxfId="12515" priority="4306">
      <formula>B175=""</formula>
    </cfRule>
  </conditionalFormatting>
  <conditionalFormatting sqref="E176:E186">
    <cfRule type="expression" dxfId="12514" priority="4305">
      <formula>B176=""</formula>
    </cfRule>
  </conditionalFormatting>
  <conditionalFormatting sqref="E187">
    <cfRule type="expression" dxfId="12513" priority="4304">
      <formula>B187=""</formula>
    </cfRule>
  </conditionalFormatting>
  <conditionalFormatting sqref="E188">
    <cfRule type="expression" dxfId="12512" priority="4303">
      <formula>B188=""</formula>
    </cfRule>
  </conditionalFormatting>
  <conditionalFormatting sqref="E189">
    <cfRule type="expression" dxfId="12511" priority="4302">
      <formula>B189=""</formula>
    </cfRule>
  </conditionalFormatting>
  <conditionalFormatting sqref="E190">
    <cfRule type="expression" dxfId="12510" priority="4301">
      <formula>B190=""</formula>
    </cfRule>
  </conditionalFormatting>
  <conditionalFormatting sqref="E191">
    <cfRule type="expression" dxfId="12509" priority="4300">
      <formula>B191=""</formula>
    </cfRule>
  </conditionalFormatting>
  <conditionalFormatting sqref="E192">
    <cfRule type="expression" dxfId="12508" priority="4299">
      <formula>B192=""</formula>
    </cfRule>
  </conditionalFormatting>
  <conditionalFormatting sqref="E193">
    <cfRule type="expression" dxfId="12507" priority="4298">
      <formula>B193=""</formula>
    </cfRule>
  </conditionalFormatting>
  <conditionalFormatting sqref="E194">
    <cfRule type="expression" dxfId="12506" priority="4297">
      <formula>B194=""</formula>
    </cfRule>
  </conditionalFormatting>
  <conditionalFormatting sqref="F174 F176 F178 F180 F182 F184 F186 F188 F190 F192">
    <cfRule type="expression" dxfId="12505" priority="4296">
      <formula>B174=""</formula>
    </cfRule>
  </conditionalFormatting>
  <conditionalFormatting sqref="F175 F177 F179 F181 F183 F185 F187 F189 F191 F193">
    <cfRule type="expression" dxfId="12504" priority="4295">
      <formula>B175=""</formula>
    </cfRule>
  </conditionalFormatting>
  <conditionalFormatting sqref="F176:F186">
    <cfRule type="expression" dxfId="12503" priority="4294">
      <formula>B176=""</formula>
    </cfRule>
  </conditionalFormatting>
  <conditionalFormatting sqref="F187">
    <cfRule type="expression" dxfId="12502" priority="4293">
      <formula>B187=""</formula>
    </cfRule>
  </conditionalFormatting>
  <conditionalFormatting sqref="F188">
    <cfRule type="expression" dxfId="12501" priority="4292">
      <formula>B188=""</formula>
    </cfRule>
  </conditionalFormatting>
  <conditionalFormatting sqref="F189">
    <cfRule type="expression" dxfId="12500" priority="4291">
      <formula>B189=""</formula>
    </cfRule>
  </conditionalFormatting>
  <conditionalFormatting sqref="F190">
    <cfRule type="expression" dxfId="12499" priority="4290">
      <formula>B190=""</formula>
    </cfRule>
  </conditionalFormatting>
  <conditionalFormatting sqref="F191">
    <cfRule type="expression" dxfId="12498" priority="4289">
      <formula>B191=""</formula>
    </cfRule>
  </conditionalFormatting>
  <conditionalFormatting sqref="F192">
    <cfRule type="expression" dxfId="12497" priority="4288">
      <formula>B192=""</formula>
    </cfRule>
  </conditionalFormatting>
  <conditionalFormatting sqref="F193">
    <cfRule type="expression" dxfId="12496" priority="4287">
      <formula>B193=""</formula>
    </cfRule>
  </conditionalFormatting>
  <conditionalFormatting sqref="F194">
    <cfRule type="expression" dxfId="12495" priority="4286">
      <formula>B194=""</formula>
    </cfRule>
  </conditionalFormatting>
  <conditionalFormatting sqref="E175 E177 E179 E181 E183 E185 E187 E189 E191 E193">
    <cfRule type="expression" dxfId="12494" priority="4285">
      <formula>B175=""</formula>
    </cfRule>
  </conditionalFormatting>
  <conditionalFormatting sqref="E176:E186">
    <cfRule type="expression" dxfId="12493" priority="4284">
      <formula>B176=""</formula>
    </cfRule>
  </conditionalFormatting>
  <conditionalFormatting sqref="E187">
    <cfRule type="expression" dxfId="12492" priority="4283">
      <formula>B187=""</formula>
    </cfRule>
  </conditionalFormatting>
  <conditionalFormatting sqref="E188">
    <cfRule type="expression" dxfId="12491" priority="4282">
      <formula>B188=""</formula>
    </cfRule>
  </conditionalFormatting>
  <conditionalFormatting sqref="E189">
    <cfRule type="expression" dxfId="12490" priority="4281">
      <formula>B189=""</formula>
    </cfRule>
  </conditionalFormatting>
  <conditionalFormatting sqref="E190">
    <cfRule type="expression" dxfId="12489" priority="4280">
      <formula>B190=""</formula>
    </cfRule>
  </conditionalFormatting>
  <conditionalFormatting sqref="E191">
    <cfRule type="expression" dxfId="12488" priority="4279">
      <formula>B191=""</formula>
    </cfRule>
  </conditionalFormatting>
  <conditionalFormatting sqref="E192">
    <cfRule type="expression" dxfId="12487" priority="4278">
      <formula>B192=""</formula>
    </cfRule>
  </conditionalFormatting>
  <conditionalFormatting sqref="E193">
    <cfRule type="expression" dxfId="12486" priority="4277">
      <formula>B193=""</formula>
    </cfRule>
  </conditionalFormatting>
  <conditionalFormatting sqref="E194">
    <cfRule type="expression" dxfId="12485" priority="4276">
      <formula>B194=""</formula>
    </cfRule>
  </conditionalFormatting>
  <conditionalFormatting sqref="G174 G176 G178 G180 G182 G184 G186 G188 G190 G192">
    <cfRule type="expression" dxfId="12484" priority="4275">
      <formula>B174=""</formula>
    </cfRule>
  </conditionalFormatting>
  <conditionalFormatting sqref="G175 G177 G179 G181 G183 G185 G187 G189 G191 G193">
    <cfRule type="expression" dxfId="12483" priority="4274">
      <formula>B175=""</formula>
    </cfRule>
  </conditionalFormatting>
  <conditionalFormatting sqref="G176:G186">
    <cfRule type="expression" dxfId="12482" priority="4273">
      <formula>B176=""</formula>
    </cfRule>
  </conditionalFormatting>
  <conditionalFormatting sqref="G187">
    <cfRule type="expression" dxfId="12481" priority="4272">
      <formula>B187=""</formula>
    </cfRule>
  </conditionalFormatting>
  <conditionalFormatting sqref="G188">
    <cfRule type="expression" dxfId="12480" priority="4271">
      <formula>B188=""</formula>
    </cfRule>
  </conditionalFormatting>
  <conditionalFormatting sqref="G189">
    <cfRule type="expression" dxfId="12479" priority="4270">
      <formula>B189=""</formula>
    </cfRule>
  </conditionalFormatting>
  <conditionalFormatting sqref="G190">
    <cfRule type="expression" dxfId="12478" priority="4269">
      <formula>B190=""</formula>
    </cfRule>
  </conditionalFormatting>
  <conditionalFormatting sqref="G191">
    <cfRule type="expression" dxfId="12477" priority="4268">
      <formula>B191=""</formula>
    </cfRule>
  </conditionalFormatting>
  <conditionalFormatting sqref="G192">
    <cfRule type="expression" dxfId="12476" priority="4267">
      <formula>B192=""</formula>
    </cfRule>
  </conditionalFormatting>
  <conditionalFormatting sqref="G193">
    <cfRule type="expression" dxfId="12475" priority="4266">
      <formula>B193=""</formula>
    </cfRule>
  </conditionalFormatting>
  <conditionalFormatting sqref="G194">
    <cfRule type="expression" dxfId="12474" priority="4265">
      <formula>B194=""</formula>
    </cfRule>
  </conditionalFormatting>
  <conditionalFormatting sqref="H174 H176 H178 H180 H182 H184 H186 H188 H190 H192">
    <cfRule type="expression" dxfId="12473" priority="4264">
      <formula>B174=""</formula>
    </cfRule>
  </conditionalFormatting>
  <conditionalFormatting sqref="H175 H177 H179 H181 H183 H185 H187 H189 H191 H193">
    <cfRule type="expression" dxfId="12472" priority="4263">
      <formula>B175=""</formula>
    </cfRule>
  </conditionalFormatting>
  <conditionalFormatting sqref="H176:H186">
    <cfRule type="expression" dxfId="12471" priority="4262">
      <formula>B176=""</formula>
    </cfRule>
  </conditionalFormatting>
  <conditionalFormatting sqref="H187">
    <cfRule type="expression" dxfId="12470" priority="4261">
      <formula>B187=""</formula>
    </cfRule>
  </conditionalFormatting>
  <conditionalFormatting sqref="H188">
    <cfRule type="expression" dxfId="12469" priority="4260">
      <formula>B188=""</formula>
    </cfRule>
  </conditionalFormatting>
  <conditionalFormatting sqref="H189">
    <cfRule type="expression" dxfId="12468" priority="4259">
      <formula>B189=""</formula>
    </cfRule>
  </conditionalFormatting>
  <conditionalFormatting sqref="H190">
    <cfRule type="expression" dxfId="12467" priority="4258">
      <formula>B190=""</formula>
    </cfRule>
  </conditionalFormatting>
  <conditionalFormatting sqref="H191">
    <cfRule type="expression" dxfId="12466" priority="4257">
      <formula>B191=""</formula>
    </cfRule>
  </conditionalFormatting>
  <conditionalFormatting sqref="H192">
    <cfRule type="expression" dxfId="12465" priority="4256">
      <formula>B192=""</formula>
    </cfRule>
  </conditionalFormatting>
  <conditionalFormatting sqref="H193">
    <cfRule type="expression" dxfId="12464" priority="4255">
      <formula>B193=""</formula>
    </cfRule>
  </conditionalFormatting>
  <conditionalFormatting sqref="H194">
    <cfRule type="expression" dxfId="12463" priority="4254">
      <formula>B194=""</formula>
    </cfRule>
  </conditionalFormatting>
  <conditionalFormatting sqref="C149">
    <cfRule type="expression" dxfId="12462" priority="4253">
      <formula>B149=""</formula>
    </cfRule>
  </conditionalFormatting>
  <conditionalFormatting sqref="C171">
    <cfRule type="expression" dxfId="12461" priority="4252">
      <formula>B171=""</formula>
    </cfRule>
  </conditionalFormatting>
  <conditionalFormatting sqref="C193">
    <cfRule type="expression" dxfId="12460" priority="4251">
      <formula>B193=""</formula>
    </cfRule>
  </conditionalFormatting>
  <conditionalFormatting sqref="C109">
    <cfRule type="expression" dxfId="12459" priority="4249">
      <formula>B109=""</formula>
    </cfRule>
  </conditionalFormatting>
  <conditionalFormatting sqref="C122">
    <cfRule type="expression" dxfId="12458" priority="4246">
      <formula>B122=""</formula>
    </cfRule>
  </conditionalFormatting>
  <conditionalFormatting sqref="C123">
    <cfRule type="expression" dxfId="12457" priority="4245">
      <formula>B123=""</formula>
    </cfRule>
  </conditionalFormatting>
  <conditionalFormatting sqref="C124">
    <cfRule type="expression" dxfId="12456" priority="4244">
      <formula>B124=""</formula>
    </cfRule>
  </conditionalFormatting>
  <conditionalFormatting sqref="C125">
    <cfRule type="expression" dxfId="12455" priority="4243">
      <formula>B125=""</formula>
    </cfRule>
  </conditionalFormatting>
  <conditionalFormatting sqref="C126">
    <cfRule type="expression" dxfId="12454" priority="4242">
      <formula>B126=""</formula>
    </cfRule>
  </conditionalFormatting>
  <conditionalFormatting sqref="C127">
    <cfRule type="expression" dxfId="12453" priority="4241">
      <formula>B127=""</formula>
    </cfRule>
  </conditionalFormatting>
  <conditionalFormatting sqref="C128">
    <cfRule type="expression" dxfId="12452" priority="4240">
      <formula>B128=""</formula>
    </cfRule>
  </conditionalFormatting>
  <conditionalFormatting sqref="C130:C150">
    <cfRule type="expression" dxfId="12451" priority="4239">
      <formula>B130=""</formula>
    </cfRule>
  </conditionalFormatting>
  <conditionalFormatting sqref="C131 C133 C135 C137 C139 C141 C143 C145 C147 C149">
    <cfRule type="expression" dxfId="12450" priority="4238">
      <formula>B131=""</formula>
    </cfRule>
  </conditionalFormatting>
  <conditionalFormatting sqref="C132:C142">
    <cfRule type="expression" dxfId="12449" priority="4237">
      <formula>B132=""</formula>
    </cfRule>
  </conditionalFormatting>
  <conditionalFormatting sqref="C143">
    <cfRule type="expression" dxfId="12448" priority="4236">
      <formula>B143=""</formula>
    </cfRule>
  </conditionalFormatting>
  <conditionalFormatting sqref="C144">
    <cfRule type="expression" dxfId="12447" priority="4235">
      <formula>B144=""</formula>
    </cfRule>
  </conditionalFormatting>
  <conditionalFormatting sqref="C145">
    <cfRule type="expression" dxfId="12446" priority="4234">
      <formula>B145=""</formula>
    </cfRule>
  </conditionalFormatting>
  <conditionalFormatting sqref="C146">
    <cfRule type="expression" dxfId="12445" priority="4233">
      <formula>B146=""</formula>
    </cfRule>
  </conditionalFormatting>
  <conditionalFormatting sqref="C147">
    <cfRule type="expression" dxfId="12444" priority="4232">
      <formula>B147=""</formula>
    </cfRule>
  </conditionalFormatting>
  <conditionalFormatting sqref="C148">
    <cfRule type="expression" dxfId="12443" priority="4231">
      <formula>B148=""</formula>
    </cfRule>
  </conditionalFormatting>
  <conditionalFormatting sqref="C149">
    <cfRule type="expression" dxfId="12442" priority="4230">
      <formula>B149=""</formula>
    </cfRule>
  </conditionalFormatting>
  <conditionalFormatting sqref="C150">
    <cfRule type="expression" dxfId="12441" priority="4229">
      <formula>B150=""</formula>
    </cfRule>
  </conditionalFormatting>
  <conditionalFormatting sqref="C152:C171">
    <cfRule type="expression" dxfId="12440" priority="4228">
      <formula>B152=""</formula>
    </cfRule>
  </conditionalFormatting>
  <conditionalFormatting sqref="C153 C155 C157 C159 C161 C163 C165 C167 C169">
    <cfRule type="expression" dxfId="12439" priority="4227">
      <formula>B153=""</formula>
    </cfRule>
  </conditionalFormatting>
  <conditionalFormatting sqref="C154:C164">
    <cfRule type="expression" dxfId="12438" priority="4226">
      <formula>B154=""</formula>
    </cfRule>
  </conditionalFormatting>
  <conditionalFormatting sqref="C165">
    <cfRule type="expression" dxfId="12437" priority="4225">
      <formula>B165=""</formula>
    </cfRule>
  </conditionalFormatting>
  <conditionalFormatting sqref="C166">
    <cfRule type="expression" dxfId="12436" priority="4224">
      <formula>B166=""</formula>
    </cfRule>
  </conditionalFormatting>
  <conditionalFormatting sqref="C167">
    <cfRule type="expression" dxfId="12435" priority="4223">
      <formula>B167=""</formula>
    </cfRule>
  </conditionalFormatting>
  <conditionalFormatting sqref="C168">
    <cfRule type="expression" dxfId="12434" priority="4222">
      <formula>B168=""</formula>
    </cfRule>
  </conditionalFormatting>
  <conditionalFormatting sqref="C169">
    <cfRule type="expression" dxfId="12433" priority="4221">
      <formula>B169=""</formula>
    </cfRule>
  </conditionalFormatting>
  <conditionalFormatting sqref="C170">
    <cfRule type="expression" dxfId="12432" priority="4220">
      <formula>B170=""</formula>
    </cfRule>
  </conditionalFormatting>
  <conditionalFormatting sqref="C171">
    <cfRule type="expression" dxfId="12431" priority="4219">
      <formula>B171=""</formula>
    </cfRule>
  </conditionalFormatting>
  <conditionalFormatting sqref="C172">
    <cfRule type="expression" dxfId="12430" priority="4218">
      <formula>B172=""</formula>
    </cfRule>
  </conditionalFormatting>
  <conditionalFormatting sqref="C174:C194">
    <cfRule type="expression" dxfId="12429" priority="4217">
      <formula>B174=""</formula>
    </cfRule>
  </conditionalFormatting>
  <conditionalFormatting sqref="C175 C177 C179 C181 C183 C185 C187 C189 C191 C193">
    <cfRule type="expression" dxfId="12428" priority="4216">
      <formula>B175=""</formula>
    </cfRule>
  </conditionalFormatting>
  <conditionalFormatting sqref="C176:C186">
    <cfRule type="expression" dxfId="12427" priority="4215">
      <formula>B176=""</formula>
    </cfRule>
  </conditionalFormatting>
  <conditionalFormatting sqref="C187">
    <cfRule type="expression" dxfId="12426" priority="4214">
      <formula>B187=""</formula>
    </cfRule>
  </conditionalFormatting>
  <conditionalFormatting sqref="C188">
    <cfRule type="expression" dxfId="12425" priority="4213">
      <formula>B188=""</formula>
    </cfRule>
  </conditionalFormatting>
  <conditionalFormatting sqref="C189">
    <cfRule type="expression" dxfId="12424" priority="4212">
      <formula>B189=""</formula>
    </cfRule>
  </conditionalFormatting>
  <conditionalFormatting sqref="C190">
    <cfRule type="expression" dxfId="12423" priority="4211">
      <formula>B190=""</formula>
    </cfRule>
  </conditionalFormatting>
  <conditionalFormatting sqref="C191">
    <cfRule type="expression" dxfId="12422" priority="4210">
      <formula>B191=""</formula>
    </cfRule>
  </conditionalFormatting>
  <conditionalFormatting sqref="C192">
    <cfRule type="expression" dxfId="12421" priority="4209">
      <formula>B192=""</formula>
    </cfRule>
  </conditionalFormatting>
  <conditionalFormatting sqref="C193">
    <cfRule type="expression" dxfId="12420" priority="4208">
      <formula>B193=""</formula>
    </cfRule>
  </conditionalFormatting>
  <conditionalFormatting sqref="C194">
    <cfRule type="expression" dxfId="12419" priority="4207">
      <formula>B194=""</formula>
    </cfRule>
  </conditionalFormatting>
  <conditionalFormatting sqref="C109">
    <cfRule type="expression" dxfId="12418" priority="4205">
      <formula>B109=""</formula>
    </cfRule>
  </conditionalFormatting>
  <conditionalFormatting sqref="C122">
    <cfRule type="expression" dxfId="12417" priority="4202">
      <formula>B122=""</formula>
    </cfRule>
  </conditionalFormatting>
  <conditionalFormatting sqref="C123">
    <cfRule type="expression" dxfId="12416" priority="4201">
      <formula>B123=""</formula>
    </cfRule>
  </conditionalFormatting>
  <conditionalFormatting sqref="C124">
    <cfRule type="expression" dxfId="12415" priority="4200">
      <formula>B124=""</formula>
    </cfRule>
  </conditionalFormatting>
  <conditionalFormatting sqref="C125">
    <cfRule type="expression" dxfId="12414" priority="4199">
      <formula>B125=""</formula>
    </cfRule>
  </conditionalFormatting>
  <conditionalFormatting sqref="C126">
    <cfRule type="expression" dxfId="12413" priority="4198">
      <formula>B126=""</formula>
    </cfRule>
  </conditionalFormatting>
  <conditionalFormatting sqref="C127">
    <cfRule type="expression" dxfId="12412" priority="4197">
      <formula>B127=""</formula>
    </cfRule>
  </conditionalFormatting>
  <conditionalFormatting sqref="D108">
    <cfRule type="expression" dxfId="12411" priority="4196">
      <formula>B108=""</formula>
    </cfRule>
  </conditionalFormatting>
  <conditionalFormatting sqref="D109">
    <cfRule type="expression" dxfId="12410" priority="4195">
      <formula>B109=""</formula>
    </cfRule>
  </conditionalFormatting>
  <conditionalFormatting sqref="D122">
    <cfRule type="expression" dxfId="12409" priority="4192">
      <formula>B122=""</formula>
    </cfRule>
  </conditionalFormatting>
  <conditionalFormatting sqref="D123">
    <cfRule type="expression" dxfId="12408" priority="4191">
      <formula>B123=""</formula>
    </cfRule>
  </conditionalFormatting>
  <conditionalFormatting sqref="D124">
    <cfRule type="expression" dxfId="12407" priority="4190">
      <formula>B124=""</formula>
    </cfRule>
  </conditionalFormatting>
  <conditionalFormatting sqref="D125">
    <cfRule type="expression" dxfId="12406" priority="4189">
      <formula>B125=""</formula>
    </cfRule>
  </conditionalFormatting>
  <conditionalFormatting sqref="D126">
    <cfRule type="expression" dxfId="12405" priority="4188">
      <formula>B126=""</formula>
    </cfRule>
  </conditionalFormatting>
  <conditionalFormatting sqref="D127">
    <cfRule type="expression" dxfId="12404" priority="4187">
      <formula>B127=""</formula>
    </cfRule>
  </conditionalFormatting>
  <conditionalFormatting sqref="E109 E111 E113 E115 E117 E119 E121 E123 E125 E127">
    <cfRule type="expression" dxfId="12403" priority="4185">
      <formula>B109=""</formula>
    </cfRule>
  </conditionalFormatting>
  <conditionalFormatting sqref="E122">
    <cfRule type="expression" dxfId="12402" priority="4182">
      <formula>B122=""</formula>
    </cfRule>
  </conditionalFormatting>
  <conditionalFormatting sqref="E123">
    <cfRule type="expression" dxfId="12401" priority="4181">
      <formula>B123=""</formula>
    </cfRule>
  </conditionalFormatting>
  <conditionalFormatting sqref="E124">
    <cfRule type="expression" dxfId="12400" priority="4180">
      <formula>B124=""</formula>
    </cfRule>
  </conditionalFormatting>
  <conditionalFormatting sqref="E125">
    <cfRule type="expression" dxfId="12399" priority="4179">
      <formula>B125=""</formula>
    </cfRule>
  </conditionalFormatting>
  <conditionalFormatting sqref="E126">
    <cfRule type="expression" dxfId="12398" priority="4178">
      <formula>B126=""</formula>
    </cfRule>
  </conditionalFormatting>
  <conditionalFormatting sqref="E127">
    <cfRule type="expression" dxfId="12397" priority="4177">
      <formula>B127=""</formula>
    </cfRule>
  </conditionalFormatting>
  <conditionalFormatting sqref="F109 F111 F113 F115 F117 F119 F121 F123 F125 F127">
    <cfRule type="expression" dxfId="12396" priority="4175">
      <formula>B109=""</formula>
    </cfRule>
  </conditionalFormatting>
  <conditionalFormatting sqref="F122">
    <cfRule type="expression" dxfId="12395" priority="4172">
      <formula>B122=""</formula>
    </cfRule>
  </conditionalFormatting>
  <conditionalFormatting sqref="F123">
    <cfRule type="expression" dxfId="12394" priority="4171">
      <formula>B123=""</formula>
    </cfRule>
  </conditionalFormatting>
  <conditionalFormatting sqref="F124">
    <cfRule type="expression" dxfId="12393" priority="4170">
      <formula>B124=""</formula>
    </cfRule>
  </conditionalFormatting>
  <conditionalFormatting sqref="F125">
    <cfRule type="expression" dxfId="12392" priority="4169">
      <formula>B125=""</formula>
    </cfRule>
  </conditionalFormatting>
  <conditionalFormatting sqref="F126">
    <cfRule type="expression" dxfId="12391" priority="4168">
      <formula>B126=""</formula>
    </cfRule>
  </conditionalFormatting>
  <conditionalFormatting sqref="F127">
    <cfRule type="expression" dxfId="12390" priority="4167">
      <formula>B127=""</formula>
    </cfRule>
  </conditionalFormatting>
  <conditionalFormatting sqref="E109 E111 E113 E115 E117 E119 E121 E123 E125 E127">
    <cfRule type="expression" dxfId="12389" priority="4166">
      <formula>B109=""</formula>
    </cfRule>
  </conditionalFormatting>
  <conditionalFormatting sqref="E122">
    <cfRule type="expression" dxfId="12388" priority="4163">
      <formula>B122=""</formula>
    </cfRule>
  </conditionalFormatting>
  <conditionalFormatting sqref="E123">
    <cfRule type="expression" dxfId="12387" priority="4162">
      <formula>B123=""</formula>
    </cfRule>
  </conditionalFormatting>
  <conditionalFormatting sqref="E124">
    <cfRule type="expression" dxfId="12386" priority="4161">
      <formula>B124=""</formula>
    </cfRule>
  </conditionalFormatting>
  <conditionalFormatting sqref="E125">
    <cfRule type="expression" dxfId="12385" priority="4160">
      <formula>B125=""</formula>
    </cfRule>
  </conditionalFormatting>
  <conditionalFormatting sqref="E126">
    <cfRule type="expression" dxfId="12384" priority="4159">
      <formula>B126=""</formula>
    </cfRule>
  </conditionalFormatting>
  <conditionalFormatting sqref="E127">
    <cfRule type="expression" dxfId="12383" priority="4158">
      <formula>B127=""</formula>
    </cfRule>
  </conditionalFormatting>
  <conditionalFormatting sqref="G109 G111 G113 G115 G117 G119 G121 G123 G125 G127">
    <cfRule type="expression" dxfId="12382" priority="4156">
      <formula>B109=""</formula>
    </cfRule>
  </conditionalFormatting>
  <conditionalFormatting sqref="G122">
    <cfRule type="expression" dxfId="12381" priority="4153">
      <formula>B122=""</formula>
    </cfRule>
  </conditionalFormatting>
  <conditionalFormatting sqref="G123">
    <cfRule type="expression" dxfId="12380" priority="4152">
      <formula>B123=""</formula>
    </cfRule>
  </conditionalFormatting>
  <conditionalFormatting sqref="G124">
    <cfRule type="expression" dxfId="12379" priority="4151">
      <formula>B124=""</formula>
    </cfRule>
  </conditionalFormatting>
  <conditionalFormatting sqref="G125">
    <cfRule type="expression" dxfId="12378" priority="4150">
      <formula>B125=""</formula>
    </cfRule>
  </conditionalFormatting>
  <conditionalFormatting sqref="G126">
    <cfRule type="expression" dxfId="12377" priority="4149">
      <formula>B126=""</formula>
    </cfRule>
  </conditionalFormatting>
  <conditionalFormatting sqref="G127">
    <cfRule type="expression" dxfId="12376" priority="4148">
      <formula>B127=""</formula>
    </cfRule>
  </conditionalFormatting>
  <conditionalFormatting sqref="H108">
    <cfRule type="expression" dxfId="12375" priority="4147">
      <formula>B108=""</formula>
    </cfRule>
  </conditionalFormatting>
  <conditionalFormatting sqref="H109 H111 H113 H115 H117 H119 H121 H123 H125 H127">
    <cfRule type="expression" dxfId="12374" priority="4146">
      <formula>B109=""</formula>
    </cfRule>
  </conditionalFormatting>
  <conditionalFormatting sqref="H122">
    <cfRule type="expression" dxfId="12373" priority="4143">
      <formula>B122=""</formula>
    </cfRule>
  </conditionalFormatting>
  <conditionalFormatting sqref="H123">
    <cfRule type="expression" dxfId="12372" priority="4142">
      <formula>B123=""</formula>
    </cfRule>
  </conditionalFormatting>
  <conditionalFormatting sqref="H124">
    <cfRule type="expression" dxfId="12371" priority="4141">
      <formula>B124=""</formula>
    </cfRule>
  </conditionalFormatting>
  <conditionalFormatting sqref="H125">
    <cfRule type="expression" dxfId="12370" priority="4140">
      <formula>B125=""</formula>
    </cfRule>
  </conditionalFormatting>
  <conditionalFormatting sqref="H126">
    <cfRule type="expression" dxfId="12369" priority="4139">
      <formula>B126=""</formula>
    </cfRule>
  </conditionalFormatting>
  <conditionalFormatting sqref="H127">
    <cfRule type="expression" dxfId="12368" priority="4138">
      <formula>B127=""</formula>
    </cfRule>
  </conditionalFormatting>
  <conditionalFormatting sqref="F108">
    <cfRule type="expression" dxfId="12367" priority="4137">
      <formula>B108=""</formula>
    </cfRule>
  </conditionalFormatting>
  <conditionalFormatting sqref="F109 F111 F113 F115 F117 F119 F121 F123 F125 F127">
    <cfRule type="expression" dxfId="12366" priority="4136">
      <formula>B109=""</formula>
    </cfRule>
  </conditionalFormatting>
  <conditionalFormatting sqref="F122">
    <cfRule type="expression" dxfId="12365" priority="4133">
      <formula>B122=""</formula>
    </cfRule>
  </conditionalFormatting>
  <conditionalFormatting sqref="F123">
    <cfRule type="expression" dxfId="12364" priority="4132">
      <formula>B123=""</formula>
    </cfRule>
  </conditionalFormatting>
  <conditionalFormatting sqref="F124">
    <cfRule type="expression" dxfId="12363" priority="4131">
      <formula>B124=""</formula>
    </cfRule>
  </conditionalFormatting>
  <conditionalFormatting sqref="F125">
    <cfRule type="expression" dxfId="12362" priority="4130">
      <formula>B125=""</formula>
    </cfRule>
  </conditionalFormatting>
  <conditionalFormatting sqref="F126">
    <cfRule type="expression" dxfId="12361" priority="4129">
      <formula>B126=""</formula>
    </cfRule>
  </conditionalFormatting>
  <conditionalFormatting sqref="F127">
    <cfRule type="expression" dxfId="12360" priority="4128">
      <formula>B127=""</formula>
    </cfRule>
  </conditionalFormatting>
  <conditionalFormatting sqref="C130:C149">
    <cfRule type="expression" dxfId="12359" priority="4127">
      <formula>B130=""</formula>
    </cfRule>
  </conditionalFormatting>
  <conditionalFormatting sqref="C131 C133 C135 C137 C139 C141 C143 C145 C147 C149">
    <cfRule type="expression" dxfId="12358" priority="4126">
      <formula>B131=""</formula>
    </cfRule>
  </conditionalFormatting>
  <conditionalFormatting sqref="C132:C142">
    <cfRule type="expression" dxfId="12357" priority="4125">
      <formula>B132=""</formula>
    </cfRule>
  </conditionalFormatting>
  <conditionalFormatting sqref="C143">
    <cfRule type="expression" dxfId="12356" priority="4124">
      <formula>B143=""</formula>
    </cfRule>
  </conditionalFormatting>
  <conditionalFormatting sqref="C144">
    <cfRule type="expression" dxfId="12355" priority="4123">
      <formula>B144=""</formula>
    </cfRule>
  </conditionalFormatting>
  <conditionalFormatting sqref="C145">
    <cfRule type="expression" dxfId="12354" priority="4122">
      <formula>B145=""</formula>
    </cfRule>
  </conditionalFormatting>
  <conditionalFormatting sqref="C146">
    <cfRule type="expression" dxfId="12353" priority="4121">
      <formula>B146=""</formula>
    </cfRule>
  </conditionalFormatting>
  <conditionalFormatting sqref="C147">
    <cfRule type="expression" dxfId="12352" priority="4120">
      <formula>B147=""</formula>
    </cfRule>
  </conditionalFormatting>
  <conditionalFormatting sqref="C148">
    <cfRule type="expression" dxfId="12351" priority="4119">
      <formula>B148=""</formula>
    </cfRule>
  </conditionalFormatting>
  <conditionalFormatting sqref="C149">
    <cfRule type="expression" dxfId="12350" priority="4118">
      <formula>B149=""</formula>
    </cfRule>
  </conditionalFormatting>
  <conditionalFormatting sqref="D130 D132 D134 D136 D138 D140 D142 D144 D146 D148">
    <cfRule type="expression" dxfId="12349" priority="4117">
      <formula>B130=""</formula>
    </cfRule>
  </conditionalFormatting>
  <conditionalFormatting sqref="D131 D133 D135 D137 D139 D141 D143 D145 D147 D149">
    <cfRule type="expression" dxfId="12348" priority="4116">
      <formula>B131=""</formula>
    </cfRule>
  </conditionalFormatting>
  <conditionalFormatting sqref="D132:D142">
    <cfRule type="expression" dxfId="12347" priority="4115">
      <formula>B132=""</formula>
    </cfRule>
  </conditionalFormatting>
  <conditionalFormatting sqref="D143">
    <cfRule type="expression" dxfId="12346" priority="4114">
      <formula>B143=""</formula>
    </cfRule>
  </conditionalFormatting>
  <conditionalFormatting sqref="D144">
    <cfRule type="expression" dxfId="12345" priority="4113">
      <formula>B144=""</formula>
    </cfRule>
  </conditionalFormatting>
  <conditionalFormatting sqref="D145">
    <cfRule type="expression" dxfId="12344" priority="4112">
      <formula>B145=""</formula>
    </cfRule>
  </conditionalFormatting>
  <conditionalFormatting sqref="D146">
    <cfRule type="expression" dxfId="12343" priority="4111">
      <formula>B146=""</formula>
    </cfRule>
  </conditionalFormatting>
  <conditionalFormatting sqref="D147">
    <cfRule type="expression" dxfId="12342" priority="4110">
      <formula>B147=""</formula>
    </cfRule>
  </conditionalFormatting>
  <conditionalFormatting sqref="D148">
    <cfRule type="expression" dxfId="12341" priority="4109">
      <formula>B148=""</formula>
    </cfRule>
  </conditionalFormatting>
  <conditionalFormatting sqref="D149">
    <cfRule type="expression" dxfId="12340" priority="4108">
      <formula>B149=""</formula>
    </cfRule>
  </conditionalFormatting>
  <conditionalFormatting sqref="E130 E132 E134 E136 E138 E140 E142 E144 E146 E148">
    <cfRule type="expression" dxfId="12339" priority="4107">
      <formula>B130=""</formula>
    </cfRule>
  </conditionalFormatting>
  <conditionalFormatting sqref="E131 E133 E135 E137 E139 E141 E143 E145 E147 E149">
    <cfRule type="expression" dxfId="12338" priority="4106">
      <formula>B131=""</formula>
    </cfRule>
  </conditionalFormatting>
  <conditionalFormatting sqref="E132:E142">
    <cfRule type="expression" dxfId="12337" priority="4105">
      <formula>B132=""</formula>
    </cfRule>
  </conditionalFormatting>
  <conditionalFormatting sqref="E143">
    <cfRule type="expression" dxfId="12336" priority="4104">
      <formula>B143=""</formula>
    </cfRule>
  </conditionalFormatting>
  <conditionalFormatting sqref="E144">
    <cfRule type="expression" dxfId="12335" priority="4103">
      <formula>B144=""</formula>
    </cfRule>
  </conditionalFormatting>
  <conditionalFormatting sqref="E145">
    <cfRule type="expression" dxfId="12334" priority="4102">
      <formula>B145=""</formula>
    </cfRule>
  </conditionalFormatting>
  <conditionalFormatting sqref="E146">
    <cfRule type="expression" dxfId="12333" priority="4101">
      <formula>B146=""</formula>
    </cfRule>
  </conditionalFormatting>
  <conditionalFormatting sqref="E147">
    <cfRule type="expression" dxfId="12332" priority="4100">
      <formula>B147=""</formula>
    </cfRule>
  </conditionalFormatting>
  <conditionalFormatting sqref="E148">
    <cfRule type="expression" dxfId="12331" priority="4099">
      <formula>B148=""</formula>
    </cfRule>
  </conditionalFormatting>
  <conditionalFormatting sqref="E149">
    <cfRule type="expression" dxfId="12330" priority="4098">
      <formula>B149=""</formula>
    </cfRule>
  </conditionalFormatting>
  <conditionalFormatting sqref="F130 F132 F134 F136 F138 F140 F142 F144 F146 F148">
    <cfRule type="expression" dxfId="12329" priority="4097">
      <formula>B130=""</formula>
    </cfRule>
  </conditionalFormatting>
  <conditionalFormatting sqref="F131 F133 F135 F137 F139 F141 F143 F145 F147 F149">
    <cfRule type="expression" dxfId="12328" priority="4096">
      <formula>B131=""</formula>
    </cfRule>
  </conditionalFormatting>
  <conditionalFormatting sqref="F132:F142">
    <cfRule type="expression" dxfId="12327" priority="4095">
      <formula>B132=""</formula>
    </cfRule>
  </conditionalFormatting>
  <conditionalFormatting sqref="F143">
    <cfRule type="expression" dxfId="12326" priority="4094">
      <formula>B143=""</formula>
    </cfRule>
  </conditionalFormatting>
  <conditionalFormatting sqref="F144">
    <cfRule type="expression" dxfId="12325" priority="4093">
      <formula>B144=""</formula>
    </cfRule>
  </conditionalFormatting>
  <conditionalFormatting sqref="F145">
    <cfRule type="expression" dxfId="12324" priority="4092">
      <formula>B145=""</formula>
    </cfRule>
  </conditionalFormatting>
  <conditionalFormatting sqref="F146">
    <cfRule type="expression" dxfId="12323" priority="4091">
      <formula>B146=""</formula>
    </cfRule>
  </conditionalFormatting>
  <conditionalFormatting sqref="F147">
    <cfRule type="expression" dxfId="12322" priority="4090">
      <formula>B147=""</formula>
    </cfRule>
  </conditionalFormatting>
  <conditionalFormatting sqref="F148">
    <cfRule type="expression" dxfId="12321" priority="4089">
      <formula>B148=""</formula>
    </cfRule>
  </conditionalFormatting>
  <conditionalFormatting sqref="F149">
    <cfRule type="expression" dxfId="12320" priority="4088">
      <formula>B149=""</formula>
    </cfRule>
  </conditionalFormatting>
  <conditionalFormatting sqref="E131 E133 E135 E137 E139 E141 E143 E145 E147 E149">
    <cfRule type="expression" dxfId="12319" priority="4087">
      <formula>B131=""</formula>
    </cfRule>
  </conditionalFormatting>
  <conditionalFormatting sqref="E132:E142">
    <cfRule type="expression" dxfId="12318" priority="4086">
      <formula>B132=""</formula>
    </cfRule>
  </conditionalFormatting>
  <conditionalFormatting sqref="E143">
    <cfRule type="expression" dxfId="12317" priority="4085">
      <formula>B143=""</formula>
    </cfRule>
  </conditionalFormatting>
  <conditionalFormatting sqref="E144">
    <cfRule type="expression" dxfId="12316" priority="4084">
      <formula>B144=""</formula>
    </cfRule>
  </conditionalFormatting>
  <conditionalFormatting sqref="E145">
    <cfRule type="expression" dxfId="12315" priority="4083">
      <formula>B145=""</formula>
    </cfRule>
  </conditionalFormatting>
  <conditionalFormatting sqref="E146">
    <cfRule type="expression" dxfId="12314" priority="4082">
      <formula>B146=""</formula>
    </cfRule>
  </conditionalFormatting>
  <conditionalFormatting sqref="E147">
    <cfRule type="expression" dxfId="12313" priority="4081">
      <formula>B147=""</formula>
    </cfRule>
  </conditionalFormatting>
  <conditionalFormatting sqref="E148">
    <cfRule type="expression" dxfId="12312" priority="4080">
      <formula>B148=""</formula>
    </cfRule>
  </conditionalFormatting>
  <conditionalFormatting sqref="E149">
    <cfRule type="expression" dxfId="12311" priority="4079">
      <formula>B149=""</formula>
    </cfRule>
  </conditionalFormatting>
  <conditionalFormatting sqref="G130 G132 G134 G136 G138 G140 G142 G144 G146 G148">
    <cfRule type="expression" dxfId="12310" priority="4078">
      <formula>B130=""</formula>
    </cfRule>
  </conditionalFormatting>
  <conditionalFormatting sqref="G131 G133 G135 G137 G139 G141 G143 G145 G147 G149">
    <cfRule type="expression" dxfId="12309" priority="4077">
      <formula>B131=""</formula>
    </cfRule>
  </conditionalFormatting>
  <conditionalFormatting sqref="G132:G142">
    <cfRule type="expression" dxfId="12308" priority="4076">
      <formula>B132=""</formula>
    </cfRule>
  </conditionalFormatting>
  <conditionalFormatting sqref="G143">
    <cfRule type="expression" dxfId="12307" priority="4075">
      <formula>B143=""</formula>
    </cfRule>
  </conditionalFormatting>
  <conditionalFormatting sqref="G144">
    <cfRule type="expression" dxfId="12306" priority="4074">
      <formula>B144=""</formula>
    </cfRule>
  </conditionalFormatting>
  <conditionalFormatting sqref="G145">
    <cfRule type="expression" dxfId="12305" priority="4073">
      <formula>B145=""</formula>
    </cfRule>
  </conditionalFormatting>
  <conditionalFormatting sqref="G146">
    <cfRule type="expression" dxfId="12304" priority="4072">
      <formula>B146=""</formula>
    </cfRule>
  </conditionalFormatting>
  <conditionalFormatting sqref="G147">
    <cfRule type="expression" dxfId="12303" priority="4071">
      <formula>B147=""</formula>
    </cfRule>
  </conditionalFormatting>
  <conditionalFormatting sqref="G148">
    <cfRule type="expression" dxfId="12302" priority="4070">
      <formula>B148=""</formula>
    </cfRule>
  </conditionalFormatting>
  <conditionalFormatting sqref="G149">
    <cfRule type="expression" dxfId="12301" priority="4069">
      <formula>B149=""</formula>
    </cfRule>
  </conditionalFormatting>
  <conditionalFormatting sqref="H130 H132 H134 H136 H138 H140 H142 H144 H146 H148">
    <cfRule type="expression" dxfId="12300" priority="4068">
      <formula>B130=""</formula>
    </cfRule>
  </conditionalFormatting>
  <conditionalFormatting sqref="H131 H133 H135 H137 H139 H141 H143 H145 H147 H149">
    <cfRule type="expression" dxfId="12299" priority="4067">
      <formula>B131=""</formula>
    </cfRule>
  </conditionalFormatting>
  <conditionalFormatting sqref="H132:H142">
    <cfRule type="expression" dxfId="12298" priority="4066">
      <formula>B132=""</formula>
    </cfRule>
  </conditionalFormatting>
  <conditionalFormatting sqref="H143">
    <cfRule type="expression" dxfId="12297" priority="4065">
      <formula>B143=""</formula>
    </cfRule>
  </conditionalFormatting>
  <conditionalFormatting sqref="H144">
    <cfRule type="expression" dxfId="12296" priority="4064">
      <formula>B144=""</formula>
    </cfRule>
  </conditionalFormatting>
  <conditionalFormatting sqref="H145">
    <cfRule type="expression" dxfId="12295" priority="4063">
      <formula>B145=""</formula>
    </cfRule>
  </conditionalFormatting>
  <conditionalFormatting sqref="H146">
    <cfRule type="expression" dxfId="12294" priority="4062">
      <formula>B146=""</formula>
    </cfRule>
  </conditionalFormatting>
  <conditionalFormatting sqref="H147">
    <cfRule type="expression" dxfId="12293" priority="4061">
      <formula>B147=""</formula>
    </cfRule>
  </conditionalFormatting>
  <conditionalFormatting sqref="H148">
    <cfRule type="expression" dxfId="12292" priority="4060">
      <formula>B148=""</formula>
    </cfRule>
  </conditionalFormatting>
  <conditionalFormatting sqref="H149">
    <cfRule type="expression" dxfId="12291" priority="4059">
      <formula>B149=""</formula>
    </cfRule>
  </conditionalFormatting>
  <conditionalFormatting sqref="C130:C149">
    <cfRule type="expression" dxfId="12290" priority="4058">
      <formula>B130=""</formula>
    </cfRule>
  </conditionalFormatting>
  <conditionalFormatting sqref="C131 C133 C135 C137 C139 C141 C143 C145 C147 C149">
    <cfRule type="expression" dxfId="12289" priority="4057">
      <formula>B131=""</formula>
    </cfRule>
  </conditionalFormatting>
  <conditionalFormatting sqref="C132:C142">
    <cfRule type="expression" dxfId="12288" priority="4056">
      <formula>B132=""</formula>
    </cfRule>
  </conditionalFormatting>
  <conditionalFormatting sqref="C143">
    <cfRule type="expression" dxfId="12287" priority="4055">
      <formula>B143=""</formula>
    </cfRule>
  </conditionalFormatting>
  <conditionalFormatting sqref="C144">
    <cfRule type="expression" dxfId="12286" priority="4054">
      <formula>B144=""</formula>
    </cfRule>
  </conditionalFormatting>
  <conditionalFormatting sqref="C145">
    <cfRule type="expression" dxfId="12285" priority="4053">
      <formula>B145=""</formula>
    </cfRule>
  </conditionalFormatting>
  <conditionalFormatting sqref="C146">
    <cfRule type="expression" dxfId="12284" priority="4052">
      <formula>B146=""</formula>
    </cfRule>
  </conditionalFormatting>
  <conditionalFormatting sqref="C147">
    <cfRule type="expression" dxfId="12283" priority="4051">
      <formula>B147=""</formula>
    </cfRule>
  </conditionalFormatting>
  <conditionalFormatting sqref="C148">
    <cfRule type="expression" dxfId="12282" priority="4050">
      <formula>B148=""</formula>
    </cfRule>
  </conditionalFormatting>
  <conditionalFormatting sqref="C149">
    <cfRule type="expression" dxfId="12281" priority="4049">
      <formula>B149=""</formula>
    </cfRule>
  </conditionalFormatting>
  <conditionalFormatting sqref="C130 C132 C134 C136 C138 C140 C142 C144 C146 C148">
    <cfRule type="expression" dxfId="12280" priority="4048">
      <formula>B130=""</formula>
    </cfRule>
  </conditionalFormatting>
  <conditionalFormatting sqref="C131 C133 C135 C137 C139 C141 C143 C145 C147 C149">
    <cfRule type="expression" dxfId="12279" priority="4047">
      <formula>B131=""</formula>
    </cfRule>
  </conditionalFormatting>
  <conditionalFormatting sqref="C132:C142">
    <cfRule type="expression" dxfId="12278" priority="4046">
      <formula>B132=""</formula>
    </cfRule>
  </conditionalFormatting>
  <conditionalFormatting sqref="C143">
    <cfRule type="expression" dxfId="12277" priority="4045">
      <formula>B143=""</formula>
    </cfRule>
  </conditionalFormatting>
  <conditionalFormatting sqref="C144">
    <cfRule type="expression" dxfId="12276" priority="4044">
      <formula>B144=""</formula>
    </cfRule>
  </conditionalFormatting>
  <conditionalFormatting sqref="C145">
    <cfRule type="expression" dxfId="12275" priority="4043">
      <formula>B145=""</formula>
    </cfRule>
  </conditionalFormatting>
  <conditionalFormatting sqref="C146">
    <cfRule type="expression" dxfId="12274" priority="4042">
      <formula>B146=""</formula>
    </cfRule>
  </conditionalFormatting>
  <conditionalFormatting sqref="C147">
    <cfRule type="expression" dxfId="12273" priority="4041">
      <formula>B147=""</formula>
    </cfRule>
  </conditionalFormatting>
  <conditionalFormatting sqref="C148">
    <cfRule type="expression" dxfId="12272" priority="4040">
      <formula>B148=""</formula>
    </cfRule>
  </conditionalFormatting>
  <conditionalFormatting sqref="C149">
    <cfRule type="expression" dxfId="12271" priority="4039">
      <formula>B149=""</formula>
    </cfRule>
  </conditionalFormatting>
  <conditionalFormatting sqref="D130 D132 D134 D136 D138 D140 D142 D144 D146 D148">
    <cfRule type="expression" dxfId="12270" priority="4038">
      <formula>B130=""</formula>
    </cfRule>
  </conditionalFormatting>
  <conditionalFormatting sqref="D131 D133 D135 D137 D139 D141 D143 D145 D147 D149">
    <cfRule type="expression" dxfId="12269" priority="4037">
      <formula>B131=""</formula>
    </cfRule>
  </conditionalFormatting>
  <conditionalFormatting sqref="D132:D142">
    <cfRule type="expression" dxfId="12268" priority="4036">
      <formula>B132=""</formula>
    </cfRule>
  </conditionalFormatting>
  <conditionalFormatting sqref="D143">
    <cfRule type="expression" dxfId="12267" priority="4035">
      <formula>B143=""</formula>
    </cfRule>
  </conditionalFormatting>
  <conditionalFormatting sqref="D144">
    <cfRule type="expression" dxfId="12266" priority="4034">
      <formula>B144=""</formula>
    </cfRule>
  </conditionalFormatting>
  <conditionalFormatting sqref="D145">
    <cfRule type="expression" dxfId="12265" priority="4033">
      <formula>B145=""</formula>
    </cfRule>
  </conditionalFormatting>
  <conditionalFormatting sqref="D146">
    <cfRule type="expression" dxfId="12264" priority="4032">
      <formula>B146=""</formula>
    </cfRule>
  </conditionalFormatting>
  <conditionalFormatting sqref="D147">
    <cfRule type="expression" dxfId="12263" priority="4031">
      <formula>B147=""</formula>
    </cfRule>
  </conditionalFormatting>
  <conditionalFormatting sqref="D148">
    <cfRule type="expression" dxfId="12262" priority="4030">
      <formula>B148=""</formula>
    </cfRule>
  </conditionalFormatting>
  <conditionalFormatting sqref="D149">
    <cfRule type="expression" dxfId="12261" priority="4029">
      <formula>B149=""</formula>
    </cfRule>
  </conditionalFormatting>
  <conditionalFormatting sqref="E130:E149">
    <cfRule type="expression" dxfId="12260" priority="4028">
      <formula>B130=""</formula>
    </cfRule>
  </conditionalFormatting>
  <conditionalFormatting sqref="E131 E133 E135 E137 E139 E141 E143 E145 E147 E149">
    <cfRule type="expression" dxfId="12259" priority="4027">
      <formula>B131=""</formula>
    </cfRule>
  </conditionalFormatting>
  <conditionalFormatting sqref="E132:E142">
    <cfRule type="expression" dxfId="12258" priority="4026">
      <formula>B132=""</formula>
    </cfRule>
  </conditionalFormatting>
  <conditionalFormatting sqref="E143">
    <cfRule type="expression" dxfId="12257" priority="4025">
      <formula>B143=""</formula>
    </cfRule>
  </conditionalFormatting>
  <conditionalFormatting sqref="E144">
    <cfRule type="expression" dxfId="12256" priority="4024">
      <formula>B144=""</formula>
    </cfRule>
  </conditionalFormatting>
  <conditionalFormatting sqref="E145">
    <cfRule type="expression" dxfId="12255" priority="4023">
      <formula>B145=""</formula>
    </cfRule>
  </conditionalFormatting>
  <conditionalFormatting sqref="E146">
    <cfRule type="expression" dxfId="12254" priority="4022">
      <formula>B146=""</formula>
    </cfRule>
  </conditionalFormatting>
  <conditionalFormatting sqref="E147">
    <cfRule type="expression" dxfId="12253" priority="4021">
      <formula>B147=""</formula>
    </cfRule>
  </conditionalFormatting>
  <conditionalFormatting sqref="E148">
    <cfRule type="expression" dxfId="12252" priority="4020">
      <formula>B148=""</formula>
    </cfRule>
  </conditionalFormatting>
  <conditionalFormatting sqref="E149">
    <cfRule type="expression" dxfId="12251" priority="4019">
      <formula>B149=""</formula>
    </cfRule>
  </conditionalFormatting>
  <conditionalFormatting sqref="F130:F149">
    <cfRule type="expression" dxfId="12250" priority="4018">
      <formula>B130=""</formula>
    </cfRule>
  </conditionalFormatting>
  <conditionalFormatting sqref="F131 F133 F135 F137 F139 F141 F143 F145 F147 F149">
    <cfRule type="expression" dxfId="12249" priority="4017">
      <formula>B131=""</formula>
    </cfRule>
  </conditionalFormatting>
  <conditionalFormatting sqref="F132:F142">
    <cfRule type="expression" dxfId="12248" priority="4016">
      <formula>B132=""</formula>
    </cfRule>
  </conditionalFormatting>
  <conditionalFormatting sqref="F143">
    <cfRule type="expression" dxfId="12247" priority="4015">
      <formula>B143=""</formula>
    </cfRule>
  </conditionalFormatting>
  <conditionalFormatting sqref="F144">
    <cfRule type="expression" dxfId="12246" priority="4014">
      <formula>B144=""</formula>
    </cfRule>
  </conditionalFormatting>
  <conditionalFormatting sqref="F145">
    <cfRule type="expression" dxfId="12245" priority="4013">
      <formula>B145=""</formula>
    </cfRule>
  </conditionalFormatting>
  <conditionalFormatting sqref="F146">
    <cfRule type="expression" dxfId="12244" priority="4012">
      <formula>B146=""</formula>
    </cfRule>
  </conditionalFormatting>
  <conditionalFormatting sqref="F147">
    <cfRule type="expression" dxfId="12243" priority="4011">
      <formula>B147=""</formula>
    </cfRule>
  </conditionalFormatting>
  <conditionalFormatting sqref="F148">
    <cfRule type="expression" dxfId="12242" priority="4010">
      <formula>B148=""</formula>
    </cfRule>
  </conditionalFormatting>
  <conditionalFormatting sqref="F149">
    <cfRule type="expression" dxfId="12241" priority="4009">
      <formula>B149=""</formula>
    </cfRule>
  </conditionalFormatting>
  <conditionalFormatting sqref="E131 E133 E135 E137 E139 E141 E143 E145 E147 E149">
    <cfRule type="expression" dxfId="12240" priority="4008">
      <formula>B131=""</formula>
    </cfRule>
  </conditionalFormatting>
  <conditionalFormatting sqref="E132:E142">
    <cfRule type="expression" dxfId="12239" priority="4007">
      <formula>B132=""</formula>
    </cfRule>
  </conditionalFormatting>
  <conditionalFormatting sqref="E143">
    <cfRule type="expression" dxfId="12238" priority="4006">
      <formula>B143=""</formula>
    </cfRule>
  </conditionalFormatting>
  <conditionalFormatting sqref="E144">
    <cfRule type="expression" dxfId="12237" priority="4005">
      <formula>B144=""</formula>
    </cfRule>
  </conditionalFormatting>
  <conditionalFormatting sqref="E145">
    <cfRule type="expression" dxfId="12236" priority="4004">
      <formula>B145=""</formula>
    </cfRule>
  </conditionalFormatting>
  <conditionalFormatting sqref="E146">
    <cfRule type="expression" dxfId="12235" priority="4003">
      <formula>B146=""</formula>
    </cfRule>
  </conditionalFormatting>
  <conditionalFormatting sqref="E147">
    <cfRule type="expression" dxfId="12234" priority="4002">
      <formula>B147=""</formula>
    </cfRule>
  </conditionalFormatting>
  <conditionalFormatting sqref="E148">
    <cfRule type="expression" dxfId="12233" priority="4001">
      <formula>B148=""</formula>
    </cfRule>
  </conditionalFormatting>
  <conditionalFormatting sqref="E149">
    <cfRule type="expression" dxfId="12232" priority="4000">
      <formula>B149=""</formula>
    </cfRule>
  </conditionalFormatting>
  <conditionalFormatting sqref="G130:G149">
    <cfRule type="expression" dxfId="12231" priority="3999">
      <formula>B130=""</formula>
    </cfRule>
  </conditionalFormatting>
  <conditionalFormatting sqref="G131 G133 G135 G137 G139 G141 G143 G145 G147 G149">
    <cfRule type="expression" dxfId="12230" priority="3998">
      <formula>B131=""</formula>
    </cfRule>
  </conditionalFormatting>
  <conditionalFormatting sqref="G132:G142">
    <cfRule type="expression" dxfId="12229" priority="3997">
      <formula>B132=""</formula>
    </cfRule>
  </conditionalFormatting>
  <conditionalFormatting sqref="G143">
    <cfRule type="expression" dxfId="12228" priority="3996">
      <formula>B143=""</formula>
    </cfRule>
  </conditionalFormatting>
  <conditionalFormatting sqref="G144">
    <cfRule type="expression" dxfId="12227" priority="3995">
      <formula>B144=""</formula>
    </cfRule>
  </conditionalFormatting>
  <conditionalFormatting sqref="G145">
    <cfRule type="expression" dxfId="12226" priority="3994">
      <formula>B145=""</formula>
    </cfRule>
  </conditionalFormatting>
  <conditionalFormatting sqref="G146">
    <cfRule type="expression" dxfId="12225" priority="3993">
      <formula>B146=""</formula>
    </cfRule>
  </conditionalFormatting>
  <conditionalFormatting sqref="G147">
    <cfRule type="expression" dxfId="12224" priority="3992">
      <formula>B147=""</formula>
    </cfRule>
  </conditionalFormatting>
  <conditionalFormatting sqref="G148">
    <cfRule type="expression" dxfId="12223" priority="3991">
      <formula>B148=""</formula>
    </cfRule>
  </conditionalFormatting>
  <conditionalFormatting sqref="G149">
    <cfRule type="expression" dxfId="12222" priority="3990">
      <formula>B149=""</formula>
    </cfRule>
  </conditionalFormatting>
  <conditionalFormatting sqref="H130 H132 H134 H136 H138 H140 H142 H144 H146 H148">
    <cfRule type="expression" dxfId="12221" priority="3989">
      <formula>B130=""</formula>
    </cfRule>
  </conditionalFormatting>
  <conditionalFormatting sqref="H131 H133 H135 H137 H139 H141 H143 H145 H147 H149">
    <cfRule type="expression" dxfId="12220" priority="3988">
      <formula>B131=""</formula>
    </cfRule>
  </conditionalFormatting>
  <conditionalFormatting sqref="H132:H142">
    <cfRule type="expression" dxfId="12219" priority="3987">
      <formula>B132=""</formula>
    </cfRule>
  </conditionalFormatting>
  <conditionalFormatting sqref="H143">
    <cfRule type="expression" dxfId="12218" priority="3986">
      <formula>B143=""</formula>
    </cfRule>
  </conditionalFormatting>
  <conditionalFormatting sqref="H144">
    <cfRule type="expression" dxfId="12217" priority="3985">
      <formula>B144=""</formula>
    </cfRule>
  </conditionalFormatting>
  <conditionalFormatting sqref="H145">
    <cfRule type="expression" dxfId="12216" priority="3984">
      <formula>B145=""</formula>
    </cfRule>
  </conditionalFormatting>
  <conditionalFormatting sqref="H146">
    <cfRule type="expression" dxfId="12215" priority="3983">
      <formula>B146=""</formula>
    </cfRule>
  </conditionalFormatting>
  <conditionalFormatting sqref="H147">
    <cfRule type="expression" dxfId="12214" priority="3982">
      <formula>B147=""</formula>
    </cfRule>
  </conditionalFormatting>
  <conditionalFormatting sqref="H148">
    <cfRule type="expression" dxfId="12213" priority="3981">
      <formula>B148=""</formula>
    </cfRule>
  </conditionalFormatting>
  <conditionalFormatting sqref="H149">
    <cfRule type="expression" dxfId="12212" priority="3980">
      <formula>B149=""</formula>
    </cfRule>
  </conditionalFormatting>
  <conditionalFormatting sqref="F130 F132 F134 F136 F138 F140 F142 F144 F146 F148">
    <cfRule type="expression" dxfId="12211" priority="3979">
      <formula>B130=""</formula>
    </cfRule>
  </conditionalFormatting>
  <conditionalFormatting sqref="F131 F133 F135 F137 F139 F141 F143 F145 F147 F149">
    <cfRule type="expression" dxfId="12210" priority="3978">
      <formula>B131=""</formula>
    </cfRule>
  </conditionalFormatting>
  <conditionalFormatting sqref="F132:F142">
    <cfRule type="expression" dxfId="12209" priority="3977">
      <formula>B132=""</formula>
    </cfRule>
  </conditionalFormatting>
  <conditionalFormatting sqref="F143">
    <cfRule type="expression" dxfId="12208" priority="3976">
      <formula>B143=""</formula>
    </cfRule>
  </conditionalFormatting>
  <conditionalFormatting sqref="F144">
    <cfRule type="expression" dxfId="12207" priority="3975">
      <formula>B144=""</formula>
    </cfRule>
  </conditionalFormatting>
  <conditionalFormatting sqref="F145">
    <cfRule type="expression" dxfId="12206" priority="3974">
      <formula>B145=""</formula>
    </cfRule>
  </conditionalFormatting>
  <conditionalFormatting sqref="F146">
    <cfRule type="expression" dxfId="12205" priority="3973">
      <formula>B146=""</formula>
    </cfRule>
  </conditionalFormatting>
  <conditionalFormatting sqref="F147">
    <cfRule type="expression" dxfId="12204" priority="3972">
      <formula>B147=""</formula>
    </cfRule>
  </conditionalFormatting>
  <conditionalFormatting sqref="F148">
    <cfRule type="expression" dxfId="12203" priority="3971">
      <formula>B148=""</formula>
    </cfRule>
  </conditionalFormatting>
  <conditionalFormatting sqref="F149">
    <cfRule type="expression" dxfId="12202" priority="3970">
      <formula>B149=""</formula>
    </cfRule>
  </conditionalFormatting>
  <conditionalFormatting sqref="C152:C171">
    <cfRule type="expression" dxfId="12201" priority="3969">
      <formula>B152=""</formula>
    </cfRule>
  </conditionalFormatting>
  <conditionalFormatting sqref="C153 C155 C157 C159 C161 C163 C165 C167 C169">
    <cfRule type="expression" dxfId="12200" priority="3968">
      <formula>B153=""</formula>
    </cfRule>
  </conditionalFormatting>
  <conditionalFormatting sqref="C154:C164">
    <cfRule type="expression" dxfId="12199" priority="3967">
      <formula>B154=""</formula>
    </cfRule>
  </conditionalFormatting>
  <conditionalFormatting sqref="C165">
    <cfRule type="expression" dxfId="12198" priority="3966">
      <formula>B165=""</formula>
    </cfRule>
  </conditionalFormatting>
  <conditionalFormatting sqref="C166">
    <cfRule type="expression" dxfId="12197" priority="3965">
      <formula>B166=""</formula>
    </cfRule>
  </conditionalFormatting>
  <conditionalFormatting sqref="C167">
    <cfRule type="expression" dxfId="12196" priority="3964">
      <formula>B167=""</formula>
    </cfRule>
  </conditionalFormatting>
  <conditionalFormatting sqref="C168">
    <cfRule type="expression" dxfId="12195" priority="3963">
      <formula>B168=""</formula>
    </cfRule>
  </conditionalFormatting>
  <conditionalFormatting sqref="C169">
    <cfRule type="expression" dxfId="12194" priority="3962">
      <formula>B169=""</formula>
    </cfRule>
  </conditionalFormatting>
  <conditionalFormatting sqref="C170">
    <cfRule type="expression" dxfId="12193" priority="3961">
      <formula>B170=""</formula>
    </cfRule>
  </conditionalFormatting>
  <conditionalFormatting sqref="C171">
    <cfRule type="expression" dxfId="12192" priority="3960">
      <formula>B171=""</formula>
    </cfRule>
  </conditionalFormatting>
  <conditionalFormatting sqref="C171">
    <cfRule type="expression" dxfId="12191" priority="3959">
      <formula>B171=""</formula>
    </cfRule>
  </conditionalFormatting>
  <conditionalFormatting sqref="C152:C171">
    <cfRule type="expression" dxfId="12190" priority="3958">
      <formula>B152=""</formula>
    </cfRule>
  </conditionalFormatting>
  <conditionalFormatting sqref="C153 C155 C157 C159 C161 C163 C165 C167 C169">
    <cfRule type="expression" dxfId="12189" priority="3957">
      <formula>B153=""</formula>
    </cfRule>
  </conditionalFormatting>
  <conditionalFormatting sqref="C154:C164">
    <cfRule type="expression" dxfId="12188" priority="3956">
      <formula>B154=""</formula>
    </cfRule>
  </conditionalFormatting>
  <conditionalFormatting sqref="C165">
    <cfRule type="expression" dxfId="12187" priority="3955">
      <formula>B165=""</formula>
    </cfRule>
  </conditionalFormatting>
  <conditionalFormatting sqref="C166">
    <cfRule type="expression" dxfId="12186" priority="3954">
      <formula>B166=""</formula>
    </cfRule>
  </conditionalFormatting>
  <conditionalFormatting sqref="C167">
    <cfRule type="expression" dxfId="12185" priority="3953">
      <formula>B167=""</formula>
    </cfRule>
  </conditionalFormatting>
  <conditionalFormatting sqref="C168">
    <cfRule type="expression" dxfId="12184" priority="3952">
      <formula>B168=""</formula>
    </cfRule>
  </conditionalFormatting>
  <conditionalFormatting sqref="C169">
    <cfRule type="expression" dxfId="12183" priority="3951">
      <formula>B169=""</formula>
    </cfRule>
  </conditionalFormatting>
  <conditionalFormatting sqref="C170">
    <cfRule type="expression" dxfId="12182" priority="3950">
      <formula>B170=""</formula>
    </cfRule>
  </conditionalFormatting>
  <conditionalFormatting sqref="C171">
    <cfRule type="expression" dxfId="12181" priority="3949">
      <formula>B171=""</formula>
    </cfRule>
  </conditionalFormatting>
  <conditionalFormatting sqref="C152:C171">
    <cfRule type="expression" dxfId="12180" priority="3948">
      <formula>B152=""</formula>
    </cfRule>
  </conditionalFormatting>
  <conditionalFormatting sqref="C153 C155 C157 C159 C161 C163 C165 C167 C169">
    <cfRule type="expression" dxfId="12179" priority="3947">
      <formula>B153=""</formula>
    </cfRule>
  </conditionalFormatting>
  <conditionalFormatting sqref="C154:C164">
    <cfRule type="expression" dxfId="12178" priority="3946">
      <formula>B154=""</formula>
    </cfRule>
  </conditionalFormatting>
  <conditionalFormatting sqref="C165">
    <cfRule type="expression" dxfId="12177" priority="3945">
      <formula>B165=""</formula>
    </cfRule>
  </conditionalFormatting>
  <conditionalFormatting sqref="C166">
    <cfRule type="expression" dxfId="12176" priority="3944">
      <formula>B166=""</formula>
    </cfRule>
  </conditionalFormatting>
  <conditionalFormatting sqref="C167">
    <cfRule type="expression" dxfId="12175" priority="3943">
      <formula>B167=""</formula>
    </cfRule>
  </conditionalFormatting>
  <conditionalFormatting sqref="C168">
    <cfRule type="expression" dxfId="12174" priority="3942">
      <formula>B168=""</formula>
    </cfRule>
  </conditionalFormatting>
  <conditionalFormatting sqref="C169">
    <cfRule type="expression" dxfId="12173" priority="3941">
      <formula>B169=""</formula>
    </cfRule>
  </conditionalFormatting>
  <conditionalFormatting sqref="C170">
    <cfRule type="expression" dxfId="12172" priority="3940">
      <formula>B170=""</formula>
    </cfRule>
  </conditionalFormatting>
  <conditionalFormatting sqref="C171">
    <cfRule type="expression" dxfId="12171" priority="3939">
      <formula>B171=""</formula>
    </cfRule>
  </conditionalFormatting>
  <conditionalFormatting sqref="C152:C171">
    <cfRule type="expression" dxfId="12170" priority="3938">
      <formula>B152=""</formula>
    </cfRule>
  </conditionalFormatting>
  <conditionalFormatting sqref="C153 C155 C157 C159 C161 C163 C165 C167 C169">
    <cfRule type="expression" dxfId="12169" priority="3937">
      <formula>B153=""</formula>
    </cfRule>
  </conditionalFormatting>
  <conditionalFormatting sqref="C154:C164">
    <cfRule type="expression" dxfId="12168" priority="3936">
      <formula>B154=""</formula>
    </cfRule>
  </conditionalFormatting>
  <conditionalFormatting sqref="C165">
    <cfRule type="expression" dxfId="12167" priority="3935">
      <formula>B165=""</formula>
    </cfRule>
  </conditionalFormatting>
  <conditionalFormatting sqref="C166">
    <cfRule type="expression" dxfId="12166" priority="3934">
      <formula>B166=""</formula>
    </cfRule>
  </conditionalFormatting>
  <conditionalFormatting sqref="C167">
    <cfRule type="expression" dxfId="12165" priority="3933">
      <formula>B167=""</formula>
    </cfRule>
  </conditionalFormatting>
  <conditionalFormatting sqref="C168">
    <cfRule type="expression" dxfId="12164" priority="3932">
      <formula>B168=""</formula>
    </cfRule>
  </conditionalFormatting>
  <conditionalFormatting sqref="C169">
    <cfRule type="expression" dxfId="12163" priority="3931">
      <formula>B169=""</formula>
    </cfRule>
  </conditionalFormatting>
  <conditionalFormatting sqref="C170">
    <cfRule type="expression" dxfId="12162" priority="3930">
      <formula>B170=""</formula>
    </cfRule>
  </conditionalFormatting>
  <conditionalFormatting sqref="C171">
    <cfRule type="expression" dxfId="12161" priority="3929">
      <formula>B171=""</formula>
    </cfRule>
  </conditionalFormatting>
  <conditionalFormatting sqref="C152 C154 C156 C158 C160 C162 C164 C166 C168 C170">
    <cfRule type="expression" dxfId="12160" priority="3928">
      <formula>B152=""</formula>
    </cfRule>
  </conditionalFormatting>
  <conditionalFormatting sqref="C153 C155 C157 C159 C161 C163 C165 C167 C169">
    <cfRule type="expression" dxfId="12159" priority="3927">
      <formula>B153=""</formula>
    </cfRule>
  </conditionalFormatting>
  <conditionalFormatting sqref="C154:C164">
    <cfRule type="expression" dxfId="12158" priority="3926">
      <formula>B154=""</formula>
    </cfRule>
  </conditionalFormatting>
  <conditionalFormatting sqref="C165">
    <cfRule type="expression" dxfId="12157" priority="3925">
      <formula>B165=""</formula>
    </cfRule>
  </conditionalFormatting>
  <conditionalFormatting sqref="C166">
    <cfRule type="expression" dxfId="12156" priority="3924">
      <formula>B166=""</formula>
    </cfRule>
  </conditionalFormatting>
  <conditionalFormatting sqref="C167">
    <cfRule type="expression" dxfId="12155" priority="3923">
      <formula>B167=""</formula>
    </cfRule>
  </conditionalFormatting>
  <conditionalFormatting sqref="C168">
    <cfRule type="expression" dxfId="12154" priority="3922">
      <formula>B168=""</formula>
    </cfRule>
  </conditionalFormatting>
  <conditionalFormatting sqref="C169">
    <cfRule type="expression" dxfId="12153" priority="3921">
      <formula>B169=""</formula>
    </cfRule>
  </conditionalFormatting>
  <conditionalFormatting sqref="C170">
    <cfRule type="expression" dxfId="12152" priority="3920">
      <formula>B170=""</formula>
    </cfRule>
  </conditionalFormatting>
  <conditionalFormatting sqref="C171">
    <cfRule type="expression" dxfId="12151" priority="3919">
      <formula>B171=""</formula>
    </cfRule>
  </conditionalFormatting>
  <conditionalFormatting sqref="C174:C193">
    <cfRule type="expression" dxfId="12150" priority="3918">
      <formula>B174=""</formula>
    </cfRule>
  </conditionalFormatting>
  <conditionalFormatting sqref="C175 C177 C179 C181 C183 C185 C187 C189 C191 C193">
    <cfRule type="expression" dxfId="12149" priority="3917">
      <formula>B175=""</formula>
    </cfRule>
  </conditionalFormatting>
  <conditionalFormatting sqref="C176:C186">
    <cfRule type="expression" dxfId="12148" priority="3916">
      <formula>B176=""</formula>
    </cfRule>
  </conditionalFormatting>
  <conditionalFormatting sqref="C187">
    <cfRule type="expression" dxfId="12147" priority="3915">
      <formula>B187=""</formula>
    </cfRule>
  </conditionalFormatting>
  <conditionalFormatting sqref="C188">
    <cfRule type="expression" dxfId="12146" priority="3914">
      <formula>B188=""</formula>
    </cfRule>
  </conditionalFormatting>
  <conditionalFormatting sqref="C189">
    <cfRule type="expression" dxfId="12145" priority="3913">
      <formula>B189=""</formula>
    </cfRule>
  </conditionalFormatting>
  <conditionalFormatting sqref="C190">
    <cfRule type="expression" dxfId="12144" priority="3912">
      <formula>B190=""</formula>
    </cfRule>
  </conditionalFormatting>
  <conditionalFormatting sqref="C191">
    <cfRule type="expression" dxfId="12143" priority="3911">
      <formula>B191=""</formula>
    </cfRule>
  </conditionalFormatting>
  <conditionalFormatting sqref="C192">
    <cfRule type="expression" dxfId="12142" priority="3910">
      <formula>B192=""</formula>
    </cfRule>
  </conditionalFormatting>
  <conditionalFormatting sqref="C193">
    <cfRule type="expression" dxfId="12141" priority="3909">
      <formula>B193=""</formula>
    </cfRule>
  </conditionalFormatting>
  <conditionalFormatting sqref="C193">
    <cfRule type="expression" dxfId="12140" priority="3908">
      <formula>B193=""</formula>
    </cfRule>
  </conditionalFormatting>
  <conditionalFormatting sqref="C174:C193">
    <cfRule type="expression" dxfId="12139" priority="3907">
      <formula>B174=""</formula>
    </cfRule>
  </conditionalFormatting>
  <conditionalFormatting sqref="C175 C177 C179 C181 C183 C185 C187 C189 C191 C193">
    <cfRule type="expression" dxfId="12138" priority="3906">
      <formula>B175=""</formula>
    </cfRule>
  </conditionalFormatting>
  <conditionalFormatting sqref="C176:C186">
    <cfRule type="expression" dxfId="12137" priority="3905">
      <formula>B176=""</formula>
    </cfRule>
  </conditionalFormatting>
  <conditionalFormatting sqref="C187">
    <cfRule type="expression" dxfId="12136" priority="3904">
      <formula>B187=""</formula>
    </cfRule>
  </conditionalFormatting>
  <conditionalFormatting sqref="C188">
    <cfRule type="expression" dxfId="12135" priority="3903">
      <formula>B188=""</formula>
    </cfRule>
  </conditionalFormatting>
  <conditionalFormatting sqref="C189">
    <cfRule type="expression" dxfId="12134" priority="3902">
      <formula>B189=""</formula>
    </cfRule>
  </conditionalFormatting>
  <conditionalFormatting sqref="C190">
    <cfRule type="expression" dxfId="12133" priority="3901">
      <formula>B190=""</formula>
    </cfRule>
  </conditionalFormatting>
  <conditionalFormatting sqref="C191">
    <cfRule type="expression" dxfId="12132" priority="3900">
      <formula>B191=""</formula>
    </cfRule>
  </conditionalFormatting>
  <conditionalFormatting sqref="C192">
    <cfRule type="expression" dxfId="12131" priority="3899">
      <formula>B192=""</formula>
    </cfRule>
  </conditionalFormatting>
  <conditionalFormatting sqref="C193">
    <cfRule type="expression" dxfId="12130" priority="3898">
      <formula>B193=""</formula>
    </cfRule>
  </conditionalFormatting>
  <conditionalFormatting sqref="C174:C193">
    <cfRule type="expression" dxfId="12129" priority="3897">
      <formula>B174=""</formula>
    </cfRule>
  </conditionalFormatting>
  <conditionalFormatting sqref="C175 C177 C179 C181 C183 C185 C187 C189 C191 C193">
    <cfRule type="expression" dxfId="12128" priority="3896">
      <formula>B175=""</formula>
    </cfRule>
  </conditionalFormatting>
  <conditionalFormatting sqref="C176:C186">
    <cfRule type="expression" dxfId="12127" priority="3895">
      <formula>B176=""</formula>
    </cfRule>
  </conditionalFormatting>
  <conditionalFormatting sqref="C187">
    <cfRule type="expression" dxfId="12126" priority="3894">
      <formula>B187=""</formula>
    </cfRule>
  </conditionalFormatting>
  <conditionalFormatting sqref="C188">
    <cfRule type="expression" dxfId="12125" priority="3893">
      <formula>B188=""</formula>
    </cfRule>
  </conditionalFormatting>
  <conditionalFormatting sqref="C189">
    <cfRule type="expression" dxfId="12124" priority="3892">
      <formula>B189=""</formula>
    </cfRule>
  </conditionalFormatting>
  <conditionalFormatting sqref="C190">
    <cfRule type="expression" dxfId="12123" priority="3891">
      <formula>B190=""</formula>
    </cfRule>
  </conditionalFormatting>
  <conditionalFormatting sqref="C191">
    <cfRule type="expression" dxfId="12122" priority="3890">
      <formula>B191=""</formula>
    </cfRule>
  </conditionalFormatting>
  <conditionalFormatting sqref="C192">
    <cfRule type="expression" dxfId="12121" priority="3889">
      <formula>B192=""</formula>
    </cfRule>
  </conditionalFormatting>
  <conditionalFormatting sqref="C193">
    <cfRule type="expression" dxfId="12120" priority="3888">
      <formula>B193=""</formula>
    </cfRule>
  </conditionalFormatting>
  <conditionalFormatting sqref="C193">
    <cfRule type="expression" dxfId="12119" priority="3887">
      <formula>B193=""</formula>
    </cfRule>
  </conditionalFormatting>
  <conditionalFormatting sqref="C174:C193">
    <cfRule type="expression" dxfId="12118" priority="3886">
      <formula>B174=""</formula>
    </cfRule>
  </conditionalFormatting>
  <conditionalFormatting sqref="C175 C177 C179 C181 C183 C185 C187 C189 C191 C193">
    <cfRule type="expression" dxfId="12117" priority="3885">
      <formula>B175=""</formula>
    </cfRule>
  </conditionalFormatting>
  <conditionalFormatting sqref="C176:C186">
    <cfRule type="expression" dxfId="12116" priority="3884">
      <formula>B176=""</formula>
    </cfRule>
  </conditionalFormatting>
  <conditionalFormatting sqref="C187">
    <cfRule type="expression" dxfId="12115" priority="3883">
      <formula>B187=""</formula>
    </cfRule>
  </conditionalFormatting>
  <conditionalFormatting sqref="C188">
    <cfRule type="expression" dxfId="12114" priority="3882">
      <formula>B188=""</formula>
    </cfRule>
  </conditionalFormatting>
  <conditionalFormatting sqref="C189">
    <cfRule type="expression" dxfId="12113" priority="3881">
      <formula>B189=""</formula>
    </cfRule>
  </conditionalFormatting>
  <conditionalFormatting sqref="C190">
    <cfRule type="expression" dxfId="12112" priority="3880">
      <formula>B190=""</formula>
    </cfRule>
  </conditionalFormatting>
  <conditionalFormatting sqref="C191">
    <cfRule type="expression" dxfId="12111" priority="3879">
      <formula>B191=""</formula>
    </cfRule>
  </conditionalFormatting>
  <conditionalFormatting sqref="C192">
    <cfRule type="expression" dxfId="12110" priority="3878">
      <formula>B192=""</formula>
    </cfRule>
  </conditionalFormatting>
  <conditionalFormatting sqref="C193">
    <cfRule type="expression" dxfId="12109" priority="3877">
      <formula>B193=""</formula>
    </cfRule>
  </conditionalFormatting>
  <conditionalFormatting sqref="C174:C193">
    <cfRule type="expression" dxfId="12108" priority="3876">
      <formula>B174=""</formula>
    </cfRule>
  </conditionalFormatting>
  <conditionalFormatting sqref="C175 C177 C179 C181 C183 C185 C187 C189 C191 C193">
    <cfRule type="expression" dxfId="12107" priority="3875">
      <formula>B175=""</formula>
    </cfRule>
  </conditionalFormatting>
  <conditionalFormatting sqref="C176:C186">
    <cfRule type="expression" dxfId="12106" priority="3874">
      <formula>B176=""</formula>
    </cfRule>
  </conditionalFormatting>
  <conditionalFormatting sqref="C187">
    <cfRule type="expression" dxfId="12105" priority="3873">
      <formula>B187=""</formula>
    </cfRule>
  </conditionalFormatting>
  <conditionalFormatting sqref="C188">
    <cfRule type="expression" dxfId="12104" priority="3872">
      <formula>B188=""</formula>
    </cfRule>
  </conditionalFormatting>
  <conditionalFormatting sqref="C189">
    <cfRule type="expression" dxfId="12103" priority="3871">
      <formula>B189=""</formula>
    </cfRule>
  </conditionalFormatting>
  <conditionalFormatting sqref="C190">
    <cfRule type="expression" dxfId="12102" priority="3870">
      <formula>B190=""</formula>
    </cfRule>
  </conditionalFormatting>
  <conditionalFormatting sqref="C191">
    <cfRule type="expression" dxfId="12101" priority="3869">
      <formula>B191=""</formula>
    </cfRule>
  </conditionalFormatting>
  <conditionalFormatting sqref="C192">
    <cfRule type="expression" dxfId="12100" priority="3868">
      <formula>B192=""</formula>
    </cfRule>
  </conditionalFormatting>
  <conditionalFormatting sqref="C193">
    <cfRule type="expression" dxfId="12099" priority="3867">
      <formula>B193=""</formula>
    </cfRule>
  </conditionalFormatting>
  <conditionalFormatting sqref="C174:C193">
    <cfRule type="expression" dxfId="12098" priority="3866">
      <formula>B174=""</formula>
    </cfRule>
  </conditionalFormatting>
  <conditionalFormatting sqref="C175 C177 C179 C181 C183 C185 C187 C189 C191 C193">
    <cfRule type="expression" dxfId="12097" priority="3865">
      <formula>B175=""</formula>
    </cfRule>
  </conditionalFormatting>
  <conditionalFormatting sqref="C176:C186">
    <cfRule type="expression" dxfId="12096" priority="3864">
      <formula>B176=""</formula>
    </cfRule>
  </conditionalFormatting>
  <conditionalFormatting sqref="C187">
    <cfRule type="expression" dxfId="12095" priority="3863">
      <formula>B187=""</formula>
    </cfRule>
  </conditionalFormatting>
  <conditionalFormatting sqref="C188">
    <cfRule type="expression" dxfId="12094" priority="3862">
      <formula>B188=""</formula>
    </cfRule>
  </conditionalFormatting>
  <conditionalFormatting sqref="C189">
    <cfRule type="expression" dxfId="12093" priority="3861">
      <formula>B189=""</formula>
    </cfRule>
  </conditionalFormatting>
  <conditionalFormatting sqref="C190">
    <cfRule type="expression" dxfId="12092" priority="3860">
      <formula>B190=""</formula>
    </cfRule>
  </conditionalFormatting>
  <conditionalFormatting sqref="C191">
    <cfRule type="expression" dxfId="12091" priority="3859">
      <formula>B191=""</formula>
    </cfRule>
  </conditionalFormatting>
  <conditionalFormatting sqref="C192">
    <cfRule type="expression" dxfId="12090" priority="3858">
      <formula>B192=""</formula>
    </cfRule>
  </conditionalFormatting>
  <conditionalFormatting sqref="C193">
    <cfRule type="expression" dxfId="12089" priority="3857">
      <formula>B193=""</formula>
    </cfRule>
  </conditionalFormatting>
  <conditionalFormatting sqref="C174 C176 C178 C180 C182 C184 C186 C188 C190 C192">
    <cfRule type="expression" dxfId="12088" priority="3856">
      <formula>B174=""</formula>
    </cfRule>
  </conditionalFormatting>
  <conditionalFormatting sqref="C175 C177 C179 C181 C183 C185 C187 C189 C191 C193">
    <cfRule type="expression" dxfId="12087" priority="3855">
      <formula>B175=""</formula>
    </cfRule>
  </conditionalFormatting>
  <conditionalFormatting sqref="C176:C186">
    <cfRule type="expression" dxfId="12086" priority="3854">
      <formula>B176=""</formula>
    </cfRule>
  </conditionalFormatting>
  <conditionalFormatting sqref="C187">
    <cfRule type="expression" dxfId="12085" priority="3853">
      <formula>B187=""</formula>
    </cfRule>
  </conditionalFormatting>
  <conditionalFormatting sqref="C188">
    <cfRule type="expression" dxfId="12084" priority="3852">
      <formula>B188=""</formula>
    </cfRule>
  </conditionalFormatting>
  <conditionalFormatting sqref="C189">
    <cfRule type="expression" dxfId="12083" priority="3851">
      <formula>B189=""</formula>
    </cfRule>
  </conditionalFormatting>
  <conditionalFormatting sqref="C190">
    <cfRule type="expression" dxfId="12082" priority="3850">
      <formula>B190=""</formula>
    </cfRule>
  </conditionalFormatting>
  <conditionalFormatting sqref="C191">
    <cfRule type="expression" dxfId="12081" priority="3849">
      <formula>B191=""</formula>
    </cfRule>
  </conditionalFormatting>
  <conditionalFormatting sqref="C192">
    <cfRule type="expression" dxfId="12080" priority="3848">
      <formula>B192=""</formula>
    </cfRule>
  </conditionalFormatting>
  <conditionalFormatting sqref="C193">
    <cfRule type="expression" dxfId="12079" priority="3847">
      <formula>B193=""</formula>
    </cfRule>
  </conditionalFormatting>
  <conditionalFormatting sqref="B208:B228 B230:B250 B252:B272 B274:B294">
    <cfRule type="containsBlanks" dxfId="12078" priority="3846">
      <formula>LEN(TRIM(B208))=0</formula>
    </cfRule>
  </conditionalFormatting>
  <conditionalFormatting sqref="C208:C228">
    <cfRule type="expression" dxfId="12077" priority="3845">
      <formula>B208=""</formula>
    </cfRule>
  </conditionalFormatting>
  <conditionalFormatting sqref="C209">
    <cfRule type="expression" dxfId="12076" priority="3844">
      <formula>B209=""</formula>
    </cfRule>
  </conditionalFormatting>
  <conditionalFormatting sqref="C210:C220">
    <cfRule type="expression" dxfId="12075" priority="3843">
      <formula>B210=""</formula>
    </cfRule>
  </conditionalFormatting>
  <conditionalFormatting sqref="C221">
    <cfRule type="expression" dxfId="12074" priority="3842">
      <formula>B221=""</formula>
    </cfRule>
  </conditionalFormatting>
  <conditionalFormatting sqref="C222">
    <cfRule type="expression" dxfId="12073" priority="3841">
      <formula>B222=""</formula>
    </cfRule>
  </conditionalFormatting>
  <conditionalFormatting sqref="C223">
    <cfRule type="expression" dxfId="12072" priority="3840">
      <formula>B223=""</formula>
    </cfRule>
  </conditionalFormatting>
  <conditionalFormatting sqref="C224">
    <cfRule type="expression" dxfId="12071" priority="3839">
      <formula>B224=""</formula>
    </cfRule>
  </conditionalFormatting>
  <conditionalFormatting sqref="C225">
    <cfRule type="expression" dxfId="12070" priority="3838">
      <formula>B225=""</formula>
    </cfRule>
  </conditionalFormatting>
  <conditionalFormatting sqref="C226">
    <cfRule type="expression" dxfId="12069" priority="3837">
      <formula>B226=""</formula>
    </cfRule>
  </conditionalFormatting>
  <conditionalFormatting sqref="C227">
    <cfRule type="expression" dxfId="12068" priority="3836">
      <formula>B227=""</formula>
    </cfRule>
  </conditionalFormatting>
  <conditionalFormatting sqref="C228">
    <cfRule type="expression" dxfId="12067" priority="3835">
      <formula>B228=""</formula>
    </cfRule>
  </conditionalFormatting>
  <conditionalFormatting sqref="D208">
    <cfRule type="expression" dxfId="12066" priority="3834">
      <formula>B208=""</formula>
    </cfRule>
  </conditionalFormatting>
  <conditionalFormatting sqref="D209">
    <cfRule type="expression" dxfId="12065" priority="3833">
      <formula>B209=""</formula>
    </cfRule>
  </conditionalFormatting>
  <conditionalFormatting sqref="D210:D220">
    <cfRule type="expression" dxfId="12064" priority="3832">
      <formula>B210=""</formula>
    </cfRule>
  </conditionalFormatting>
  <conditionalFormatting sqref="D221">
    <cfRule type="expression" dxfId="12063" priority="3831">
      <formula>B221=""</formula>
    </cfRule>
  </conditionalFormatting>
  <conditionalFormatting sqref="D222">
    <cfRule type="expression" dxfId="12062" priority="3830">
      <formula>B222=""</formula>
    </cfRule>
  </conditionalFormatting>
  <conditionalFormatting sqref="D223">
    <cfRule type="expression" dxfId="12061" priority="3829">
      <formula>B223=""</formula>
    </cfRule>
  </conditionalFormatting>
  <conditionalFormatting sqref="D224">
    <cfRule type="expression" dxfId="12060" priority="3828">
      <formula>B224=""</formula>
    </cfRule>
  </conditionalFormatting>
  <conditionalFormatting sqref="D225">
    <cfRule type="expression" dxfId="12059" priority="3827">
      <formula>B225=""</formula>
    </cfRule>
  </conditionalFormatting>
  <conditionalFormatting sqref="D226">
    <cfRule type="expression" dxfId="12058" priority="3826">
      <formula>B226=""</formula>
    </cfRule>
  </conditionalFormatting>
  <conditionalFormatting sqref="D227">
    <cfRule type="expression" dxfId="12057" priority="3825">
      <formula>B227=""</formula>
    </cfRule>
  </conditionalFormatting>
  <conditionalFormatting sqref="D228">
    <cfRule type="expression" dxfId="12056" priority="3824">
      <formula>B228=""</formula>
    </cfRule>
  </conditionalFormatting>
  <conditionalFormatting sqref="E208 E210 E212 E214 E216 E218 E220 E222 E224 E226">
    <cfRule type="expression" dxfId="12055" priority="3823">
      <formula>B208=""</formula>
    </cfRule>
  </conditionalFormatting>
  <conditionalFormatting sqref="E209 E211 E213 E215 E217 E219 E221 E223 E225 E227">
    <cfRule type="expression" dxfId="12054" priority="3822">
      <formula>B209=""</formula>
    </cfRule>
  </conditionalFormatting>
  <conditionalFormatting sqref="E210:E220">
    <cfRule type="expression" dxfId="12053" priority="3821">
      <formula>B210=""</formula>
    </cfRule>
  </conditionalFormatting>
  <conditionalFormatting sqref="E221">
    <cfRule type="expression" dxfId="12052" priority="3820">
      <formula>B221=""</formula>
    </cfRule>
  </conditionalFormatting>
  <conditionalFormatting sqref="E222">
    <cfRule type="expression" dxfId="12051" priority="3819">
      <formula>B222=""</formula>
    </cfRule>
  </conditionalFormatting>
  <conditionalFormatting sqref="E223">
    <cfRule type="expression" dxfId="12050" priority="3818">
      <formula>B223=""</formula>
    </cfRule>
  </conditionalFormatting>
  <conditionalFormatting sqref="E224">
    <cfRule type="expression" dxfId="12049" priority="3817">
      <formula>B224=""</formula>
    </cfRule>
  </conditionalFormatting>
  <conditionalFormatting sqref="E225">
    <cfRule type="expression" dxfId="12048" priority="3816">
      <formula>B225=""</formula>
    </cfRule>
  </conditionalFormatting>
  <conditionalFormatting sqref="E226">
    <cfRule type="expression" dxfId="12047" priority="3815">
      <formula>B226=""</formula>
    </cfRule>
  </conditionalFormatting>
  <conditionalFormatting sqref="E227">
    <cfRule type="expression" dxfId="12046" priority="3814">
      <formula>B227=""</formula>
    </cfRule>
  </conditionalFormatting>
  <conditionalFormatting sqref="E228">
    <cfRule type="expression" dxfId="12045" priority="3813">
      <formula>B228=""</formula>
    </cfRule>
  </conditionalFormatting>
  <conditionalFormatting sqref="F208 F210 F212 F214 F216 F218 F220 F222 F224 F226">
    <cfRule type="expression" dxfId="12044" priority="3812">
      <formula>B208=""</formula>
    </cfRule>
  </conditionalFormatting>
  <conditionalFormatting sqref="F209 F211 F213 F215 F217 F219 F221 F223 F225 F227">
    <cfRule type="expression" dxfId="12043" priority="3811">
      <formula>B209=""</formula>
    </cfRule>
  </conditionalFormatting>
  <conditionalFormatting sqref="F210:F220">
    <cfRule type="expression" dxfId="12042" priority="3810">
      <formula>B210=""</formula>
    </cfRule>
  </conditionalFormatting>
  <conditionalFormatting sqref="F221">
    <cfRule type="expression" dxfId="12041" priority="3809">
      <formula>B221=""</formula>
    </cfRule>
  </conditionalFormatting>
  <conditionalFormatting sqref="F222">
    <cfRule type="expression" dxfId="12040" priority="3808">
      <formula>B222=""</formula>
    </cfRule>
  </conditionalFormatting>
  <conditionalFormatting sqref="F223">
    <cfRule type="expression" dxfId="12039" priority="3807">
      <formula>B223=""</formula>
    </cfRule>
  </conditionalFormatting>
  <conditionalFormatting sqref="F224">
    <cfRule type="expression" dxfId="12038" priority="3806">
      <formula>B224=""</formula>
    </cfRule>
  </conditionalFormatting>
  <conditionalFormatting sqref="F225">
    <cfRule type="expression" dxfId="12037" priority="3805">
      <formula>B225=""</formula>
    </cfRule>
  </conditionalFormatting>
  <conditionalFormatting sqref="F226">
    <cfRule type="expression" dxfId="12036" priority="3804">
      <formula>B226=""</formula>
    </cfRule>
  </conditionalFormatting>
  <conditionalFormatting sqref="F227">
    <cfRule type="expression" dxfId="12035" priority="3803">
      <formula>B227=""</formula>
    </cfRule>
  </conditionalFormatting>
  <conditionalFormatting sqref="F228">
    <cfRule type="expression" dxfId="12034" priority="3802">
      <formula>B228=""</formula>
    </cfRule>
  </conditionalFormatting>
  <conditionalFormatting sqref="E209 E211 E213 E215 E217 E219 E221 E223 E225 E227">
    <cfRule type="expression" dxfId="12033" priority="3801">
      <formula>B209=""</formula>
    </cfRule>
  </conditionalFormatting>
  <conditionalFormatting sqref="E210:E220">
    <cfRule type="expression" dxfId="12032" priority="3800">
      <formula>B210=""</formula>
    </cfRule>
  </conditionalFormatting>
  <conditionalFormatting sqref="E221">
    <cfRule type="expression" dxfId="12031" priority="3799">
      <formula>B221=""</formula>
    </cfRule>
  </conditionalFormatting>
  <conditionalFormatting sqref="E222">
    <cfRule type="expression" dxfId="12030" priority="3798">
      <formula>B222=""</formula>
    </cfRule>
  </conditionalFormatting>
  <conditionalFormatting sqref="E223">
    <cfRule type="expression" dxfId="12029" priority="3797">
      <formula>B223=""</formula>
    </cfRule>
  </conditionalFormatting>
  <conditionalFormatting sqref="E224">
    <cfRule type="expression" dxfId="12028" priority="3796">
      <formula>B224=""</formula>
    </cfRule>
  </conditionalFormatting>
  <conditionalFormatting sqref="E225">
    <cfRule type="expression" dxfId="12027" priority="3795">
      <formula>B225=""</formula>
    </cfRule>
  </conditionalFormatting>
  <conditionalFormatting sqref="E226">
    <cfRule type="expression" dxfId="12026" priority="3794">
      <formula>B226=""</formula>
    </cfRule>
  </conditionalFormatting>
  <conditionalFormatting sqref="E227">
    <cfRule type="expression" dxfId="12025" priority="3793">
      <formula>B227=""</formula>
    </cfRule>
  </conditionalFormatting>
  <conditionalFormatting sqref="E228">
    <cfRule type="expression" dxfId="12024" priority="3792">
      <formula>B228=""</formula>
    </cfRule>
  </conditionalFormatting>
  <conditionalFormatting sqref="G208 G210 G212 G214 G216 G218 G220 G222 G224 G226">
    <cfRule type="expression" dxfId="12023" priority="3791">
      <formula>B208=""</formula>
    </cfRule>
  </conditionalFormatting>
  <conditionalFormatting sqref="G209 G211 G213 G215 G217 G219 G221 G223 G225 G227">
    <cfRule type="expression" dxfId="12022" priority="3790">
      <formula>B209=""</formula>
    </cfRule>
  </conditionalFormatting>
  <conditionalFormatting sqref="G210:G220">
    <cfRule type="expression" dxfId="12021" priority="3789">
      <formula>B210=""</formula>
    </cfRule>
  </conditionalFormatting>
  <conditionalFormatting sqref="G221">
    <cfRule type="expression" dxfId="12020" priority="3788">
      <formula>B221=""</formula>
    </cfRule>
  </conditionalFormatting>
  <conditionalFormatting sqref="G222">
    <cfRule type="expression" dxfId="12019" priority="3787">
      <formula>B222=""</formula>
    </cfRule>
  </conditionalFormatting>
  <conditionalFormatting sqref="G223">
    <cfRule type="expression" dxfId="12018" priority="3786">
      <formula>B223=""</formula>
    </cfRule>
  </conditionalFormatting>
  <conditionalFormatting sqref="G224">
    <cfRule type="expression" dxfId="12017" priority="3785">
      <formula>B224=""</formula>
    </cfRule>
  </conditionalFormatting>
  <conditionalFormatting sqref="G225">
    <cfRule type="expression" dxfId="12016" priority="3784">
      <formula>B225=""</formula>
    </cfRule>
  </conditionalFormatting>
  <conditionalFormatting sqref="G226">
    <cfRule type="expression" dxfId="12015" priority="3783">
      <formula>B226=""</formula>
    </cfRule>
  </conditionalFormatting>
  <conditionalFormatting sqref="G227">
    <cfRule type="expression" dxfId="12014" priority="3782">
      <formula>B227=""</formula>
    </cfRule>
  </conditionalFormatting>
  <conditionalFormatting sqref="G228">
    <cfRule type="expression" dxfId="12013" priority="3781">
      <formula>B228=""</formula>
    </cfRule>
  </conditionalFormatting>
  <conditionalFormatting sqref="H208 H210 H212 H214 H216 H218 H220 H222 H224 H226">
    <cfRule type="expression" dxfId="12012" priority="3780">
      <formula>B208=""</formula>
    </cfRule>
  </conditionalFormatting>
  <conditionalFormatting sqref="H209 H211 H213 H215 H217 H219 H221 H223 H225 H227">
    <cfRule type="expression" dxfId="12011" priority="3779">
      <formula>B209=""</formula>
    </cfRule>
  </conditionalFormatting>
  <conditionalFormatting sqref="H210:H220">
    <cfRule type="expression" dxfId="12010" priority="3778">
      <formula>B210=""</formula>
    </cfRule>
  </conditionalFormatting>
  <conditionalFormatting sqref="H221">
    <cfRule type="expression" dxfId="12009" priority="3777">
      <formula>B221=""</formula>
    </cfRule>
  </conditionalFormatting>
  <conditionalFormatting sqref="H222">
    <cfRule type="expression" dxfId="12008" priority="3776">
      <formula>B222=""</formula>
    </cfRule>
  </conditionalFormatting>
  <conditionalFormatting sqref="H223">
    <cfRule type="expression" dxfId="12007" priority="3775">
      <formula>B223=""</formula>
    </cfRule>
  </conditionalFormatting>
  <conditionalFormatting sqref="H224">
    <cfRule type="expression" dxfId="12006" priority="3774">
      <formula>B224=""</formula>
    </cfRule>
  </conditionalFormatting>
  <conditionalFormatting sqref="H225">
    <cfRule type="expression" dxfId="12005" priority="3773">
      <formula>B225=""</formula>
    </cfRule>
  </conditionalFormatting>
  <conditionalFormatting sqref="H226">
    <cfRule type="expression" dxfId="12004" priority="3772">
      <formula>B226=""</formula>
    </cfRule>
  </conditionalFormatting>
  <conditionalFormatting sqref="H227">
    <cfRule type="expression" dxfId="12003" priority="3771">
      <formula>B227=""</formula>
    </cfRule>
  </conditionalFormatting>
  <conditionalFormatting sqref="H228">
    <cfRule type="expression" dxfId="12002" priority="3770">
      <formula>B228=""</formula>
    </cfRule>
  </conditionalFormatting>
  <conditionalFormatting sqref="C230:C250">
    <cfRule type="expression" dxfId="12001" priority="3769">
      <formula>B230=""</formula>
    </cfRule>
  </conditionalFormatting>
  <conditionalFormatting sqref="C231 C233 C235 C237 C239 C241 C243 C245 C247 C249">
    <cfRule type="expression" dxfId="12000" priority="3768">
      <formula>B231=""</formula>
    </cfRule>
  </conditionalFormatting>
  <conditionalFormatting sqref="C232:C242">
    <cfRule type="expression" dxfId="11999" priority="3767">
      <formula>B232=""</formula>
    </cfRule>
  </conditionalFormatting>
  <conditionalFormatting sqref="C243">
    <cfRule type="expression" dxfId="11998" priority="3766">
      <formula>B243=""</formula>
    </cfRule>
  </conditionalFormatting>
  <conditionalFormatting sqref="C244">
    <cfRule type="expression" dxfId="11997" priority="3765">
      <formula>B244=""</formula>
    </cfRule>
  </conditionalFormatting>
  <conditionalFormatting sqref="C245">
    <cfRule type="expression" dxfId="11996" priority="3764">
      <formula>B245=""</formula>
    </cfRule>
  </conditionalFormatting>
  <conditionalFormatting sqref="C246">
    <cfRule type="expression" dxfId="11995" priority="3763">
      <formula>B246=""</formula>
    </cfRule>
  </conditionalFormatting>
  <conditionalFormatting sqref="C247">
    <cfRule type="expression" dxfId="11994" priority="3762">
      <formula>B247=""</formula>
    </cfRule>
  </conditionalFormatting>
  <conditionalFormatting sqref="C248">
    <cfRule type="expression" dxfId="11993" priority="3761">
      <formula>B248=""</formula>
    </cfRule>
  </conditionalFormatting>
  <conditionalFormatting sqref="C249">
    <cfRule type="expression" dxfId="11992" priority="3760">
      <formula>B249=""</formula>
    </cfRule>
  </conditionalFormatting>
  <conditionalFormatting sqref="C250">
    <cfRule type="expression" dxfId="11991" priority="3759">
      <formula>B250=""</formula>
    </cfRule>
  </conditionalFormatting>
  <conditionalFormatting sqref="D230 D232 D234 D236 D238 D240 D242 D244 D246 D248">
    <cfRule type="expression" dxfId="11990" priority="3758">
      <formula>B230=""</formula>
    </cfRule>
  </conditionalFormatting>
  <conditionalFormatting sqref="D231 D233 D235 D237 D239 D241 D243 D245 D247 D249">
    <cfRule type="expression" dxfId="11989" priority="3757">
      <formula>B231=""</formula>
    </cfRule>
  </conditionalFormatting>
  <conditionalFormatting sqref="D232:D242">
    <cfRule type="expression" dxfId="11988" priority="3756">
      <formula>B232=""</formula>
    </cfRule>
  </conditionalFormatting>
  <conditionalFormatting sqref="D243">
    <cfRule type="expression" dxfId="11987" priority="3755">
      <formula>B243=""</formula>
    </cfRule>
  </conditionalFormatting>
  <conditionalFormatting sqref="D244">
    <cfRule type="expression" dxfId="11986" priority="3754">
      <formula>B244=""</formula>
    </cfRule>
  </conditionalFormatting>
  <conditionalFormatting sqref="D245">
    <cfRule type="expression" dxfId="11985" priority="3753">
      <formula>B245=""</formula>
    </cfRule>
  </conditionalFormatting>
  <conditionalFormatting sqref="D246">
    <cfRule type="expression" dxfId="11984" priority="3752">
      <formula>B246=""</formula>
    </cfRule>
  </conditionalFormatting>
  <conditionalFormatting sqref="D247">
    <cfRule type="expression" dxfId="11983" priority="3751">
      <formula>B247=""</formula>
    </cfRule>
  </conditionalFormatting>
  <conditionalFormatting sqref="D248">
    <cfRule type="expression" dxfId="11982" priority="3750">
      <formula>B248=""</formula>
    </cfRule>
  </conditionalFormatting>
  <conditionalFormatting sqref="D249">
    <cfRule type="expression" dxfId="11981" priority="3749">
      <formula>B249=""</formula>
    </cfRule>
  </conditionalFormatting>
  <conditionalFormatting sqref="D250">
    <cfRule type="expression" dxfId="11980" priority="3748">
      <formula>B250=""</formula>
    </cfRule>
  </conditionalFormatting>
  <conditionalFormatting sqref="E230 E232 E234 E236 E238 E240 E242 E244 E246 E248">
    <cfRule type="expression" dxfId="11979" priority="3747">
      <formula>B230=""</formula>
    </cfRule>
  </conditionalFormatting>
  <conditionalFormatting sqref="E231 E233 E235 E237 E239 E241 E243 E245 E247 E249">
    <cfRule type="expression" dxfId="11978" priority="3746">
      <formula>B231=""</formula>
    </cfRule>
  </conditionalFormatting>
  <conditionalFormatting sqref="E232:E242">
    <cfRule type="expression" dxfId="11977" priority="3745">
      <formula>B232=""</formula>
    </cfRule>
  </conditionalFormatting>
  <conditionalFormatting sqref="E243">
    <cfRule type="expression" dxfId="11976" priority="3744">
      <formula>B243=""</formula>
    </cfRule>
  </conditionalFormatting>
  <conditionalFormatting sqref="E244">
    <cfRule type="expression" dxfId="11975" priority="3743">
      <formula>B244=""</formula>
    </cfRule>
  </conditionalFormatting>
  <conditionalFormatting sqref="E245">
    <cfRule type="expression" dxfId="11974" priority="3742">
      <formula>B245=""</formula>
    </cfRule>
  </conditionalFormatting>
  <conditionalFormatting sqref="E246">
    <cfRule type="expression" dxfId="11973" priority="3741">
      <formula>B246=""</formula>
    </cfRule>
  </conditionalFormatting>
  <conditionalFormatting sqref="E247">
    <cfRule type="expression" dxfId="11972" priority="3740">
      <formula>B247=""</formula>
    </cfRule>
  </conditionalFormatting>
  <conditionalFormatting sqref="E248">
    <cfRule type="expression" dxfId="11971" priority="3739">
      <formula>B248=""</formula>
    </cfRule>
  </conditionalFormatting>
  <conditionalFormatting sqref="E249">
    <cfRule type="expression" dxfId="11970" priority="3738">
      <formula>B249=""</formula>
    </cfRule>
  </conditionalFormatting>
  <conditionalFormatting sqref="E250">
    <cfRule type="expression" dxfId="11969" priority="3737">
      <formula>B250=""</formula>
    </cfRule>
  </conditionalFormatting>
  <conditionalFormatting sqref="F230 F232 F234 F236 F238 F240 F242 F244 F246 F248">
    <cfRule type="expression" dxfId="11968" priority="3736">
      <formula>B230=""</formula>
    </cfRule>
  </conditionalFormatting>
  <conditionalFormatting sqref="F231 F233 F235 F237 F239 F241 F243 F245 F247 F249">
    <cfRule type="expression" dxfId="11967" priority="3735">
      <formula>B231=""</formula>
    </cfRule>
  </conditionalFormatting>
  <conditionalFormatting sqref="F232:F242">
    <cfRule type="expression" dxfId="11966" priority="3734">
      <formula>B232=""</formula>
    </cfRule>
  </conditionalFormatting>
  <conditionalFormatting sqref="F243">
    <cfRule type="expression" dxfId="11965" priority="3733">
      <formula>B243=""</formula>
    </cfRule>
  </conditionalFormatting>
  <conditionalFormatting sqref="F244">
    <cfRule type="expression" dxfId="11964" priority="3732">
      <formula>B244=""</formula>
    </cfRule>
  </conditionalFormatting>
  <conditionalFormatting sqref="F245">
    <cfRule type="expression" dxfId="11963" priority="3731">
      <formula>B245=""</formula>
    </cfRule>
  </conditionalFormatting>
  <conditionalFormatting sqref="F246">
    <cfRule type="expression" dxfId="11962" priority="3730">
      <formula>B246=""</formula>
    </cfRule>
  </conditionalFormatting>
  <conditionalFormatting sqref="F247">
    <cfRule type="expression" dxfId="11961" priority="3729">
      <formula>B247=""</formula>
    </cfRule>
  </conditionalFormatting>
  <conditionalFormatting sqref="F248">
    <cfRule type="expression" dxfId="11960" priority="3728">
      <formula>B248=""</formula>
    </cfRule>
  </conditionalFormatting>
  <conditionalFormatting sqref="F249">
    <cfRule type="expression" dxfId="11959" priority="3727">
      <formula>B249=""</formula>
    </cfRule>
  </conditionalFormatting>
  <conditionalFormatting sqref="F250">
    <cfRule type="expression" dxfId="11958" priority="3726">
      <formula>B250=""</formula>
    </cfRule>
  </conditionalFormatting>
  <conditionalFormatting sqref="E231 E233 E235 E237 E239 E241 E243 E245 E247 E249">
    <cfRule type="expression" dxfId="11957" priority="3725">
      <formula>B231=""</formula>
    </cfRule>
  </conditionalFormatting>
  <conditionalFormatting sqref="E232:E242">
    <cfRule type="expression" dxfId="11956" priority="3724">
      <formula>B232=""</formula>
    </cfRule>
  </conditionalFormatting>
  <conditionalFormatting sqref="E243">
    <cfRule type="expression" dxfId="11955" priority="3723">
      <formula>B243=""</formula>
    </cfRule>
  </conditionalFormatting>
  <conditionalFormatting sqref="E244">
    <cfRule type="expression" dxfId="11954" priority="3722">
      <formula>B244=""</formula>
    </cfRule>
  </conditionalFormatting>
  <conditionalFormatting sqref="E245">
    <cfRule type="expression" dxfId="11953" priority="3721">
      <formula>B245=""</formula>
    </cfRule>
  </conditionalFormatting>
  <conditionalFormatting sqref="E246">
    <cfRule type="expression" dxfId="11952" priority="3720">
      <formula>B246=""</formula>
    </cfRule>
  </conditionalFormatting>
  <conditionalFormatting sqref="E247">
    <cfRule type="expression" dxfId="11951" priority="3719">
      <formula>B247=""</formula>
    </cfRule>
  </conditionalFormatting>
  <conditionalFormatting sqref="E248">
    <cfRule type="expression" dxfId="11950" priority="3718">
      <formula>B248=""</formula>
    </cfRule>
  </conditionalFormatting>
  <conditionalFormatting sqref="E249">
    <cfRule type="expression" dxfId="11949" priority="3717">
      <formula>B249=""</formula>
    </cfRule>
  </conditionalFormatting>
  <conditionalFormatting sqref="E250">
    <cfRule type="expression" dxfId="11948" priority="3716">
      <formula>B250=""</formula>
    </cfRule>
  </conditionalFormatting>
  <conditionalFormatting sqref="G230 G232 G234 G236 G238 G240 G242 G244 G246 G248">
    <cfRule type="expression" dxfId="11947" priority="3715">
      <formula>B230=""</formula>
    </cfRule>
  </conditionalFormatting>
  <conditionalFormatting sqref="G231 G233 G235 G237 G239 G241 G243 G245 G247 G249">
    <cfRule type="expression" dxfId="11946" priority="3714">
      <formula>B231=""</formula>
    </cfRule>
  </conditionalFormatting>
  <conditionalFormatting sqref="G232:G242">
    <cfRule type="expression" dxfId="11945" priority="3713">
      <formula>B232=""</formula>
    </cfRule>
  </conditionalFormatting>
  <conditionalFormatting sqref="G243">
    <cfRule type="expression" dxfId="11944" priority="3712">
      <formula>B243=""</formula>
    </cfRule>
  </conditionalFormatting>
  <conditionalFormatting sqref="G244">
    <cfRule type="expression" dxfId="11943" priority="3711">
      <formula>B244=""</formula>
    </cfRule>
  </conditionalFormatting>
  <conditionalFormatting sqref="G245">
    <cfRule type="expression" dxfId="11942" priority="3710">
      <formula>B245=""</formula>
    </cfRule>
  </conditionalFormatting>
  <conditionalFormatting sqref="G246">
    <cfRule type="expression" dxfId="11941" priority="3709">
      <formula>B246=""</formula>
    </cfRule>
  </conditionalFormatting>
  <conditionalFormatting sqref="G247">
    <cfRule type="expression" dxfId="11940" priority="3708">
      <formula>B247=""</formula>
    </cfRule>
  </conditionalFormatting>
  <conditionalFormatting sqref="G248">
    <cfRule type="expression" dxfId="11939" priority="3707">
      <formula>B248=""</formula>
    </cfRule>
  </conditionalFormatting>
  <conditionalFormatting sqref="G249">
    <cfRule type="expression" dxfId="11938" priority="3706">
      <formula>B249=""</formula>
    </cfRule>
  </conditionalFormatting>
  <conditionalFormatting sqref="G250">
    <cfRule type="expression" dxfId="11937" priority="3705">
      <formula>B250=""</formula>
    </cfRule>
  </conditionalFormatting>
  <conditionalFormatting sqref="H230 H232 H234 H236 H238 H240 H242 H244 H246 H248">
    <cfRule type="expression" dxfId="11936" priority="3704">
      <formula>B230=""</formula>
    </cfRule>
  </conditionalFormatting>
  <conditionalFormatting sqref="H231 H233 H235 H237 H239 H241 H243 H245 H247 H249">
    <cfRule type="expression" dxfId="11935" priority="3703">
      <formula>B231=""</formula>
    </cfRule>
  </conditionalFormatting>
  <conditionalFormatting sqref="H232:H242">
    <cfRule type="expression" dxfId="11934" priority="3702">
      <formula>B232=""</formula>
    </cfRule>
  </conditionalFormatting>
  <conditionalFormatting sqref="H243">
    <cfRule type="expression" dxfId="11933" priority="3701">
      <formula>B243=""</formula>
    </cfRule>
  </conditionalFormatting>
  <conditionalFormatting sqref="H244">
    <cfRule type="expression" dxfId="11932" priority="3700">
      <formula>B244=""</formula>
    </cfRule>
  </conditionalFormatting>
  <conditionalFormatting sqref="H245">
    <cfRule type="expression" dxfId="11931" priority="3699">
      <formula>B245=""</formula>
    </cfRule>
  </conditionalFormatting>
  <conditionalFormatting sqref="H246">
    <cfRule type="expression" dxfId="11930" priority="3698">
      <formula>B246=""</formula>
    </cfRule>
  </conditionalFormatting>
  <conditionalFormatting sqref="H247">
    <cfRule type="expression" dxfId="11929" priority="3697">
      <formula>B247=""</formula>
    </cfRule>
  </conditionalFormatting>
  <conditionalFormatting sqref="H248">
    <cfRule type="expression" dxfId="11928" priority="3696">
      <formula>B248=""</formula>
    </cfRule>
  </conditionalFormatting>
  <conditionalFormatting sqref="H249">
    <cfRule type="expression" dxfId="11927" priority="3695">
      <formula>B249=""</formula>
    </cfRule>
  </conditionalFormatting>
  <conditionalFormatting sqref="H250">
    <cfRule type="expression" dxfId="11926" priority="3694">
      <formula>B250=""</formula>
    </cfRule>
  </conditionalFormatting>
  <conditionalFormatting sqref="C252:C271">
    <cfRule type="expression" dxfId="11925" priority="3693">
      <formula>B252=""</formula>
    </cfRule>
  </conditionalFormatting>
  <conditionalFormatting sqref="C253 C255 C257 C259 C261 C263 C265 C267 C269 C271">
    <cfRule type="expression" dxfId="11924" priority="3692">
      <formula>B253=""</formula>
    </cfRule>
  </conditionalFormatting>
  <conditionalFormatting sqref="C254:C264">
    <cfRule type="expression" dxfId="11923" priority="3691">
      <formula>B254=""</formula>
    </cfRule>
  </conditionalFormatting>
  <conditionalFormatting sqref="C265">
    <cfRule type="expression" dxfId="11922" priority="3690">
      <formula>B265=""</formula>
    </cfRule>
  </conditionalFormatting>
  <conditionalFormatting sqref="C266">
    <cfRule type="expression" dxfId="11921" priority="3689">
      <formula>B266=""</formula>
    </cfRule>
  </conditionalFormatting>
  <conditionalFormatting sqref="C267">
    <cfRule type="expression" dxfId="11920" priority="3688">
      <formula>B267=""</formula>
    </cfRule>
  </conditionalFormatting>
  <conditionalFormatting sqref="C268">
    <cfRule type="expression" dxfId="11919" priority="3687">
      <formula>B268=""</formula>
    </cfRule>
  </conditionalFormatting>
  <conditionalFormatting sqref="C269">
    <cfRule type="expression" dxfId="11918" priority="3686">
      <formula>B269=""</formula>
    </cfRule>
  </conditionalFormatting>
  <conditionalFormatting sqref="C270">
    <cfRule type="expression" dxfId="11917" priority="3685">
      <formula>B270=""</formula>
    </cfRule>
  </conditionalFormatting>
  <conditionalFormatting sqref="C271">
    <cfRule type="expression" dxfId="11916" priority="3684">
      <formula>B271=""</formula>
    </cfRule>
  </conditionalFormatting>
  <conditionalFormatting sqref="C272">
    <cfRule type="expression" dxfId="11915" priority="3683">
      <formula>B272=""</formula>
    </cfRule>
  </conditionalFormatting>
  <conditionalFormatting sqref="D252 D254 D256 D258 D260 D262 D264 D266 D268 D270">
    <cfRule type="expression" dxfId="11914" priority="3682">
      <formula>B252=""</formula>
    </cfRule>
  </conditionalFormatting>
  <conditionalFormatting sqref="D253 D255 D257 D259 D261 D263 D265 D267 D269 D271">
    <cfRule type="expression" dxfId="11913" priority="3681">
      <formula>B253=""</formula>
    </cfRule>
  </conditionalFormatting>
  <conditionalFormatting sqref="D254:D264">
    <cfRule type="expression" dxfId="11912" priority="3680">
      <formula>B254=""</formula>
    </cfRule>
  </conditionalFormatting>
  <conditionalFormatting sqref="D265">
    <cfRule type="expression" dxfId="11911" priority="3679">
      <formula>B265=""</formula>
    </cfRule>
  </conditionalFormatting>
  <conditionalFormatting sqref="D266">
    <cfRule type="expression" dxfId="11910" priority="3678">
      <formula>B266=""</formula>
    </cfRule>
  </conditionalFormatting>
  <conditionalFormatting sqref="D267">
    <cfRule type="expression" dxfId="11909" priority="3677">
      <formula>B267=""</formula>
    </cfRule>
  </conditionalFormatting>
  <conditionalFormatting sqref="D268">
    <cfRule type="expression" dxfId="11908" priority="3676">
      <formula>B268=""</formula>
    </cfRule>
  </conditionalFormatting>
  <conditionalFormatting sqref="D269">
    <cfRule type="expression" dxfId="11907" priority="3675">
      <formula>B269=""</formula>
    </cfRule>
  </conditionalFormatting>
  <conditionalFormatting sqref="D270">
    <cfRule type="expression" dxfId="11906" priority="3674">
      <formula>B270=""</formula>
    </cfRule>
  </conditionalFormatting>
  <conditionalFormatting sqref="D271">
    <cfRule type="expression" dxfId="11905" priority="3673">
      <formula>B271=""</formula>
    </cfRule>
  </conditionalFormatting>
  <conditionalFormatting sqref="D272">
    <cfRule type="expression" dxfId="11904" priority="3672">
      <formula>B272=""</formula>
    </cfRule>
  </conditionalFormatting>
  <conditionalFormatting sqref="E252 E254 E256 E258 E260 E262 E264 E266 E268 E270">
    <cfRule type="expression" dxfId="11903" priority="3671">
      <formula>B252=""</formula>
    </cfRule>
  </conditionalFormatting>
  <conditionalFormatting sqref="E253 E255 E257 E259 E261 E263 E265 E267 E269 E271">
    <cfRule type="expression" dxfId="11902" priority="3670">
      <formula>B253=""</formula>
    </cfRule>
  </conditionalFormatting>
  <conditionalFormatting sqref="E254:E264">
    <cfRule type="expression" dxfId="11901" priority="3669">
      <formula>B254=""</formula>
    </cfRule>
  </conditionalFormatting>
  <conditionalFormatting sqref="E265">
    <cfRule type="expression" dxfId="11900" priority="3668">
      <formula>B265=""</formula>
    </cfRule>
  </conditionalFormatting>
  <conditionalFormatting sqref="E266">
    <cfRule type="expression" dxfId="11899" priority="3667">
      <formula>B266=""</formula>
    </cfRule>
  </conditionalFormatting>
  <conditionalFormatting sqref="E267">
    <cfRule type="expression" dxfId="11898" priority="3666">
      <formula>B267=""</formula>
    </cfRule>
  </conditionalFormatting>
  <conditionalFormatting sqref="E268">
    <cfRule type="expression" dxfId="11897" priority="3665">
      <formula>B268=""</formula>
    </cfRule>
  </conditionalFormatting>
  <conditionalFormatting sqref="E269">
    <cfRule type="expression" dxfId="11896" priority="3664">
      <formula>B269=""</formula>
    </cfRule>
  </conditionalFormatting>
  <conditionalFormatting sqref="E270">
    <cfRule type="expression" dxfId="11895" priority="3663">
      <formula>B270=""</formula>
    </cfRule>
  </conditionalFormatting>
  <conditionalFormatting sqref="E271">
    <cfRule type="expression" dxfId="11894" priority="3662">
      <formula>B271=""</formula>
    </cfRule>
  </conditionalFormatting>
  <conditionalFormatting sqref="E272">
    <cfRule type="expression" dxfId="11893" priority="3661">
      <formula>B272=""</formula>
    </cfRule>
  </conditionalFormatting>
  <conditionalFormatting sqref="F252 F254 F256 F258 F260 F262 F264 F266 F268 F270">
    <cfRule type="expression" dxfId="11892" priority="3660">
      <formula>B252=""</formula>
    </cfRule>
  </conditionalFormatting>
  <conditionalFormatting sqref="F253 F255 F257 F259 F261 F263 F265 F267 F269 F271">
    <cfRule type="expression" dxfId="11891" priority="3659">
      <formula>B253=""</formula>
    </cfRule>
  </conditionalFormatting>
  <conditionalFormatting sqref="F254:F264">
    <cfRule type="expression" dxfId="11890" priority="3658">
      <formula>B254=""</formula>
    </cfRule>
  </conditionalFormatting>
  <conditionalFormatting sqref="F265">
    <cfRule type="expression" dxfId="11889" priority="3657">
      <formula>B265=""</formula>
    </cfRule>
  </conditionalFormatting>
  <conditionalFormatting sqref="F266">
    <cfRule type="expression" dxfId="11888" priority="3656">
      <formula>B266=""</formula>
    </cfRule>
  </conditionalFormatting>
  <conditionalFormatting sqref="F267">
    <cfRule type="expression" dxfId="11887" priority="3655">
      <formula>B267=""</formula>
    </cfRule>
  </conditionalFormatting>
  <conditionalFormatting sqref="F268">
    <cfRule type="expression" dxfId="11886" priority="3654">
      <formula>B268=""</formula>
    </cfRule>
  </conditionalFormatting>
  <conditionalFormatting sqref="F269">
    <cfRule type="expression" dxfId="11885" priority="3653">
      <formula>B269=""</formula>
    </cfRule>
  </conditionalFormatting>
  <conditionalFormatting sqref="F270">
    <cfRule type="expression" dxfId="11884" priority="3652">
      <formula>B270=""</formula>
    </cfRule>
  </conditionalFormatting>
  <conditionalFormatting sqref="F271">
    <cfRule type="expression" dxfId="11883" priority="3651">
      <formula>B271=""</formula>
    </cfRule>
  </conditionalFormatting>
  <conditionalFormatting sqref="F272">
    <cfRule type="expression" dxfId="11882" priority="3650">
      <formula>B272=""</formula>
    </cfRule>
  </conditionalFormatting>
  <conditionalFormatting sqref="E253 E255 E257 E259 E261 E263 E265 E267 E269 E271">
    <cfRule type="expression" dxfId="11881" priority="3649">
      <formula>B253=""</formula>
    </cfRule>
  </conditionalFormatting>
  <conditionalFormatting sqref="E254:E264">
    <cfRule type="expression" dxfId="11880" priority="3648">
      <formula>B254=""</formula>
    </cfRule>
  </conditionalFormatting>
  <conditionalFormatting sqref="E265">
    <cfRule type="expression" dxfId="11879" priority="3647">
      <formula>B265=""</formula>
    </cfRule>
  </conditionalFormatting>
  <conditionalFormatting sqref="E266">
    <cfRule type="expression" dxfId="11878" priority="3646">
      <formula>B266=""</formula>
    </cfRule>
  </conditionalFormatting>
  <conditionalFormatting sqref="E267">
    <cfRule type="expression" dxfId="11877" priority="3645">
      <formula>B267=""</formula>
    </cfRule>
  </conditionalFormatting>
  <conditionalFormatting sqref="E268">
    <cfRule type="expression" dxfId="11876" priority="3644">
      <formula>B268=""</formula>
    </cfRule>
  </conditionalFormatting>
  <conditionalFormatting sqref="E269">
    <cfRule type="expression" dxfId="11875" priority="3643">
      <formula>B269=""</formula>
    </cfRule>
  </conditionalFormatting>
  <conditionalFormatting sqref="E270">
    <cfRule type="expression" dxfId="11874" priority="3642">
      <formula>B270=""</formula>
    </cfRule>
  </conditionalFormatting>
  <conditionalFormatting sqref="E271">
    <cfRule type="expression" dxfId="11873" priority="3641">
      <formula>B271=""</formula>
    </cfRule>
  </conditionalFormatting>
  <conditionalFormatting sqref="E272">
    <cfRule type="expression" dxfId="11872" priority="3640">
      <formula>B272=""</formula>
    </cfRule>
  </conditionalFormatting>
  <conditionalFormatting sqref="G252 G254 G256 G258 G260 G262 G264 G266 G268 G270">
    <cfRule type="expression" dxfId="11871" priority="3639">
      <formula>B252=""</formula>
    </cfRule>
  </conditionalFormatting>
  <conditionalFormatting sqref="G253 G255 G257 G259 G261 G263 G265 G267 G269 G271">
    <cfRule type="expression" dxfId="11870" priority="3638">
      <formula>B253=""</formula>
    </cfRule>
  </conditionalFormatting>
  <conditionalFormatting sqref="G254:G264">
    <cfRule type="expression" dxfId="11869" priority="3637">
      <formula>B254=""</formula>
    </cfRule>
  </conditionalFormatting>
  <conditionalFormatting sqref="G265">
    <cfRule type="expression" dxfId="11868" priority="3636">
      <formula>B265=""</formula>
    </cfRule>
  </conditionalFormatting>
  <conditionalFormatting sqref="G266">
    <cfRule type="expression" dxfId="11867" priority="3635">
      <formula>B266=""</formula>
    </cfRule>
  </conditionalFormatting>
  <conditionalFormatting sqref="G267">
    <cfRule type="expression" dxfId="11866" priority="3634">
      <formula>B267=""</formula>
    </cfRule>
  </conditionalFormatting>
  <conditionalFormatting sqref="G268">
    <cfRule type="expression" dxfId="11865" priority="3633">
      <formula>B268=""</formula>
    </cfRule>
  </conditionalFormatting>
  <conditionalFormatting sqref="G269">
    <cfRule type="expression" dxfId="11864" priority="3632">
      <formula>B269=""</formula>
    </cfRule>
  </conditionalFormatting>
  <conditionalFormatting sqref="G270">
    <cfRule type="expression" dxfId="11863" priority="3631">
      <formula>B270=""</formula>
    </cfRule>
  </conditionalFormatting>
  <conditionalFormatting sqref="G271">
    <cfRule type="expression" dxfId="11862" priority="3630">
      <formula>B271=""</formula>
    </cfRule>
  </conditionalFormatting>
  <conditionalFormatting sqref="G272">
    <cfRule type="expression" dxfId="11861" priority="3629">
      <formula>B272=""</formula>
    </cfRule>
  </conditionalFormatting>
  <conditionalFormatting sqref="H252 H254 H256 H258 H260 H262 H264 H266 H268 H270">
    <cfRule type="expression" dxfId="11860" priority="3628">
      <formula>B252=""</formula>
    </cfRule>
  </conditionalFormatting>
  <conditionalFormatting sqref="H253 H255 H257 H259 H261 H263 H265 H267 H269 H271">
    <cfRule type="expression" dxfId="11859" priority="3627">
      <formula>B253=""</formula>
    </cfRule>
  </conditionalFormatting>
  <conditionalFormatting sqref="H254:H264">
    <cfRule type="expression" dxfId="11858" priority="3626">
      <formula>B254=""</formula>
    </cfRule>
  </conditionalFormatting>
  <conditionalFormatting sqref="H265">
    <cfRule type="expression" dxfId="11857" priority="3625">
      <formula>B265=""</formula>
    </cfRule>
  </conditionalFormatting>
  <conditionalFormatting sqref="H266">
    <cfRule type="expression" dxfId="11856" priority="3624">
      <formula>B266=""</formula>
    </cfRule>
  </conditionalFormatting>
  <conditionalFormatting sqref="H267">
    <cfRule type="expression" dxfId="11855" priority="3623">
      <formula>B267=""</formula>
    </cfRule>
  </conditionalFormatting>
  <conditionalFormatting sqref="H268">
    <cfRule type="expression" dxfId="11854" priority="3622">
      <formula>B268=""</formula>
    </cfRule>
  </conditionalFormatting>
  <conditionalFormatting sqref="H269">
    <cfRule type="expression" dxfId="11853" priority="3621">
      <formula>B269=""</formula>
    </cfRule>
  </conditionalFormatting>
  <conditionalFormatting sqref="H270">
    <cfRule type="expression" dxfId="11852" priority="3620">
      <formula>B270=""</formula>
    </cfRule>
  </conditionalFormatting>
  <conditionalFormatting sqref="H271">
    <cfRule type="expression" dxfId="11851" priority="3619">
      <formula>B271=""</formula>
    </cfRule>
  </conditionalFormatting>
  <conditionalFormatting sqref="H272">
    <cfRule type="expression" dxfId="11850" priority="3618">
      <formula>B272=""</formula>
    </cfRule>
  </conditionalFormatting>
  <conditionalFormatting sqref="C274:C294">
    <cfRule type="expression" dxfId="11849" priority="3617">
      <formula>B274=""</formula>
    </cfRule>
  </conditionalFormatting>
  <conditionalFormatting sqref="C275 C277 C279 C281 C283 C285 C287 C289 C291 C293">
    <cfRule type="expression" dxfId="11848" priority="3616">
      <formula>B275=""</formula>
    </cfRule>
  </conditionalFormatting>
  <conditionalFormatting sqref="C276:C286">
    <cfRule type="expression" dxfId="11847" priority="3615">
      <formula>B276=""</formula>
    </cfRule>
  </conditionalFormatting>
  <conditionalFormatting sqref="C287">
    <cfRule type="expression" dxfId="11846" priority="3614">
      <formula>B287=""</formula>
    </cfRule>
  </conditionalFormatting>
  <conditionalFormatting sqref="C288">
    <cfRule type="expression" dxfId="11845" priority="3613">
      <formula>B288=""</formula>
    </cfRule>
  </conditionalFormatting>
  <conditionalFormatting sqref="C289">
    <cfRule type="expression" dxfId="11844" priority="3612">
      <formula>B289=""</formula>
    </cfRule>
  </conditionalFormatting>
  <conditionalFormatting sqref="C290">
    <cfRule type="expression" dxfId="11843" priority="3611">
      <formula>B290=""</formula>
    </cfRule>
  </conditionalFormatting>
  <conditionalFormatting sqref="C291">
    <cfRule type="expression" dxfId="11842" priority="3610">
      <formula>B291=""</formula>
    </cfRule>
  </conditionalFormatting>
  <conditionalFormatting sqref="C292">
    <cfRule type="expression" dxfId="11841" priority="3609">
      <formula>B292=""</formula>
    </cfRule>
  </conditionalFormatting>
  <conditionalFormatting sqref="C293">
    <cfRule type="expression" dxfId="11840" priority="3608">
      <formula>B293=""</formula>
    </cfRule>
  </conditionalFormatting>
  <conditionalFormatting sqref="C294">
    <cfRule type="expression" dxfId="11839" priority="3607">
      <formula>B294=""</formula>
    </cfRule>
  </conditionalFormatting>
  <conditionalFormatting sqref="D274 D276 D278 D280 D282 D284 D286 D288 D290 D292">
    <cfRule type="expression" dxfId="11838" priority="3606">
      <formula>B274=""</formula>
    </cfRule>
  </conditionalFormatting>
  <conditionalFormatting sqref="D275 D277 D279 D281 D283 D285 D287 D289 D291 D293">
    <cfRule type="expression" dxfId="11837" priority="3605">
      <formula>B275=""</formula>
    </cfRule>
  </conditionalFormatting>
  <conditionalFormatting sqref="D276:D286">
    <cfRule type="expression" dxfId="11836" priority="3604">
      <formula>B276=""</formula>
    </cfRule>
  </conditionalFormatting>
  <conditionalFormatting sqref="D287">
    <cfRule type="expression" dxfId="11835" priority="3603">
      <formula>B287=""</formula>
    </cfRule>
  </conditionalFormatting>
  <conditionalFormatting sqref="D288">
    <cfRule type="expression" dxfId="11834" priority="3602">
      <formula>B288=""</formula>
    </cfRule>
  </conditionalFormatting>
  <conditionalFormatting sqref="D289">
    <cfRule type="expression" dxfId="11833" priority="3601">
      <formula>B289=""</formula>
    </cfRule>
  </conditionalFormatting>
  <conditionalFormatting sqref="D290">
    <cfRule type="expression" dxfId="11832" priority="3600">
      <formula>B290=""</formula>
    </cfRule>
  </conditionalFormatting>
  <conditionalFormatting sqref="D291">
    <cfRule type="expression" dxfId="11831" priority="3599">
      <formula>B291=""</formula>
    </cfRule>
  </conditionalFormatting>
  <conditionalFormatting sqref="D292">
    <cfRule type="expression" dxfId="11830" priority="3598">
      <formula>B292=""</formula>
    </cfRule>
  </conditionalFormatting>
  <conditionalFormatting sqref="D293">
    <cfRule type="expression" dxfId="11829" priority="3597">
      <formula>B293=""</formula>
    </cfRule>
  </conditionalFormatting>
  <conditionalFormatting sqref="D294">
    <cfRule type="expression" dxfId="11828" priority="3596">
      <formula>B294=""</formula>
    </cfRule>
  </conditionalFormatting>
  <conditionalFormatting sqref="E274 E276 E278 E280 E282 E284 E286 E288 E290 E292">
    <cfRule type="expression" dxfId="11827" priority="3595">
      <formula>B274=""</formula>
    </cfRule>
  </conditionalFormatting>
  <conditionalFormatting sqref="E275 E277 E279 E281 E283 E285 E287 E289 E291 E293">
    <cfRule type="expression" dxfId="11826" priority="3594">
      <formula>B275=""</formula>
    </cfRule>
  </conditionalFormatting>
  <conditionalFormatting sqref="E276:E286">
    <cfRule type="expression" dxfId="11825" priority="3593">
      <formula>B276=""</formula>
    </cfRule>
  </conditionalFormatting>
  <conditionalFormatting sqref="E287">
    <cfRule type="expression" dxfId="11824" priority="3592">
      <formula>B287=""</formula>
    </cfRule>
  </conditionalFormatting>
  <conditionalFormatting sqref="E288">
    <cfRule type="expression" dxfId="11823" priority="3591">
      <formula>B288=""</formula>
    </cfRule>
  </conditionalFormatting>
  <conditionalFormatting sqref="E289">
    <cfRule type="expression" dxfId="11822" priority="3590">
      <formula>B289=""</formula>
    </cfRule>
  </conditionalFormatting>
  <conditionalFormatting sqref="E290">
    <cfRule type="expression" dxfId="11821" priority="3589">
      <formula>B290=""</formula>
    </cfRule>
  </conditionalFormatting>
  <conditionalFormatting sqref="E291">
    <cfRule type="expression" dxfId="11820" priority="3588">
      <formula>B291=""</formula>
    </cfRule>
  </conditionalFormatting>
  <conditionalFormatting sqref="E292">
    <cfRule type="expression" dxfId="11819" priority="3587">
      <formula>B292=""</formula>
    </cfRule>
  </conditionalFormatting>
  <conditionalFormatting sqref="E293">
    <cfRule type="expression" dxfId="11818" priority="3586">
      <formula>B293=""</formula>
    </cfRule>
  </conditionalFormatting>
  <conditionalFormatting sqref="E294">
    <cfRule type="expression" dxfId="11817" priority="3585">
      <formula>B294=""</formula>
    </cfRule>
  </conditionalFormatting>
  <conditionalFormatting sqref="F274 F276 F278 F280 F282 F284 F286 F288 F290 F292">
    <cfRule type="expression" dxfId="11816" priority="3584">
      <formula>B274=""</formula>
    </cfRule>
  </conditionalFormatting>
  <conditionalFormatting sqref="F275 F277 F279 F281 F283 F285 F287 F289 F291 F293">
    <cfRule type="expression" dxfId="11815" priority="3583">
      <formula>B275=""</formula>
    </cfRule>
  </conditionalFormatting>
  <conditionalFormatting sqref="F276:F286">
    <cfRule type="expression" dxfId="11814" priority="3582">
      <formula>B276=""</formula>
    </cfRule>
  </conditionalFormatting>
  <conditionalFormatting sqref="F287">
    <cfRule type="expression" dxfId="11813" priority="3581">
      <formula>B287=""</formula>
    </cfRule>
  </conditionalFormatting>
  <conditionalFormatting sqref="F288">
    <cfRule type="expression" dxfId="11812" priority="3580">
      <formula>B288=""</formula>
    </cfRule>
  </conditionalFormatting>
  <conditionalFormatting sqref="F289">
    <cfRule type="expression" dxfId="11811" priority="3579">
      <formula>B289=""</formula>
    </cfRule>
  </conditionalFormatting>
  <conditionalFormatting sqref="F290">
    <cfRule type="expression" dxfId="11810" priority="3578">
      <formula>B290=""</formula>
    </cfRule>
  </conditionalFormatting>
  <conditionalFormatting sqref="F291">
    <cfRule type="expression" dxfId="11809" priority="3577">
      <formula>B291=""</formula>
    </cfRule>
  </conditionalFormatting>
  <conditionalFormatting sqref="F292">
    <cfRule type="expression" dxfId="11808" priority="3576">
      <formula>B292=""</formula>
    </cfRule>
  </conditionalFormatting>
  <conditionalFormatting sqref="F293">
    <cfRule type="expression" dxfId="11807" priority="3575">
      <formula>B293=""</formula>
    </cfRule>
  </conditionalFormatting>
  <conditionalFormatting sqref="F294">
    <cfRule type="expression" dxfId="11806" priority="3574">
      <formula>B294=""</formula>
    </cfRule>
  </conditionalFormatting>
  <conditionalFormatting sqref="E275 E277 E279 E281 E283 E285 E287 E289 E291 E293">
    <cfRule type="expression" dxfId="11805" priority="3573">
      <formula>B275=""</formula>
    </cfRule>
  </conditionalFormatting>
  <conditionalFormatting sqref="E276:E286">
    <cfRule type="expression" dxfId="11804" priority="3572">
      <formula>B276=""</formula>
    </cfRule>
  </conditionalFormatting>
  <conditionalFormatting sqref="E287">
    <cfRule type="expression" dxfId="11803" priority="3571">
      <formula>B287=""</formula>
    </cfRule>
  </conditionalFormatting>
  <conditionalFormatting sqref="E288">
    <cfRule type="expression" dxfId="11802" priority="3570">
      <formula>B288=""</formula>
    </cfRule>
  </conditionalFormatting>
  <conditionalFormatting sqref="E289">
    <cfRule type="expression" dxfId="11801" priority="3569">
      <formula>B289=""</formula>
    </cfRule>
  </conditionalFormatting>
  <conditionalFormatting sqref="E290">
    <cfRule type="expression" dxfId="11800" priority="3568">
      <formula>B290=""</formula>
    </cfRule>
  </conditionalFormatting>
  <conditionalFormatting sqref="E291">
    <cfRule type="expression" dxfId="11799" priority="3567">
      <formula>B291=""</formula>
    </cfRule>
  </conditionalFormatting>
  <conditionalFormatting sqref="E292">
    <cfRule type="expression" dxfId="11798" priority="3566">
      <formula>B292=""</formula>
    </cfRule>
  </conditionalFormatting>
  <conditionalFormatting sqref="E293">
    <cfRule type="expression" dxfId="11797" priority="3565">
      <formula>B293=""</formula>
    </cfRule>
  </conditionalFormatting>
  <conditionalFormatting sqref="E294">
    <cfRule type="expression" dxfId="11796" priority="3564">
      <formula>B294=""</formula>
    </cfRule>
  </conditionalFormatting>
  <conditionalFormatting sqref="G274 G276 G278 G280 G282 G284 G286 G288 G290 G292">
    <cfRule type="expression" dxfId="11795" priority="3563">
      <formula>B274=""</formula>
    </cfRule>
  </conditionalFormatting>
  <conditionalFormatting sqref="G275 G277 G279 G281 G283 G285 G287 G289 G291 G293">
    <cfRule type="expression" dxfId="11794" priority="3562">
      <formula>B275=""</formula>
    </cfRule>
  </conditionalFormatting>
  <conditionalFormatting sqref="G276:G286">
    <cfRule type="expression" dxfId="11793" priority="3561">
      <formula>B276=""</formula>
    </cfRule>
  </conditionalFormatting>
  <conditionalFormatting sqref="G287">
    <cfRule type="expression" dxfId="11792" priority="3560">
      <formula>B287=""</formula>
    </cfRule>
  </conditionalFormatting>
  <conditionalFormatting sqref="G288">
    <cfRule type="expression" dxfId="11791" priority="3559">
      <formula>B288=""</formula>
    </cfRule>
  </conditionalFormatting>
  <conditionalFormatting sqref="G289">
    <cfRule type="expression" dxfId="11790" priority="3558">
      <formula>B289=""</formula>
    </cfRule>
  </conditionalFormatting>
  <conditionalFormatting sqref="G290">
    <cfRule type="expression" dxfId="11789" priority="3557">
      <formula>B290=""</formula>
    </cfRule>
  </conditionalFormatting>
  <conditionalFormatting sqref="G291">
    <cfRule type="expression" dxfId="11788" priority="3556">
      <formula>B291=""</formula>
    </cfRule>
  </conditionalFormatting>
  <conditionalFormatting sqref="G292">
    <cfRule type="expression" dxfId="11787" priority="3555">
      <formula>B292=""</formula>
    </cfRule>
  </conditionalFormatting>
  <conditionalFormatting sqref="G293">
    <cfRule type="expression" dxfId="11786" priority="3554">
      <formula>B293=""</formula>
    </cfRule>
  </conditionalFormatting>
  <conditionalFormatting sqref="G294">
    <cfRule type="expression" dxfId="11785" priority="3553">
      <formula>B294=""</formula>
    </cfRule>
  </conditionalFormatting>
  <conditionalFormatting sqref="H274 H276 H278 H280 H282 H284 H286 H288 H290 H292">
    <cfRule type="expression" dxfId="11784" priority="3552">
      <formula>B274=""</formula>
    </cfRule>
  </conditionalFormatting>
  <conditionalFormatting sqref="H275 H277 H279 H281 H283 H285 H287 H289 H291 H293">
    <cfRule type="expression" dxfId="11783" priority="3551">
      <formula>B275=""</formula>
    </cfRule>
  </conditionalFormatting>
  <conditionalFormatting sqref="H276:H286">
    <cfRule type="expression" dxfId="11782" priority="3550">
      <formula>B276=""</formula>
    </cfRule>
  </conditionalFormatting>
  <conditionalFormatting sqref="H287">
    <cfRule type="expression" dxfId="11781" priority="3549">
      <formula>B287=""</formula>
    </cfRule>
  </conditionalFormatting>
  <conditionalFormatting sqref="H288">
    <cfRule type="expression" dxfId="11780" priority="3548">
      <formula>B288=""</formula>
    </cfRule>
  </conditionalFormatting>
  <conditionalFormatting sqref="H289">
    <cfRule type="expression" dxfId="11779" priority="3547">
      <formula>B289=""</formula>
    </cfRule>
  </conditionalFormatting>
  <conditionalFormatting sqref="H290">
    <cfRule type="expression" dxfId="11778" priority="3546">
      <formula>B290=""</formula>
    </cfRule>
  </conditionalFormatting>
  <conditionalFormatting sqref="H291">
    <cfRule type="expression" dxfId="11777" priority="3545">
      <formula>B291=""</formula>
    </cfRule>
  </conditionalFormatting>
  <conditionalFormatting sqref="H292">
    <cfRule type="expression" dxfId="11776" priority="3544">
      <formula>B292=""</formula>
    </cfRule>
  </conditionalFormatting>
  <conditionalFormatting sqref="H293">
    <cfRule type="expression" dxfId="11775" priority="3543">
      <formula>B293=""</formula>
    </cfRule>
  </conditionalFormatting>
  <conditionalFormatting sqref="H294">
    <cfRule type="expression" dxfId="11774" priority="3542">
      <formula>B294=""</formula>
    </cfRule>
  </conditionalFormatting>
  <conditionalFormatting sqref="C249">
    <cfRule type="expression" dxfId="11773" priority="3541">
      <formula>B249=""</formula>
    </cfRule>
  </conditionalFormatting>
  <conditionalFormatting sqref="C271">
    <cfRule type="expression" dxfId="11772" priority="3540">
      <formula>B271=""</formula>
    </cfRule>
  </conditionalFormatting>
  <conditionalFormatting sqref="C293">
    <cfRule type="expression" dxfId="11771" priority="3539">
      <formula>B293=""</formula>
    </cfRule>
  </conditionalFormatting>
  <conditionalFormatting sqref="C208:C228">
    <cfRule type="expression" dxfId="11770" priority="3538">
      <formula>B208=""</formula>
    </cfRule>
  </conditionalFormatting>
  <conditionalFormatting sqref="C209">
    <cfRule type="expression" dxfId="11769" priority="3537">
      <formula>B209=""</formula>
    </cfRule>
  </conditionalFormatting>
  <conditionalFormatting sqref="C210:C220">
    <cfRule type="expression" dxfId="11768" priority="3536">
      <formula>B210=""</formula>
    </cfRule>
  </conditionalFormatting>
  <conditionalFormatting sqref="C221">
    <cfRule type="expression" dxfId="11767" priority="3535">
      <formula>B221=""</formula>
    </cfRule>
  </conditionalFormatting>
  <conditionalFormatting sqref="C222">
    <cfRule type="expression" dxfId="11766" priority="3534">
      <formula>B222=""</formula>
    </cfRule>
  </conditionalFormatting>
  <conditionalFormatting sqref="C223">
    <cfRule type="expression" dxfId="11765" priority="3533">
      <formula>B223=""</formula>
    </cfRule>
  </conditionalFormatting>
  <conditionalFormatting sqref="C224">
    <cfRule type="expression" dxfId="11764" priority="3532">
      <formula>B224=""</formula>
    </cfRule>
  </conditionalFormatting>
  <conditionalFormatting sqref="C225">
    <cfRule type="expression" dxfId="11763" priority="3531">
      <formula>B225=""</formula>
    </cfRule>
  </conditionalFormatting>
  <conditionalFormatting sqref="C226">
    <cfRule type="expression" dxfId="11762" priority="3530">
      <formula>B226=""</formula>
    </cfRule>
  </conditionalFormatting>
  <conditionalFormatting sqref="C227">
    <cfRule type="expression" dxfId="11761" priority="3529">
      <formula>B227=""</formula>
    </cfRule>
  </conditionalFormatting>
  <conditionalFormatting sqref="C228">
    <cfRule type="expression" dxfId="11760" priority="3528">
      <formula>B228=""</formula>
    </cfRule>
  </conditionalFormatting>
  <conditionalFormatting sqref="C230:C250">
    <cfRule type="expression" dxfId="11759" priority="3527">
      <formula>B230=""</formula>
    </cfRule>
  </conditionalFormatting>
  <conditionalFormatting sqref="C231 C233 C235 C237 C239 C241 C243 C245 C247 C249">
    <cfRule type="expression" dxfId="11758" priority="3526">
      <formula>B231=""</formula>
    </cfRule>
  </conditionalFormatting>
  <conditionalFormatting sqref="C232:C242">
    <cfRule type="expression" dxfId="11757" priority="3525">
      <formula>B232=""</formula>
    </cfRule>
  </conditionalFormatting>
  <conditionalFormatting sqref="C243">
    <cfRule type="expression" dxfId="11756" priority="3524">
      <formula>B243=""</formula>
    </cfRule>
  </conditionalFormatting>
  <conditionalFormatting sqref="C244">
    <cfRule type="expression" dxfId="11755" priority="3523">
      <formula>B244=""</formula>
    </cfRule>
  </conditionalFormatting>
  <conditionalFormatting sqref="C245">
    <cfRule type="expression" dxfId="11754" priority="3522">
      <formula>B245=""</formula>
    </cfRule>
  </conditionalFormatting>
  <conditionalFormatting sqref="C246">
    <cfRule type="expression" dxfId="11753" priority="3521">
      <formula>B246=""</formula>
    </cfRule>
  </conditionalFormatting>
  <conditionalFormatting sqref="C247">
    <cfRule type="expression" dxfId="11752" priority="3520">
      <formula>B247=""</formula>
    </cfRule>
  </conditionalFormatting>
  <conditionalFormatting sqref="C248">
    <cfRule type="expression" dxfId="11751" priority="3519">
      <formula>B248=""</formula>
    </cfRule>
  </conditionalFormatting>
  <conditionalFormatting sqref="C249">
    <cfRule type="expression" dxfId="11750" priority="3518">
      <formula>B249=""</formula>
    </cfRule>
  </conditionalFormatting>
  <conditionalFormatting sqref="C250">
    <cfRule type="expression" dxfId="11749" priority="3517">
      <formula>B250=""</formula>
    </cfRule>
  </conditionalFormatting>
  <conditionalFormatting sqref="C252:C271">
    <cfRule type="expression" dxfId="11748" priority="3516">
      <formula>B252=""</formula>
    </cfRule>
  </conditionalFormatting>
  <conditionalFormatting sqref="C253 C255 C257 C259 C261 C263 C265 C267 C269 C271">
    <cfRule type="expression" dxfId="11747" priority="3515">
      <formula>B253=""</formula>
    </cfRule>
  </conditionalFormatting>
  <conditionalFormatting sqref="C254:C264">
    <cfRule type="expression" dxfId="11746" priority="3514">
      <formula>B254=""</formula>
    </cfRule>
  </conditionalFormatting>
  <conditionalFormatting sqref="C265">
    <cfRule type="expression" dxfId="11745" priority="3513">
      <formula>B265=""</formula>
    </cfRule>
  </conditionalFormatting>
  <conditionalFormatting sqref="C266">
    <cfRule type="expression" dxfId="11744" priority="3512">
      <formula>B266=""</formula>
    </cfRule>
  </conditionalFormatting>
  <conditionalFormatting sqref="C267">
    <cfRule type="expression" dxfId="11743" priority="3511">
      <formula>B267=""</formula>
    </cfRule>
  </conditionalFormatting>
  <conditionalFormatting sqref="C268">
    <cfRule type="expression" dxfId="11742" priority="3510">
      <formula>B268=""</formula>
    </cfRule>
  </conditionalFormatting>
  <conditionalFormatting sqref="C269">
    <cfRule type="expression" dxfId="11741" priority="3509">
      <formula>B269=""</formula>
    </cfRule>
  </conditionalFormatting>
  <conditionalFormatting sqref="C270">
    <cfRule type="expression" dxfId="11740" priority="3508">
      <formula>B270=""</formula>
    </cfRule>
  </conditionalFormatting>
  <conditionalFormatting sqref="C271">
    <cfRule type="expression" dxfId="11739" priority="3507">
      <formula>B271=""</formula>
    </cfRule>
  </conditionalFormatting>
  <conditionalFormatting sqref="C272">
    <cfRule type="expression" dxfId="11738" priority="3506">
      <formula>B272=""</formula>
    </cfRule>
  </conditionalFormatting>
  <conditionalFormatting sqref="C274:C294">
    <cfRule type="expression" dxfId="11737" priority="3505">
      <formula>B274=""</formula>
    </cfRule>
  </conditionalFormatting>
  <conditionalFormatting sqref="C275 C277 C279 C281 C283 C285 C287 C289 C291 C293">
    <cfRule type="expression" dxfId="11736" priority="3504">
      <formula>B275=""</formula>
    </cfRule>
  </conditionalFormatting>
  <conditionalFormatting sqref="C276:C286">
    <cfRule type="expression" dxfId="11735" priority="3503">
      <formula>B276=""</formula>
    </cfRule>
  </conditionalFormatting>
  <conditionalFormatting sqref="C287">
    <cfRule type="expression" dxfId="11734" priority="3502">
      <formula>B287=""</formula>
    </cfRule>
  </conditionalFormatting>
  <conditionalFormatting sqref="C288">
    <cfRule type="expression" dxfId="11733" priority="3501">
      <formula>B288=""</formula>
    </cfRule>
  </conditionalFormatting>
  <conditionalFormatting sqref="C289">
    <cfRule type="expression" dxfId="11732" priority="3500">
      <formula>B289=""</formula>
    </cfRule>
  </conditionalFormatting>
  <conditionalFormatting sqref="C290">
    <cfRule type="expression" dxfId="11731" priority="3499">
      <formula>B290=""</formula>
    </cfRule>
  </conditionalFormatting>
  <conditionalFormatting sqref="C291">
    <cfRule type="expression" dxfId="11730" priority="3498">
      <formula>B291=""</formula>
    </cfRule>
  </conditionalFormatting>
  <conditionalFormatting sqref="C292">
    <cfRule type="expression" dxfId="11729" priority="3497">
      <formula>B292=""</formula>
    </cfRule>
  </conditionalFormatting>
  <conditionalFormatting sqref="C293">
    <cfRule type="expression" dxfId="11728" priority="3496">
      <formula>B293=""</formula>
    </cfRule>
  </conditionalFormatting>
  <conditionalFormatting sqref="C294">
    <cfRule type="expression" dxfId="11727" priority="3495">
      <formula>B294=""</formula>
    </cfRule>
  </conditionalFormatting>
  <conditionalFormatting sqref="C208:C228">
    <cfRule type="expression" dxfId="11726" priority="3494">
      <formula>B208=""</formula>
    </cfRule>
  </conditionalFormatting>
  <conditionalFormatting sqref="C209">
    <cfRule type="expression" dxfId="11725" priority="3493">
      <formula>B209=""</formula>
    </cfRule>
  </conditionalFormatting>
  <conditionalFormatting sqref="C210:C220">
    <cfRule type="expression" dxfId="11724" priority="3492">
      <formula>B210=""</formula>
    </cfRule>
  </conditionalFormatting>
  <conditionalFormatting sqref="C221">
    <cfRule type="expression" dxfId="11723" priority="3491">
      <formula>B221=""</formula>
    </cfRule>
  </conditionalFormatting>
  <conditionalFormatting sqref="C222">
    <cfRule type="expression" dxfId="11722" priority="3490">
      <formula>B222=""</formula>
    </cfRule>
  </conditionalFormatting>
  <conditionalFormatting sqref="C223">
    <cfRule type="expression" dxfId="11721" priority="3489">
      <formula>B223=""</formula>
    </cfRule>
  </conditionalFormatting>
  <conditionalFormatting sqref="C224">
    <cfRule type="expression" dxfId="11720" priority="3488">
      <formula>B224=""</formula>
    </cfRule>
  </conditionalFormatting>
  <conditionalFormatting sqref="C225">
    <cfRule type="expression" dxfId="11719" priority="3487">
      <formula>B225=""</formula>
    </cfRule>
  </conditionalFormatting>
  <conditionalFormatting sqref="C226">
    <cfRule type="expression" dxfId="11718" priority="3486">
      <formula>B226=""</formula>
    </cfRule>
  </conditionalFormatting>
  <conditionalFormatting sqref="C227">
    <cfRule type="expression" dxfId="11717" priority="3485">
      <formula>B227=""</formula>
    </cfRule>
  </conditionalFormatting>
  <conditionalFormatting sqref="D208">
    <cfRule type="expression" dxfId="11716" priority="3484">
      <formula>B208=""</formula>
    </cfRule>
  </conditionalFormatting>
  <conditionalFormatting sqref="D209">
    <cfRule type="expression" dxfId="11715" priority="3483">
      <formula>B209=""</formula>
    </cfRule>
  </conditionalFormatting>
  <conditionalFormatting sqref="D210:D220">
    <cfRule type="expression" dxfId="11714" priority="3482">
      <formula>B210=""</formula>
    </cfRule>
  </conditionalFormatting>
  <conditionalFormatting sqref="D221">
    <cfRule type="expression" dxfId="11713" priority="3481">
      <formula>B221=""</formula>
    </cfRule>
  </conditionalFormatting>
  <conditionalFormatting sqref="D222">
    <cfRule type="expression" dxfId="11712" priority="3480">
      <formula>B222=""</formula>
    </cfRule>
  </conditionalFormatting>
  <conditionalFormatting sqref="D223">
    <cfRule type="expression" dxfId="11711" priority="3479">
      <formula>B223=""</formula>
    </cfRule>
  </conditionalFormatting>
  <conditionalFormatting sqref="D224">
    <cfRule type="expression" dxfId="11710" priority="3478">
      <formula>B224=""</formula>
    </cfRule>
  </conditionalFormatting>
  <conditionalFormatting sqref="D225">
    <cfRule type="expression" dxfId="11709" priority="3477">
      <formula>B225=""</formula>
    </cfRule>
  </conditionalFormatting>
  <conditionalFormatting sqref="D226">
    <cfRule type="expression" dxfId="11708" priority="3476">
      <formula>B226=""</formula>
    </cfRule>
  </conditionalFormatting>
  <conditionalFormatting sqref="D227">
    <cfRule type="expression" dxfId="11707" priority="3475">
      <formula>B227=""</formula>
    </cfRule>
  </conditionalFormatting>
  <conditionalFormatting sqref="E208:E227">
    <cfRule type="expression" dxfId="11706" priority="3474">
      <formula>B208=""</formula>
    </cfRule>
  </conditionalFormatting>
  <conditionalFormatting sqref="E209 E211 E213 E215 E217 E219 E221 E223 E225 E227">
    <cfRule type="expression" dxfId="11705" priority="3473">
      <formula>B209=""</formula>
    </cfRule>
  </conditionalFormatting>
  <conditionalFormatting sqref="E210:E220">
    <cfRule type="expression" dxfId="11704" priority="3472">
      <formula>B210=""</formula>
    </cfRule>
  </conditionalFormatting>
  <conditionalFormatting sqref="E221">
    <cfRule type="expression" dxfId="11703" priority="3471">
      <formula>B221=""</formula>
    </cfRule>
  </conditionalFormatting>
  <conditionalFormatting sqref="E222">
    <cfRule type="expression" dxfId="11702" priority="3470">
      <formula>B222=""</formula>
    </cfRule>
  </conditionalFormatting>
  <conditionalFormatting sqref="E223">
    <cfRule type="expression" dxfId="11701" priority="3469">
      <formula>B223=""</formula>
    </cfRule>
  </conditionalFormatting>
  <conditionalFormatting sqref="E224">
    <cfRule type="expression" dxfId="11700" priority="3468">
      <formula>B224=""</formula>
    </cfRule>
  </conditionalFormatting>
  <conditionalFormatting sqref="E225">
    <cfRule type="expression" dxfId="11699" priority="3467">
      <formula>B225=""</formula>
    </cfRule>
  </conditionalFormatting>
  <conditionalFormatting sqref="E226">
    <cfRule type="expression" dxfId="11698" priority="3466">
      <formula>B226=""</formula>
    </cfRule>
  </conditionalFormatting>
  <conditionalFormatting sqref="E227">
    <cfRule type="expression" dxfId="11697" priority="3465">
      <formula>B227=""</formula>
    </cfRule>
  </conditionalFormatting>
  <conditionalFormatting sqref="F208:F227">
    <cfRule type="expression" dxfId="11696" priority="3464">
      <formula>B208=""</formula>
    </cfRule>
  </conditionalFormatting>
  <conditionalFormatting sqref="F209 F211 F213 F215 F217 F219 F221 F223 F225 F227">
    <cfRule type="expression" dxfId="11695" priority="3463">
      <formula>B209=""</formula>
    </cfRule>
  </conditionalFormatting>
  <conditionalFormatting sqref="F210:F220">
    <cfRule type="expression" dxfId="11694" priority="3462">
      <formula>B210=""</formula>
    </cfRule>
  </conditionalFormatting>
  <conditionalFormatting sqref="F221">
    <cfRule type="expression" dxfId="11693" priority="3461">
      <formula>B221=""</formula>
    </cfRule>
  </conditionalFormatting>
  <conditionalFormatting sqref="F222">
    <cfRule type="expression" dxfId="11692" priority="3460">
      <formula>B222=""</formula>
    </cfRule>
  </conditionalFormatting>
  <conditionalFormatting sqref="F223">
    <cfRule type="expression" dxfId="11691" priority="3459">
      <formula>B223=""</formula>
    </cfRule>
  </conditionalFormatting>
  <conditionalFormatting sqref="F224">
    <cfRule type="expression" dxfId="11690" priority="3458">
      <formula>B224=""</formula>
    </cfRule>
  </conditionalFormatting>
  <conditionalFormatting sqref="F225">
    <cfRule type="expression" dxfId="11689" priority="3457">
      <formula>B225=""</formula>
    </cfRule>
  </conditionalFormatting>
  <conditionalFormatting sqref="F226">
    <cfRule type="expression" dxfId="11688" priority="3456">
      <formula>B226=""</formula>
    </cfRule>
  </conditionalFormatting>
  <conditionalFormatting sqref="F227">
    <cfRule type="expression" dxfId="11687" priority="3455">
      <formula>B227=""</formula>
    </cfRule>
  </conditionalFormatting>
  <conditionalFormatting sqref="E209 E211 E213 E215 E217 E219 E221 E223 E225 E227">
    <cfRule type="expression" dxfId="11686" priority="3454">
      <formula>B209=""</formula>
    </cfRule>
  </conditionalFormatting>
  <conditionalFormatting sqref="E210:E220">
    <cfRule type="expression" dxfId="11685" priority="3453">
      <formula>B210=""</formula>
    </cfRule>
  </conditionalFormatting>
  <conditionalFormatting sqref="E221">
    <cfRule type="expression" dxfId="11684" priority="3452">
      <formula>B221=""</formula>
    </cfRule>
  </conditionalFormatting>
  <conditionalFormatting sqref="E222">
    <cfRule type="expression" dxfId="11683" priority="3451">
      <formula>B222=""</formula>
    </cfRule>
  </conditionalFormatting>
  <conditionalFormatting sqref="E223">
    <cfRule type="expression" dxfId="11682" priority="3450">
      <formula>B223=""</formula>
    </cfRule>
  </conditionalFormatting>
  <conditionalFormatting sqref="E224">
    <cfRule type="expression" dxfId="11681" priority="3449">
      <formula>B224=""</formula>
    </cfRule>
  </conditionalFormatting>
  <conditionalFormatting sqref="E225">
    <cfRule type="expression" dxfId="11680" priority="3448">
      <formula>B225=""</formula>
    </cfRule>
  </conditionalFormatting>
  <conditionalFormatting sqref="E226">
    <cfRule type="expression" dxfId="11679" priority="3447">
      <formula>B226=""</formula>
    </cfRule>
  </conditionalFormatting>
  <conditionalFormatting sqref="E227">
    <cfRule type="expression" dxfId="11678" priority="3446">
      <formula>B227=""</formula>
    </cfRule>
  </conditionalFormatting>
  <conditionalFormatting sqref="G208:G227">
    <cfRule type="expression" dxfId="11677" priority="3445">
      <formula>B208=""</formula>
    </cfRule>
  </conditionalFormatting>
  <conditionalFormatting sqref="G209 G211 G213 G215 G217 G219 G221 G223 G225 G227">
    <cfRule type="expression" dxfId="11676" priority="3444">
      <formula>B209=""</formula>
    </cfRule>
  </conditionalFormatting>
  <conditionalFormatting sqref="G210:G220">
    <cfRule type="expression" dxfId="11675" priority="3443">
      <formula>B210=""</formula>
    </cfRule>
  </conditionalFormatting>
  <conditionalFormatting sqref="G221">
    <cfRule type="expression" dxfId="11674" priority="3442">
      <formula>B221=""</formula>
    </cfRule>
  </conditionalFormatting>
  <conditionalFormatting sqref="G222">
    <cfRule type="expression" dxfId="11673" priority="3441">
      <formula>B222=""</formula>
    </cfRule>
  </conditionalFormatting>
  <conditionalFormatting sqref="G223">
    <cfRule type="expression" dxfId="11672" priority="3440">
      <formula>B223=""</formula>
    </cfRule>
  </conditionalFormatting>
  <conditionalFormatting sqref="G224">
    <cfRule type="expression" dxfId="11671" priority="3439">
      <formula>B224=""</formula>
    </cfRule>
  </conditionalFormatting>
  <conditionalFormatting sqref="G225">
    <cfRule type="expression" dxfId="11670" priority="3438">
      <formula>B225=""</formula>
    </cfRule>
  </conditionalFormatting>
  <conditionalFormatting sqref="G226">
    <cfRule type="expression" dxfId="11669" priority="3437">
      <formula>B226=""</formula>
    </cfRule>
  </conditionalFormatting>
  <conditionalFormatting sqref="G227">
    <cfRule type="expression" dxfId="11668" priority="3436">
      <formula>B227=""</formula>
    </cfRule>
  </conditionalFormatting>
  <conditionalFormatting sqref="H208 H210 H212 H214 H216 H218 H220 H222 H224 H226">
    <cfRule type="expression" dxfId="11667" priority="3435">
      <formula>B208=""</formula>
    </cfRule>
  </conditionalFormatting>
  <conditionalFormatting sqref="H209 H211 H213 H215 H217 H219 H221 H223 H225 H227">
    <cfRule type="expression" dxfId="11666" priority="3434">
      <formula>B209=""</formula>
    </cfRule>
  </conditionalFormatting>
  <conditionalFormatting sqref="H210:H220">
    <cfRule type="expression" dxfId="11665" priority="3433">
      <formula>B210=""</formula>
    </cfRule>
  </conditionalFormatting>
  <conditionalFormatting sqref="H221">
    <cfRule type="expression" dxfId="11664" priority="3432">
      <formula>B221=""</formula>
    </cfRule>
  </conditionalFormatting>
  <conditionalFormatting sqref="H222">
    <cfRule type="expression" dxfId="11663" priority="3431">
      <formula>B222=""</formula>
    </cfRule>
  </conditionalFormatting>
  <conditionalFormatting sqref="H223">
    <cfRule type="expression" dxfId="11662" priority="3430">
      <formula>B223=""</formula>
    </cfRule>
  </conditionalFormatting>
  <conditionalFormatting sqref="H224">
    <cfRule type="expression" dxfId="11661" priority="3429">
      <formula>B224=""</formula>
    </cfRule>
  </conditionalFormatting>
  <conditionalFormatting sqref="H225">
    <cfRule type="expression" dxfId="11660" priority="3428">
      <formula>B225=""</formula>
    </cfRule>
  </conditionalFormatting>
  <conditionalFormatting sqref="H226">
    <cfRule type="expression" dxfId="11659" priority="3427">
      <formula>B226=""</formula>
    </cfRule>
  </conditionalFormatting>
  <conditionalFormatting sqref="H227">
    <cfRule type="expression" dxfId="11658" priority="3426">
      <formula>B227=""</formula>
    </cfRule>
  </conditionalFormatting>
  <conditionalFormatting sqref="F208 F210 F212 F214 F216 F218 F220 F222 F224 F226">
    <cfRule type="expression" dxfId="11657" priority="3425">
      <formula>B208=""</formula>
    </cfRule>
  </conditionalFormatting>
  <conditionalFormatting sqref="F209 F211 F213 F215 F217 F219 F221 F223 F225 F227">
    <cfRule type="expression" dxfId="11656" priority="3424">
      <formula>B209=""</formula>
    </cfRule>
  </conditionalFormatting>
  <conditionalFormatting sqref="F210:F220">
    <cfRule type="expression" dxfId="11655" priority="3423">
      <formula>B210=""</formula>
    </cfRule>
  </conditionalFormatting>
  <conditionalFormatting sqref="F221">
    <cfRule type="expression" dxfId="11654" priority="3422">
      <formula>B221=""</formula>
    </cfRule>
  </conditionalFormatting>
  <conditionalFormatting sqref="F222">
    <cfRule type="expression" dxfId="11653" priority="3421">
      <formula>B222=""</formula>
    </cfRule>
  </conditionalFormatting>
  <conditionalFormatting sqref="F223">
    <cfRule type="expression" dxfId="11652" priority="3420">
      <formula>B223=""</formula>
    </cfRule>
  </conditionalFormatting>
  <conditionalFormatting sqref="F224">
    <cfRule type="expression" dxfId="11651" priority="3419">
      <formula>B224=""</formula>
    </cfRule>
  </conditionalFormatting>
  <conditionalFormatting sqref="F225">
    <cfRule type="expression" dxfId="11650" priority="3418">
      <formula>B225=""</formula>
    </cfRule>
  </conditionalFormatting>
  <conditionalFormatting sqref="F226">
    <cfRule type="expression" dxfId="11649" priority="3417">
      <formula>B226=""</formula>
    </cfRule>
  </conditionalFormatting>
  <conditionalFormatting sqref="F227">
    <cfRule type="expression" dxfId="11648" priority="3416">
      <formula>B227=""</formula>
    </cfRule>
  </conditionalFormatting>
  <conditionalFormatting sqref="C230:C249">
    <cfRule type="expression" dxfId="11647" priority="3415">
      <formula>B230=""</formula>
    </cfRule>
  </conditionalFormatting>
  <conditionalFormatting sqref="C231 C233 C235 C237 C239 C241 C243 C245 C247 C249">
    <cfRule type="expression" dxfId="11646" priority="3414">
      <formula>B231=""</formula>
    </cfRule>
  </conditionalFormatting>
  <conditionalFormatting sqref="C232:C242">
    <cfRule type="expression" dxfId="11645" priority="3413">
      <formula>B232=""</formula>
    </cfRule>
  </conditionalFormatting>
  <conditionalFormatting sqref="C243">
    <cfRule type="expression" dxfId="11644" priority="3412">
      <formula>B243=""</formula>
    </cfRule>
  </conditionalFormatting>
  <conditionalFormatting sqref="C244">
    <cfRule type="expression" dxfId="11643" priority="3411">
      <formula>B244=""</formula>
    </cfRule>
  </conditionalFormatting>
  <conditionalFormatting sqref="C245">
    <cfRule type="expression" dxfId="11642" priority="3410">
      <formula>B245=""</formula>
    </cfRule>
  </conditionalFormatting>
  <conditionalFormatting sqref="C246">
    <cfRule type="expression" dxfId="11641" priority="3409">
      <formula>B246=""</formula>
    </cfRule>
  </conditionalFormatting>
  <conditionalFormatting sqref="C247">
    <cfRule type="expression" dxfId="11640" priority="3408">
      <formula>B247=""</formula>
    </cfRule>
  </conditionalFormatting>
  <conditionalFormatting sqref="C248">
    <cfRule type="expression" dxfId="11639" priority="3407">
      <formula>B248=""</formula>
    </cfRule>
  </conditionalFormatting>
  <conditionalFormatting sqref="C249">
    <cfRule type="expression" dxfId="11638" priority="3406">
      <formula>B249=""</formula>
    </cfRule>
  </conditionalFormatting>
  <conditionalFormatting sqref="D230 D232 D234 D236 D238 D240 D242 D244 D246 D248">
    <cfRule type="expression" dxfId="11637" priority="3405">
      <formula>B230=""</formula>
    </cfRule>
  </conditionalFormatting>
  <conditionalFormatting sqref="D231 D233 D235 D237 D239 D241 D243 D245 D247 D249">
    <cfRule type="expression" dxfId="11636" priority="3404">
      <formula>B231=""</formula>
    </cfRule>
  </conditionalFormatting>
  <conditionalFormatting sqref="D232:D242">
    <cfRule type="expression" dxfId="11635" priority="3403">
      <formula>B232=""</formula>
    </cfRule>
  </conditionalFormatting>
  <conditionalFormatting sqref="D243">
    <cfRule type="expression" dxfId="11634" priority="3402">
      <formula>B243=""</formula>
    </cfRule>
  </conditionalFormatting>
  <conditionalFormatting sqref="D244">
    <cfRule type="expression" dxfId="11633" priority="3401">
      <formula>B244=""</formula>
    </cfRule>
  </conditionalFormatting>
  <conditionalFormatting sqref="D245">
    <cfRule type="expression" dxfId="11632" priority="3400">
      <formula>B245=""</formula>
    </cfRule>
  </conditionalFormatting>
  <conditionalFormatting sqref="D246">
    <cfRule type="expression" dxfId="11631" priority="3399">
      <formula>B246=""</formula>
    </cfRule>
  </conditionalFormatting>
  <conditionalFormatting sqref="D247">
    <cfRule type="expression" dxfId="11630" priority="3398">
      <formula>B247=""</formula>
    </cfRule>
  </conditionalFormatting>
  <conditionalFormatting sqref="D248">
    <cfRule type="expression" dxfId="11629" priority="3397">
      <formula>B248=""</formula>
    </cfRule>
  </conditionalFormatting>
  <conditionalFormatting sqref="D249">
    <cfRule type="expression" dxfId="11628" priority="3396">
      <formula>B249=""</formula>
    </cfRule>
  </conditionalFormatting>
  <conditionalFormatting sqref="E230 E232 E234 E236 E238 E240 E242 E244 E246 E248">
    <cfRule type="expression" dxfId="11627" priority="3395">
      <formula>B230=""</formula>
    </cfRule>
  </conditionalFormatting>
  <conditionalFormatting sqref="E231 E233 E235 E237 E239 E241 E243 E245 E247 E249">
    <cfRule type="expression" dxfId="11626" priority="3394">
      <formula>B231=""</formula>
    </cfRule>
  </conditionalFormatting>
  <conditionalFormatting sqref="E232:E242">
    <cfRule type="expression" dxfId="11625" priority="3393">
      <formula>B232=""</formula>
    </cfRule>
  </conditionalFormatting>
  <conditionalFormatting sqref="E243">
    <cfRule type="expression" dxfId="11624" priority="3392">
      <formula>B243=""</formula>
    </cfRule>
  </conditionalFormatting>
  <conditionalFormatting sqref="E244">
    <cfRule type="expression" dxfId="11623" priority="3391">
      <formula>B244=""</formula>
    </cfRule>
  </conditionalFormatting>
  <conditionalFormatting sqref="E245">
    <cfRule type="expression" dxfId="11622" priority="3390">
      <formula>B245=""</formula>
    </cfRule>
  </conditionalFormatting>
  <conditionalFormatting sqref="E246">
    <cfRule type="expression" dxfId="11621" priority="3389">
      <formula>B246=""</formula>
    </cfRule>
  </conditionalFormatting>
  <conditionalFormatting sqref="E247">
    <cfRule type="expression" dxfId="11620" priority="3388">
      <formula>B247=""</formula>
    </cfRule>
  </conditionalFormatting>
  <conditionalFormatting sqref="E248">
    <cfRule type="expression" dxfId="11619" priority="3387">
      <formula>B248=""</formula>
    </cfRule>
  </conditionalFormatting>
  <conditionalFormatting sqref="E249">
    <cfRule type="expression" dxfId="11618" priority="3386">
      <formula>B249=""</formula>
    </cfRule>
  </conditionalFormatting>
  <conditionalFormatting sqref="F230 F232 F234 F236 F238 F240 F242 F244 F246 F248">
    <cfRule type="expression" dxfId="11617" priority="3385">
      <formula>B230=""</formula>
    </cfRule>
  </conditionalFormatting>
  <conditionalFormatting sqref="F231 F233 F235 F237 F239 F241 F243 F245 F247 F249">
    <cfRule type="expression" dxfId="11616" priority="3384">
      <formula>B231=""</formula>
    </cfRule>
  </conditionalFormatting>
  <conditionalFormatting sqref="F232:F242">
    <cfRule type="expression" dxfId="11615" priority="3383">
      <formula>B232=""</formula>
    </cfRule>
  </conditionalFormatting>
  <conditionalFormatting sqref="F243">
    <cfRule type="expression" dxfId="11614" priority="3382">
      <formula>B243=""</formula>
    </cfRule>
  </conditionalFormatting>
  <conditionalFormatting sqref="F244">
    <cfRule type="expression" dxfId="11613" priority="3381">
      <formula>B244=""</formula>
    </cfRule>
  </conditionalFormatting>
  <conditionalFormatting sqref="F245">
    <cfRule type="expression" dxfId="11612" priority="3380">
      <formula>B245=""</formula>
    </cfRule>
  </conditionalFormatting>
  <conditionalFormatting sqref="F246">
    <cfRule type="expression" dxfId="11611" priority="3379">
      <formula>B246=""</formula>
    </cfRule>
  </conditionalFormatting>
  <conditionalFormatting sqref="F247">
    <cfRule type="expression" dxfId="11610" priority="3378">
      <formula>B247=""</formula>
    </cfRule>
  </conditionalFormatting>
  <conditionalFormatting sqref="F248">
    <cfRule type="expression" dxfId="11609" priority="3377">
      <formula>B248=""</formula>
    </cfRule>
  </conditionalFormatting>
  <conditionalFormatting sqref="F249">
    <cfRule type="expression" dxfId="11608" priority="3376">
      <formula>B249=""</formula>
    </cfRule>
  </conditionalFormatting>
  <conditionalFormatting sqref="E231 E233 E235 E237 E239 E241 E243 E245 E247 E249">
    <cfRule type="expression" dxfId="11607" priority="3375">
      <formula>B231=""</formula>
    </cfRule>
  </conditionalFormatting>
  <conditionalFormatting sqref="E232:E242">
    <cfRule type="expression" dxfId="11606" priority="3374">
      <formula>B232=""</formula>
    </cfRule>
  </conditionalFormatting>
  <conditionalFormatting sqref="E243">
    <cfRule type="expression" dxfId="11605" priority="3373">
      <formula>B243=""</formula>
    </cfRule>
  </conditionalFormatting>
  <conditionalFormatting sqref="E244">
    <cfRule type="expression" dxfId="11604" priority="3372">
      <formula>B244=""</formula>
    </cfRule>
  </conditionalFormatting>
  <conditionalFormatting sqref="E245">
    <cfRule type="expression" dxfId="11603" priority="3371">
      <formula>B245=""</formula>
    </cfRule>
  </conditionalFormatting>
  <conditionalFormatting sqref="E246">
    <cfRule type="expression" dxfId="11602" priority="3370">
      <formula>B246=""</formula>
    </cfRule>
  </conditionalFormatting>
  <conditionalFormatting sqref="E247">
    <cfRule type="expression" dxfId="11601" priority="3369">
      <formula>B247=""</formula>
    </cfRule>
  </conditionalFormatting>
  <conditionalFormatting sqref="E248">
    <cfRule type="expression" dxfId="11600" priority="3368">
      <formula>B248=""</formula>
    </cfRule>
  </conditionalFormatting>
  <conditionalFormatting sqref="E249">
    <cfRule type="expression" dxfId="11599" priority="3367">
      <formula>B249=""</formula>
    </cfRule>
  </conditionalFormatting>
  <conditionalFormatting sqref="G230 G232 G234 G236 G238 G240 G242 G244 G246 G248">
    <cfRule type="expression" dxfId="11598" priority="3366">
      <formula>B230=""</formula>
    </cfRule>
  </conditionalFormatting>
  <conditionalFormatting sqref="G231 G233 G235 G237 G239 G241 G243 G245 G247 G249">
    <cfRule type="expression" dxfId="11597" priority="3365">
      <formula>B231=""</formula>
    </cfRule>
  </conditionalFormatting>
  <conditionalFormatting sqref="G232:G242">
    <cfRule type="expression" dxfId="11596" priority="3364">
      <formula>B232=""</formula>
    </cfRule>
  </conditionalFormatting>
  <conditionalFormatting sqref="G243">
    <cfRule type="expression" dxfId="11595" priority="3363">
      <formula>B243=""</formula>
    </cfRule>
  </conditionalFormatting>
  <conditionalFormatting sqref="G244">
    <cfRule type="expression" dxfId="11594" priority="3362">
      <formula>B244=""</formula>
    </cfRule>
  </conditionalFormatting>
  <conditionalFormatting sqref="G245">
    <cfRule type="expression" dxfId="11593" priority="3361">
      <formula>B245=""</formula>
    </cfRule>
  </conditionalFormatting>
  <conditionalFormatting sqref="G246">
    <cfRule type="expression" dxfId="11592" priority="3360">
      <formula>B246=""</formula>
    </cfRule>
  </conditionalFormatting>
  <conditionalFormatting sqref="G247">
    <cfRule type="expression" dxfId="11591" priority="3359">
      <formula>B247=""</formula>
    </cfRule>
  </conditionalFormatting>
  <conditionalFormatting sqref="G248">
    <cfRule type="expression" dxfId="11590" priority="3358">
      <formula>B248=""</formula>
    </cfRule>
  </conditionalFormatting>
  <conditionalFormatting sqref="G249">
    <cfRule type="expression" dxfId="11589" priority="3357">
      <formula>B249=""</formula>
    </cfRule>
  </conditionalFormatting>
  <conditionalFormatting sqref="H230 H232 H234 H236 H238 H240 H242 H244 H246 H248">
    <cfRule type="expression" dxfId="11588" priority="3356">
      <formula>B230=""</formula>
    </cfRule>
  </conditionalFormatting>
  <conditionalFormatting sqref="H231 H233 H235 H237 H239 H241 H243 H245 H247 H249">
    <cfRule type="expression" dxfId="11587" priority="3355">
      <formula>B231=""</formula>
    </cfRule>
  </conditionalFormatting>
  <conditionalFormatting sqref="H232:H242">
    <cfRule type="expression" dxfId="11586" priority="3354">
      <formula>B232=""</formula>
    </cfRule>
  </conditionalFormatting>
  <conditionalFormatting sqref="H243">
    <cfRule type="expression" dxfId="11585" priority="3353">
      <formula>B243=""</formula>
    </cfRule>
  </conditionalFormatting>
  <conditionalFormatting sqref="H244">
    <cfRule type="expression" dxfId="11584" priority="3352">
      <formula>B244=""</formula>
    </cfRule>
  </conditionalFormatting>
  <conditionalFormatting sqref="H245">
    <cfRule type="expression" dxfId="11583" priority="3351">
      <formula>B245=""</formula>
    </cfRule>
  </conditionalFormatting>
  <conditionalFormatting sqref="H246">
    <cfRule type="expression" dxfId="11582" priority="3350">
      <formula>B246=""</formula>
    </cfRule>
  </conditionalFormatting>
  <conditionalFormatting sqref="H247">
    <cfRule type="expression" dxfId="11581" priority="3349">
      <formula>B247=""</formula>
    </cfRule>
  </conditionalFormatting>
  <conditionalFormatting sqref="H248">
    <cfRule type="expression" dxfId="11580" priority="3348">
      <formula>B248=""</formula>
    </cfRule>
  </conditionalFormatting>
  <conditionalFormatting sqref="H249">
    <cfRule type="expression" dxfId="11579" priority="3347">
      <formula>B249=""</formula>
    </cfRule>
  </conditionalFormatting>
  <conditionalFormatting sqref="C230:C249">
    <cfRule type="expression" dxfId="11578" priority="3346">
      <formula>B230=""</formula>
    </cfRule>
  </conditionalFormatting>
  <conditionalFormatting sqref="C231 C233 C235 C237 C239 C241 C243 C245 C247 C249">
    <cfRule type="expression" dxfId="11577" priority="3345">
      <formula>B231=""</formula>
    </cfRule>
  </conditionalFormatting>
  <conditionalFormatting sqref="C232:C242">
    <cfRule type="expression" dxfId="11576" priority="3344">
      <formula>B232=""</formula>
    </cfRule>
  </conditionalFormatting>
  <conditionalFormatting sqref="C243">
    <cfRule type="expression" dxfId="11575" priority="3343">
      <formula>B243=""</formula>
    </cfRule>
  </conditionalFormatting>
  <conditionalFormatting sqref="C244">
    <cfRule type="expression" dxfId="11574" priority="3342">
      <formula>B244=""</formula>
    </cfRule>
  </conditionalFormatting>
  <conditionalFormatting sqref="C245">
    <cfRule type="expression" dxfId="11573" priority="3341">
      <formula>B245=""</formula>
    </cfRule>
  </conditionalFormatting>
  <conditionalFormatting sqref="C246">
    <cfRule type="expression" dxfId="11572" priority="3340">
      <formula>B246=""</formula>
    </cfRule>
  </conditionalFormatting>
  <conditionalFormatting sqref="C247">
    <cfRule type="expression" dxfId="11571" priority="3339">
      <formula>B247=""</formula>
    </cfRule>
  </conditionalFormatting>
  <conditionalFormatting sqref="C248">
    <cfRule type="expression" dxfId="11570" priority="3338">
      <formula>B248=""</formula>
    </cfRule>
  </conditionalFormatting>
  <conditionalFormatting sqref="C249">
    <cfRule type="expression" dxfId="11569" priority="3337">
      <formula>B249=""</formula>
    </cfRule>
  </conditionalFormatting>
  <conditionalFormatting sqref="C230 C232 C234 C236 C238 C240 C242 C244 C246 C248">
    <cfRule type="expression" dxfId="11568" priority="3336">
      <formula>B230=""</formula>
    </cfRule>
  </conditionalFormatting>
  <conditionalFormatting sqref="C231 C233 C235 C237 C239 C241 C243 C245 C247 C249">
    <cfRule type="expression" dxfId="11567" priority="3335">
      <formula>B231=""</formula>
    </cfRule>
  </conditionalFormatting>
  <conditionalFormatting sqref="C232:C242">
    <cfRule type="expression" dxfId="11566" priority="3334">
      <formula>B232=""</formula>
    </cfRule>
  </conditionalFormatting>
  <conditionalFormatting sqref="C243">
    <cfRule type="expression" dxfId="11565" priority="3333">
      <formula>B243=""</formula>
    </cfRule>
  </conditionalFormatting>
  <conditionalFormatting sqref="C244">
    <cfRule type="expression" dxfId="11564" priority="3332">
      <formula>B244=""</formula>
    </cfRule>
  </conditionalFormatting>
  <conditionalFormatting sqref="C245">
    <cfRule type="expression" dxfId="11563" priority="3331">
      <formula>B245=""</formula>
    </cfRule>
  </conditionalFormatting>
  <conditionalFormatting sqref="C246">
    <cfRule type="expression" dxfId="11562" priority="3330">
      <formula>B246=""</formula>
    </cfRule>
  </conditionalFormatting>
  <conditionalFormatting sqref="C247">
    <cfRule type="expression" dxfId="11561" priority="3329">
      <formula>B247=""</formula>
    </cfRule>
  </conditionalFormatting>
  <conditionalFormatting sqref="C248">
    <cfRule type="expression" dxfId="11560" priority="3328">
      <formula>B248=""</formula>
    </cfRule>
  </conditionalFormatting>
  <conditionalFormatting sqref="C249">
    <cfRule type="expression" dxfId="11559" priority="3327">
      <formula>B249=""</formula>
    </cfRule>
  </conditionalFormatting>
  <conditionalFormatting sqref="D230 D232 D234 D236 D238 D240 D242 D244 D246 D248">
    <cfRule type="expression" dxfId="11558" priority="3326">
      <formula>B230=""</formula>
    </cfRule>
  </conditionalFormatting>
  <conditionalFormatting sqref="D231 D233 D235 D237 D239 D241 D243 D245 D247 D249">
    <cfRule type="expression" dxfId="11557" priority="3325">
      <formula>B231=""</formula>
    </cfRule>
  </conditionalFormatting>
  <conditionalFormatting sqref="D232:D242">
    <cfRule type="expression" dxfId="11556" priority="3324">
      <formula>B232=""</formula>
    </cfRule>
  </conditionalFormatting>
  <conditionalFormatting sqref="D243">
    <cfRule type="expression" dxfId="11555" priority="3323">
      <formula>B243=""</formula>
    </cfRule>
  </conditionalFormatting>
  <conditionalFormatting sqref="D244">
    <cfRule type="expression" dxfId="11554" priority="3322">
      <formula>B244=""</formula>
    </cfRule>
  </conditionalFormatting>
  <conditionalFormatting sqref="D245">
    <cfRule type="expression" dxfId="11553" priority="3321">
      <formula>B245=""</formula>
    </cfRule>
  </conditionalFormatting>
  <conditionalFormatting sqref="D246">
    <cfRule type="expression" dxfId="11552" priority="3320">
      <formula>B246=""</formula>
    </cfRule>
  </conditionalFormatting>
  <conditionalFormatting sqref="D247">
    <cfRule type="expression" dxfId="11551" priority="3319">
      <formula>B247=""</formula>
    </cfRule>
  </conditionalFormatting>
  <conditionalFormatting sqref="D248">
    <cfRule type="expression" dxfId="11550" priority="3318">
      <formula>B248=""</formula>
    </cfRule>
  </conditionalFormatting>
  <conditionalFormatting sqref="D249">
    <cfRule type="expression" dxfId="11549" priority="3317">
      <formula>B249=""</formula>
    </cfRule>
  </conditionalFormatting>
  <conditionalFormatting sqref="E230:E249">
    <cfRule type="expression" dxfId="11548" priority="3316">
      <formula>B230=""</formula>
    </cfRule>
  </conditionalFormatting>
  <conditionalFormatting sqref="E231 E233 E235 E237 E239 E241 E243 E245 E247 E249">
    <cfRule type="expression" dxfId="11547" priority="3315">
      <formula>B231=""</formula>
    </cfRule>
  </conditionalFormatting>
  <conditionalFormatting sqref="E232:E242">
    <cfRule type="expression" dxfId="11546" priority="3314">
      <formula>B232=""</formula>
    </cfRule>
  </conditionalFormatting>
  <conditionalFormatting sqref="E243">
    <cfRule type="expression" dxfId="11545" priority="3313">
      <formula>B243=""</formula>
    </cfRule>
  </conditionalFormatting>
  <conditionalFormatting sqref="E244">
    <cfRule type="expression" dxfId="11544" priority="3312">
      <formula>B244=""</formula>
    </cfRule>
  </conditionalFormatting>
  <conditionalFormatting sqref="E245">
    <cfRule type="expression" dxfId="11543" priority="3311">
      <formula>B245=""</formula>
    </cfRule>
  </conditionalFormatting>
  <conditionalFormatting sqref="E246">
    <cfRule type="expression" dxfId="11542" priority="3310">
      <formula>B246=""</formula>
    </cfRule>
  </conditionalFormatting>
  <conditionalFormatting sqref="E247">
    <cfRule type="expression" dxfId="11541" priority="3309">
      <formula>B247=""</formula>
    </cfRule>
  </conditionalFormatting>
  <conditionalFormatting sqref="E248">
    <cfRule type="expression" dxfId="11540" priority="3308">
      <formula>B248=""</formula>
    </cfRule>
  </conditionalFormatting>
  <conditionalFormatting sqref="E249">
    <cfRule type="expression" dxfId="11539" priority="3307">
      <formula>B249=""</formula>
    </cfRule>
  </conditionalFormatting>
  <conditionalFormatting sqref="F230:F249">
    <cfRule type="expression" dxfId="11538" priority="3306">
      <formula>B230=""</formula>
    </cfRule>
  </conditionalFormatting>
  <conditionalFormatting sqref="F231 F233 F235 F237 F239 F241 F243 F245 F247 F249">
    <cfRule type="expression" dxfId="11537" priority="3305">
      <formula>B231=""</formula>
    </cfRule>
  </conditionalFormatting>
  <conditionalFormatting sqref="F232:F242">
    <cfRule type="expression" dxfId="11536" priority="3304">
      <formula>B232=""</formula>
    </cfRule>
  </conditionalFormatting>
  <conditionalFormatting sqref="F243">
    <cfRule type="expression" dxfId="11535" priority="3303">
      <formula>B243=""</formula>
    </cfRule>
  </conditionalFormatting>
  <conditionalFormatting sqref="F244">
    <cfRule type="expression" dxfId="11534" priority="3302">
      <formula>B244=""</formula>
    </cfRule>
  </conditionalFormatting>
  <conditionalFormatting sqref="F245">
    <cfRule type="expression" dxfId="11533" priority="3301">
      <formula>B245=""</formula>
    </cfRule>
  </conditionalFormatting>
  <conditionalFormatting sqref="F246">
    <cfRule type="expression" dxfId="11532" priority="3300">
      <formula>B246=""</formula>
    </cfRule>
  </conditionalFormatting>
  <conditionalFormatting sqref="F247">
    <cfRule type="expression" dxfId="11531" priority="3299">
      <formula>B247=""</formula>
    </cfRule>
  </conditionalFormatting>
  <conditionalFormatting sqref="F248">
    <cfRule type="expression" dxfId="11530" priority="3298">
      <formula>B248=""</formula>
    </cfRule>
  </conditionalFormatting>
  <conditionalFormatting sqref="F249">
    <cfRule type="expression" dxfId="11529" priority="3297">
      <formula>B249=""</formula>
    </cfRule>
  </conditionalFormatting>
  <conditionalFormatting sqref="E231 E233 E235 E237 E239 E241 E243 E245 E247 E249">
    <cfRule type="expression" dxfId="11528" priority="3296">
      <formula>B231=""</formula>
    </cfRule>
  </conditionalFormatting>
  <conditionalFormatting sqref="E232:E242">
    <cfRule type="expression" dxfId="11527" priority="3295">
      <formula>B232=""</formula>
    </cfRule>
  </conditionalFormatting>
  <conditionalFormatting sqref="E243">
    <cfRule type="expression" dxfId="11526" priority="3294">
      <formula>B243=""</formula>
    </cfRule>
  </conditionalFormatting>
  <conditionalFormatting sqref="E244">
    <cfRule type="expression" dxfId="11525" priority="3293">
      <formula>B244=""</formula>
    </cfRule>
  </conditionalFormatting>
  <conditionalFormatting sqref="E245">
    <cfRule type="expression" dxfId="11524" priority="3292">
      <formula>B245=""</formula>
    </cfRule>
  </conditionalFormatting>
  <conditionalFormatting sqref="E246">
    <cfRule type="expression" dxfId="11523" priority="3291">
      <formula>B246=""</formula>
    </cfRule>
  </conditionalFormatting>
  <conditionalFormatting sqref="E247">
    <cfRule type="expression" dxfId="11522" priority="3290">
      <formula>B247=""</formula>
    </cfRule>
  </conditionalFormatting>
  <conditionalFormatting sqref="E248">
    <cfRule type="expression" dxfId="11521" priority="3289">
      <formula>B248=""</formula>
    </cfRule>
  </conditionalFormatting>
  <conditionalFormatting sqref="E249">
    <cfRule type="expression" dxfId="11520" priority="3288">
      <formula>B249=""</formula>
    </cfRule>
  </conditionalFormatting>
  <conditionalFormatting sqref="G230:G249">
    <cfRule type="expression" dxfId="11519" priority="3287">
      <formula>B230=""</formula>
    </cfRule>
  </conditionalFormatting>
  <conditionalFormatting sqref="G231 G233 G235 G237 G239 G241 G243 G245 G247 G249">
    <cfRule type="expression" dxfId="11518" priority="3286">
      <formula>B231=""</formula>
    </cfRule>
  </conditionalFormatting>
  <conditionalFormatting sqref="G232:G242">
    <cfRule type="expression" dxfId="11517" priority="3285">
      <formula>B232=""</formula>
    </cfRule>
  </conditionalFormatting>
  <conditionalFormatting sqref="G243">
    <cfRule type="expression" dxfId="11516" priority="3284">
      <formula>B243=""</formula>
    </cfRule>
  </conditionalFormatting>
  <conditionalFormatting sqref="G244">
    <cfRule type="expression" dxfId="11515" priority="3283">
      <formula>B244=""</formula>
    </cfRule>
  </conditionalFormatting>
  <conditionalFormatting sqref="G245">
    <cfRule type="expression" dxfId="11514" priority="3282">
      <formula>B245=""</formula>
    </cfRule>
  </conditionalFormatting>
  <conditionalFormatting sqref="G246">
    <cfRule type="expression" dxfId="11513" priority="3281">
      <formula>B246=""</formula>
    </cfRule>
  </conditionalFormatting>
  <conditionalFormatting sqref="G247">
    <cfRule type="expression" dxfId="11512" priority="3280">
      <formula>B247=""</formula>
    </cfRule>
  </conditionalFormatting>
  <conditionalFormatting sqref="G248">
    <cfRule type="expression" dxfId="11511" priority="3279">
      <formula>B248=""</formula>
    </cfRule>
  </conditionalFormatting>
  <conditionalFormatting sqref="G249">
    <cfRule type="expression" dxfId="11510" priority="3278">
      <formula>B249=""</formula>
    </cfRule>
  </conditionalFormatting>
  <conditionalFormatting sqref="H230 H232 H234 H236 H238 H240 H242 H244 H246 H248">
    <cfRule type="expression" dxfId="11509" priority="3277">
      <formula>B230=""</formula>
    </cfRule>
  </conditionalFormatting>
  <conditionalFormatting sqref="H231 H233 H235 H237 H239 H241 H243 H245 H247 H249">
    <cfRule type="expression" dxfId="11508" priority="3276">
      <formula>B231=""</formula>
    </cfRule>
  </conditionalFormatting>
  <conditionalFormatting sqref="H232:H242">
    <cfRule type="expression" dxfId="11507" priority="3275">
      <formula>B232=""</formula>
    </cfRule>
  </conditionalFormatting>
  <conditionalFormatting sqref="H243">
    <cfRule type="expression" dxfId="11506" priority="3274">
      <formula>B243=""</formula>
    </cfRule>
  </conditionalFormatting>
  <conditionalFormatting sqref="H244">
    <cfRule type="expression" dxfId="11505" priority="3273">
      <formula>B244=""</formula>
    </cfRule>
  </conditionalFormatting>
  <conditionalFormatting sqref="H245">
    <cfRule type="expression" dxfId="11504" priority="3272">
      <formula>B245=""</formula>
    </cfRule>
  </conditionalFormatting>
  <conditionalFormatting sqref="H246">
    <cfRule type="expression" dxfId="11503" priority="3271">
      <formula>B246=""</formula>
    </cfRule>
  </conditionalFormatting>
  <conditionalFormatting sqref="H247">
    <cfRule type="expression" dxfId="11502" priority="3270">
      <formula>B247=""</formula>
    </cfRule>
  </conditionalFormatting>
  <conditionalFormatting sqref="H248">
    <cfRule type="expression" dxfId="11501" priority="3269">
      <formula>B248=""</formula>
    </cfRule>
  </conditionalFormatting>
  <conditionalFormatting sqref="H249">
    <cfRule type="expression" dxfId="11500" priority="3268">
      <formula>B249=""</formula>
    </cfRule>
  </conditionalFormatting>
  <conditionalFormatting sqref="F230 F232 F234 F236 F238 F240 F242 F244 F246 F248">
    <cfRule type="expression" dxfId="11499" priority="3267">
      <formula>B230=""</formula>
    </cfRule>
  </conditionalFormatting>
  <conditionalFormatting sqref="F231 F233 F235 F237 F239 F241 F243 F245 F247 F249">
    <cfRule type="expression" dxfId="11498" priority="3266">
      <formula>B231=""</formula>
    </cfRule>
  </conditionalFormatting>
  <conditionalFormatting sqref="F232:F242">
    <cfRule type="expression" dxfId="11497" priority="3265">
      <formula>B232=""</formula>
    </cfRule>
  </conditionalFormatting>
  <conditionalFormatting sqref="F243">
    <cfRule type="expression" dxfId="11496" priority="3264">
      <formula>B243=""</formula>
    </cfRule>
  </conditionalFormatting>
  <conditionalFormatting sqref="F244">
    <cfRule type="expression" dxfId="11495" priority="3263">
      <formula>B244=""</formula>
    </cfRule>
  </conditionalFormatting>
  <conditionalFormatting sqref="F245">
    <cfRule type="expression" dxfId="11494" priority="3262">
      <formula>B245=""</formula>
    </cfRule>
  </conditionalFormatting>
  <conditionalFormatting sqref="F246">
    <cfRule type="expression" dxfId="11493" priority="3261">
      <formula>B246=""</formula>
    </cfRule>
  </conditionalFormatting>
  <conditionalFormatting sqref="F247">
    <cfRule type="expression" dxfId="11492" priority="3260">
      <formula>B247=""</formula>
    </cfRule>
  </conditionalFormatting>
  <conditionalFormatting sqref="F248">
    <cfRule type="expression" dxfId="11491" priority="3259">
      <formula>B248=""</formula>
    </cfRule>
  </conditionalFormatting>
  <conditionalFormatting sqref="F249">
    <cfRule type="expression" dxfId="11490" priority="3258">
      <formula>B249=""</formula>
    </cfRule>
  </conditionalFormatting>
  <conditionalFormatting sqref="C252:C271">
    <cfRule type="expression" dxfId="11489" priority="3257">
      <formula>B252=""</formula>
    </cfRule>
  </conditionalFormatting>
  <conditionalFormatting sqref="C253 C255 C257 C259 C261 C263 C265 C267 C269 C271">
    <cfRule type="expression" dxfId="11488" priority="3256">
      <formula>B253=""</formula>
    </cfRule>
  </conditionalFormatting>
  <conditionalFormatting sqref="C254:C264">
    <cfRule type="expression" dxfId="11487" priority="3255">
      <formula>B254=""</formula>
    </cfRule>
  </conditionalFormatting>
  <conditionalFormatting sqref="C265">
    <cfRule type="expression" dxfId="11486" priority="3254">
      <formula>B265=""</formula>
    </cfRule>
  </conditionalFormatting>
  <conditionalFormatting sqref="C266">
    <cfRule type="expression" dxfId="11485" priority="3253">
      <formula>B266=""</formula>
    </cfRule>
  </conditionalFormatting>
  <conditionalFormatting sqref="C267">
    <cfRule type="expression" dxfId="11484" priority="3252">
      <formula>B267=""</formula>
    </cfRule>
  </conditionalFormatting>
  <conditionalFormatting sqref="C268">
    <cfRule type="expression" dxfId="11483" priority="3251">
      <formula>B268=""</formula>
    </cfRule>
  </conditionalFormatting>
  <conditionalFormatting sqref="C269">
    <cfRule type="expression" dxfId="11482" priority="3250">
      <formula>B269=""</formula>
    </cfRule>
  </conditionalFormatting>
  <conditionalFormatting sqref="C270">
    <cfRule type="expression" dxfId="11481" priority="3249">
      <formula>B270=""</formula>
    </cfRule>
  </conditionalFormatting>
  <conditionalFormatting sqref="C271">
    <cfRule type="expression" dxfId="11480" priority="3248">
      <formula>B271=""</formula>
    </cfRule>
  </conditionalFormatting>
  <conditionalFormatting sqref="C271">
    <cfRule type="expression" dxfId="11479" priority="3247">
      <formula>B271=""</formula>
    </cfRule>
  </conditionalFormatting>
  <conditionalFormatting sqref="C252:C271">
    <cfRule type="expression" dxfId="11478" priority="3246">
      <formula>B252=""</formula>
    </cfRule>
  </conditionalFormatting>
  <conditionalFormatting sqref="C253 C255 C257 C259 C261 C263 C265 C267 C269 C271">
    <cfRule type="expression" dxfId="11477" priority="3245">
      <formula>B253=""</formula>
    </cfRule>
  </conditionalFormatting>
  <conditionalFormatting sqref="C254:C264">
    <cfRule type="expression" dxfId="11476" priority="3244">
      <formula>B254=""</formula>
    </cfRule>
  </conditionalFormatting>
  <conditionalFormatting sqref="C265">
    <cfRule type="expression" dxfId="11475" priority="3243">
      <formula>B265=""</formula>
    </cfRule>
  </conditionalFormatting>
  <conditionalFormatting sqref="C266">
    <cfRule type="expression" dxfId="11474" priority="3242">
      <formula>B266=""</formula>
    </cfRule>
  </conditionalFormatting>
  <conditionalFormatting sqref="C267">
    <cfRule type="expression" dxfId="11473" priority="3241">
      <formula>B267=""</formula>
    </cfRule>
  </conditionalFormatting>
  <conditionalFormatting sqref="C268">
    <cfRule type="expression" dxfId="11472" priority="3240">
      <formula>B268=""</formula>
    </cfRule>
  </conditionalFormatting>
  <conditionalFormatting sqref="C269">
    <cfRule type="expression" dxfId="11471" priority="3239">
      <formula>B269=""</formula>
    </cfRule>
  </conditionalFormatting>
  <conditionalFormatting sqref="C270">
    <cfRule type="expression" dxfId="11470" priority="3238">
      <formula>B270=""</formula>
    </cfRule>
  </conditionalFormatting>
  <conditionalFormatting sqref="C271">
    <cfRule type="expression" dxfId="11469" priority="3237">
      <formula>B271=""</formula>
    </cfRule>
  </conditionalFormatting>
  <conditionalFormatting sqref="C252:C271">
    <cfRule type="expression" dxfId="11468" priority="3236">
      <formula>B252=""</formula>
    </cfRule>
  </conditionalFormatting>
  <conditionalFormatting sqref="C253 C255 C257 C259 C261 C263 C265 C267 C269 C271">
    <cfRule type="expression" dxfId="11467" priority="3235">
      <formula>B253=""</formula>
    </cfRule>
  </conditionalFormatting>
  <conditionalFormatting sqref="C254:C264">
    <cfRule type="expression" dxfId="11466" priority="3234">
      <formula>B254=""</formula>
    </cfRule>
  </conditionalFormatting>
  <conditionalFormatting sqref="C265">
    <cfRule type="expression" dxfId="11465" priority="3233">
      <formula>B265=""</formula>
    </cfRule>
  </conditionalFormatting>
  <conditionalFormatting sqref="C266">
    <cfRule type="expression" dxfId="11464" priority="3232">
      <formula>B266=""</formula>
    </cfRule>
  </conditionalFormatting>
  <conditionalFormatting sqref="C267">
    <cfRule type="expression" dxfId="11463" priority="3231">
      <formula>B267=""</formula>
    </cfRule>
  </conditionalFormatting>
  <conditionalFormatting sqref="C268">
    <cfRule type="expression" dxfId="11462" priority="3230">
      <formula>B268=""</formula>
    </cfRule>
  </conditionalFormatting>
  <conditionalFormatting sqref="C269">
    <cfRule type="expression" dxfId="11461" priority="3229">
      <formula>B269=""</formula>
    </cfRule>
  </conditionalFormatting>
  <conditionalFormatting sqref="C270">
    <cfRule type="expression" dxfId="11460" priority="3228">
      <formula>B270=""</formula>
    </cfRule>
  </conditionalFormatting>
  <conditionalFormatting sqref="C271">
    <cfRule type="expression" dxfId="11459" priority="3227">
      <formula>B271=""</formula>
    </cfRule>
  </conditionalFormatting>
  <conditionalFormatting sqref="C252:C271">
    <cfRule type="expression" dxfId="11458" priority="3226">
      <formula>B252=""</formula>
    </cfRule>
  </conditionalFormatting>
  <conditionalFormatting sqref="C253 C255 C257 C259 C261 C263 C265 C267 C269 C271">
    <cfRule type="expression" dxfId="11457" priority="3225">
      <formula>B253=""</formula>
    </cfRule>
  </conditionalFormatting>
  <conditionalFormatting sqref="C254:C264">
    <cfRule type="expression" dxfId="11456" priority="3224">
      <formula>B254=""</formula>
    </cfRule>
  </conditionalFormatting>
  <conditionalFormatting sqref="C265">
    <cfRule type="expression" dxfId="11455" priority="3223">
      <formula>B265=""</formula>
    </cfRule>
  </conditionalFormatting>
  <conditionalFormatting sqref="C266">
    <cfRule type="expression" dxfId="11454" priority="3222">
      <formula>B266=""</formula>
    </cfRule>
  </conditionalFormatting>
  <conditionalFormatting sqref="C267">
    <cfRule type="expression" dxfId="11453" priority="3221">
      <formula>B267=""</formula>
    </cfRule>
  </conditionalFormatting>
  <conditionalFormatting sqref="C268">
    <cfRule type="expression" dxfId="11452" priority="3220">
      <formula>B268=""</formula>
    </cfRule>
  </conditionalFormatting>
  <conditionalFormatting sqref="C269">
    <cfRule type="expression" dxfId="11451" priority="3219">
      <formula>B269=""</formula>
    </cfRule>
  </conditionalFormatting>
  <conditionalFormatting sqref="C270">
    <cfRule type="expression" dxfId="11450" priority="3218">
      <formula>B270=""</formula>
    </cfRule>
  </conditionalFormatting>
  <conditionalFormatting sqref="C271">
    <cfRule type="expression" dxfId="11449" priority="3217">
      <formula>B271=""</formula>
    </cfRule>
  </conditionalFormatting>
  <conditionalFormatting sqref="C252 C254 C256 C258 C260 C262 C264 C266 C268 C270">
    <cfRule type="expression" dxfId="11448" priority="3216">
      <formula>B252=""</formula>
    </cfRule>
  </conditionalFormatting>
  <conditionalFormatting sqref="C253 C255 C257 C259 C261 C263 C265 C267 C269 C271">
    <cfRule type="expression" dxfId="11447" priority="3215">
      <formula>B253=""</formula>
    </cfRule>
  </conditionalFormatting>
  <conditionalFormatting sqref="C254:C264">
    <cfRule type="expression" dxfId="11446" priority="3214">
      <formula>B254=""</formula>
    </cfRule>
  </conditionalFormatting>
  <conditionalFormatting sqref="C265">
    <cfRule type="expression" dxfId="11445" priority="3213">
      <formula>B265=""</formula>
    </cfRule>
  </conditionalFormatting>
  <conditionalFormatting sqref="C266">
    <cfRule type="expression" dxfId="11444" priority="3212">
      <formula>B266=""</formula>
    </cfRule>
  </conditionalFormatting>
  <conditionalFormatting sqref="C267">
    <cfRule type="expression" dxfId="11443" priority="3211">
      <formula>B267=""</formula>
    </cfRule>
  </conditionalFormatting>
  <conditionalFormatting sqref="C268">
    <cfRule type="expression" dxfId="11442" priority="3210">
      <formula>B268=""</formula>
    </cfRule>
  </conditionalFormatting>
  <conditionalFormatting sqref="C269">
    <cfRule type="expression" dxfId="11441" priority="3209">
      <formula>B269=""</formula>
    </cfRule>
  </conditionalFormatting>
  <conditionalFormatting sqref="C270">
    <cfRule type="expression" dxfId="11440" priority="3208">
      <formula>B270=""</formula>
    </cfRule>
  </conditionalFormatting>
  <conditionalFormatting sqref="C271">
    <cfRule type="expression" dxfId="11439" priority="3207">
      <formula>B271=""</formula>
    </cfRule>
  </conditionalFormatting>
  <conditionalFormatting sqref="C274:C293">
    <cfRule type="expression" dxfId="11438" priority="3206">
      <formula>B274=""</formula>
    </cfRule>
  </conditionalFormatting>
  <conditionalFormatting sqref="C275 C277 C279 C281 C283 C285 C287 C289 C291 C293">
    <cfRule type="expression" dxfId="11437" priority="3205">
      <formula>B275=""</formula>
    </cfRule>
  </conditionalFormatting>
  <conditionalFormatting sqref="C276:C286">
    <cfRule type="expression" dxfId="11436" priority="3204">
      <formula>B276=""</formula>
    </cfRule>
  </conditionalFormatting>
  <conditionalFormatting sqref="C287">
    <cfRule type="expression" dxfId="11435" priority="3203">
      <formula>B287=""</formula>
    </cfRule>
  </conditionalFormatting>
  <conditionalFormatting sqref="C288">
    <cfRule type="expression" dxfId="11434" priority="3202">
      <formula>B288=""</formula>
    </cfRule>
  </conditionalFormatting>
  <conditionalFormatting sqref="C289">
    <cfRule type="expression" dxfId="11433" priority="3201">
      <formula>B289=""</formula>
    </cfRule>
  </conditionalFormatting>
  <conditionalFormatting sqref="C290">
    <cfRule type="expression" dxfId="11432" priority="3200">
      <formula>B290=""</formula>
    </cfRule>
  </conditionalFormatting>
  <conditionalFormatting sqref="C291">
    <cfRule type="expression" dxfId="11431" priority="3199">
      <formula>B291=""</formula>
    </cfRule>
  </conditionalFormatting>
  <conditionalFormatting sqref="C292">
    <cfRule type="expression" dxfId="11430" priority="3198">
      <formula>B292=""</formula>
    </cfRule>
  </conditionalFormatting>
  <conditionalFormatting sqref="C293">
    <cfRule type="expression" dxfId="11429" priority="3197">
      <formula>B293=""</formula>
    </cfRule>
  </conditionalFormatting>
  <conditionalFormatting sqref="C293">
    <cfRule type="expression" dxfId="11428" priority="3196">
      <formula>B293=""</formula>
    </cfRule>
  </conditionalFormatting>
  <conditionalFormatting sqref="C274:C293">
    <cfRule type="expression" dxfId="11427" priority="3195">
      <formula>B274=""</formula>
    </cfRule>
  </conditionalFormatting>
  <conditionalFormatting sqref="C275 C277 C279 C281 C283 C285 C287 C289 C291 C293">
    <cfRule type="expression" dxfId="11426" priority="3194">
      <formula>B275=""</formula>
    </cfRule>
  </conditionalFormatting>
  <conditionalFormatting sqref="C276:C286">
    <cfRule type="expression" dxfId="11425" priority="3193">
      <formula>B276=""</formula>
    </cfRule>
  </conditionalFormatting>
  <conditionalFormatting sqref="C287">
    <cfRule type="expression" dxfId="11424" priority="3192">
      <formula>B287=""</formula>
    </cfRule>
  </conditionalFormatting>
  <conditionalFormatting sqref="C288">
    <cfRule type="expression" dxfId="11423" priority="3191">
      <formula>B288=""</formula>
    </cfRule>
  </conditionalFormatting>
  <conditionalFormatting sqref="C289">
    <cfRule type="expression" dxfId="11422" priority="3190">
      <formula>B289=""</formula>
    </cfRule>
  </conditionalFormatting>
  <conditionalFormatting sqref="C290">
    <cfRule type="expression" dxfId="11421" priority="3189">
      <formula>B290=""</formula>
    </cfRule>
  </conditionalFormatting>
  <conditionalFormatting sqref="C291">
    <cfRule type="expression" dxfId="11420" priority="3188">
      <formula>B291=""</formula>
    </cfRule>
  </conditionalFormatting>
  <conditionalFormatting sqref="C292">
    <cfRule type="expression" dxfId="11419" priority="3187">
      <formula>B292=""</formula>
    </cfRule>
  </conditionalFormatting>
  <conditionalFormatting sqref="C293">
    <cfRule type="expression" dxfId="11418" priority="3186">
      <formula>B293=""</formula>
    </cfRule>
  </conditionalFormatting>
  <conditionalFormatting sqref="C274:C293">
    <cfRule type="expression" dxfId="11417" priority="3185">
      <formula>B274=""</formula>
    </cfRule>
  </conditionalFormatting>
  <conditionalFormatting sqref="C275 C277 C279 C281 C283 C285 C287 C289 C291 C293">
    <cfRule type="expression" dxfId="11416" priority="3184">
      <formula>B275=""</formula>
    </cfRule>
  </conditionalFormatting>
  <conditionalFormatting sqref="C276:C286">
    <cfRule type="expression" dxfId="11415" priority="3183">
      <formula>B276=""</formula>
    </cfRule>
  </conditionalFormatting>
  <conditionalFormatting sqref="C287">
    <cfRule type="expression" dxfId="11414" priority="3182">
      <formula>B287=""</formula>
    </cfRule>
  </conditionalFormatting>
  <conditionalFormatting sqref="C288">
    <cfRule type="expression" dxfId="11413" priority="3181">
      <formula>B288=""</formula>
    </cfRule>
  </conditionalFormatting>
  <conditionalFormatting sqref="C289">
    <cfRule type="expression" dxfId="11412" priority="3180">
      <formula>B289=""</formula>
    </cfRule>
  </conditionalFormatting>
  <conditionalFormatting sqref="C290">
    <cfRule type="expression" dxfId="11411" priority="3179">
      <formula>B290=""</formula>
    </cfRule>
  </conditionalFormatting>
  <conditionalFormatting sqref="C291">
    <cfRule type="expression" dxfId="11410" priority="3178">
      <formula>B291=""</formula>
    </cfRule>
  </conditionalFormatting>
  <conditionalFormatting sqref="C292">
    <cfRule type="expression" dxfId="11409" priority="3177">
      <formula>B292=""</formula>
    </cfRule>
  </conditionalFormatting>
  <conditionalFormatting sqref="C293">
    <cfRule type="expression" dxfId="11408" priority="3176">
      <formula>B293=""</formula>
    </cfRule>
  </conditionalFormatting>
  <conditionalFormatting sqref="C293">
    <cfRule type="expression" dxfId="11407" priority="3175">
      <formula>B293=""</formula>
    </cfRule>
  </conditionalFormatting>
  <conditionalFormatting sqref="C274:C293">
    <cfRule type="expression" dxfId="11406" priority="3174">
      <formula>B274=""</formula>
    </cfRule>
  </conditionalFormatting>
  <conditionalFormatting sqref="C275 C277 C279 C281 C283 C285 C287 C289 C291 C293">
    <cfRule type="expression" dxfId="11405" priority="3173">
      <formula>B275=""</formula>
    </cfRule>
  </conditionalFormatting>
  <conditionalFormatting sqref="C276:C286">
    <cfRule type="expression" dxfId="11404" priority="3172">
      <formula>B276=""</formula>
    </cfRule>
  </conditionalFormatting>
  <conditionalFormatting sqref="C287">
    <cfRule type="expression" dxfId="11403" priority="3171">
      <formula>B287=""</formula>
    </cfRule>
  </conditionalFormatting>
  <conditionalFormatting sqref="C288">
    <cfRule type="expression" dxfId="11402" priority="3170">
      <formula>B288=""</formula>
    </cfRule>
  </conditionalFormatting>
  <conditionalFormatting sqref="C289">
    <cfRule type="expression" dxfId="11401" priority="3169">
      <formula>B289=""</formula>
    </cfRule>
  </conditionalFormatting>
  <conditionalFormatting sqref="C290">
    <cfRule type="expression" dxfId="11400" priority="3168">
      <formula>B290=""</formula>
    </cfRule>
  </conditionalFormatting>
  <conditionalFormatting sqref="C291">
    <cfRule type="expression" dxfId="11399" priority="3167">
      <formula>B291=""</formula>
    </cfRule>
  </conditionalFormatting>
  <conditionalFormatting sqref="C292">
    <cfRule type="expression" dxfId="11398" priority="3166">
      <formula>B292=""</formula>
    </cfRule>
  </conditionalFormatting>
  <conditionalFormatting sqref="C293">
    <cfRule type="expression" dxfId="11397" priority="3165">
      <formula>B293=""</formula>
    </cfRule>
  </conditionalFormatting>
  <conditionalFormatting sqref="C274:C293">
    <cfRule type="expression" dxfId="11396" priority="3164">
      <formula>B274=""</formula>
    </cfRule>
  </conditionalFormatting>
  <conditionalFormatting sqref="C275 C277 C279 C281 C283 C285 C287 C289 C291 C293">
    <cfRule type="expression" dxfId="11395" priority="3163">
      <formula>B275=""</formula>
    </cfRule>
  </conditionalFormatting>
  <conditionalFormatting sqref="C276:C286">
    <cfRule type="expression" dxfId="11394" priority="3162">
      <formula>B276=""</formula>
    </cfRule>
  </conditionalFormatting>
  <conditionalFormatting sqref="C287">
    <cfRule type="expression" dxfId="11393" priority="3161">
      <formula>B287=""</formula>
    </cfRule>
  </conditionalFormatting>
  <conditionalFormatting sqref="C288">
    <cfRule type="expression" dxfId="11392" priority="3160">
      <formula>B288=""</formula>
    </cfRule>
  </conditionalFormatting>
  <conditionalFormatting sqref="C289">
    <cfRule type="expression" dxfId="11391" priority="3159">
      <formula>B289=""</formula>
    </cfRule>
  </conditionalFormatting>
  <conditionalFormatting sqref="C290">
    <cfRule type="expression" dxfId="11390" priority="3158">
      <formula>B290=""</formula>
    </cfRule>
  </conditionalFormatting>
  <conditionalFormatting sqref="C291">
    <cfRule type="expression" dxfId="11389" priority="3157">
      <formula>B291=""</formula>
    </cfRule>
  </conditionalFormatting>
  <conditionalFormatting sqref="C292">
    <cfRule type="expression" dxfId="11388" priority="3156">
      <formula>B292=""</formula>
    </cfRule>
  </conditionalFormatting>
  <conditionalFormatting sqref="C293">
    <cfRule type="expression" dxfId="11387" priority="3155">
      <formula>B293=""</formula>
    </cfRule>
  </conditionalFormatting>
  <conditionalFormatting sqref="C274:C293">
    <cfRule type="expression" dxfId="11386" priority="3154">
      <formula>B274=""</formula>
    </cfRule>
  </conditionalFormatting>
  <conditionalFormatting sqref="C275 C277 C279 C281 C283 C285 C287 C289 C291 C293">
    <cfRule type="expression" dxfId="11385" priority="3153">
      <formula>B275=""</formula>
    </cfRule>
  </conditionalFormatting>
  <conditionalFormatting sqref="C276:C286">
    <cfRule type="expression" dxfId="11384" priority="3152">
      <formula>B276=""</formula>
    </cfRule>
  </conditionalFormatting>
  <conditionalFormatting sqref="C287">
    <cfRule type="expression" dxfId="11383" priority="3151">
      <formula>B287=""</formula>
    </cfRule>
  </conditionalFormatting>
  <conditionalFormatting sqref="C288">
    <cfRule type="expression" dxfId="11382" priority="3150">
      <formula>B288=""</formula>
    </cfRule>
  </conditionalFormatting>
  <conditionalFormatting sqref="C289">
    <cfRule type="expression" dxfId="11381" priority="3149">
      <formula>B289=""</formula>
    </cfRule>
  </conditionalFormatting>
  <conditionalFormatting sqref="C290">
    <cfRule type="expression" dxfId="11380" priority="3148">
      <formula>B290=""</formula>
    </cfRule>
  </conditionalFormatting>
  <conditionalFormatting sqref="C291">
    <cfRule type="expression" dxfId="11379" priority="3147">
      <formula>B291=""</formula>
    </cfRule>
  </conditionalFormatting>
  <conditionalFormatting sqref="C292">
    <cfRule type="expression" dxfId="11378" priority="3146">
      <formula>B292=""</formula>
    </cfRule>
  </conditionalFormatting>
  <conditionalFormatting sqref="C293">
    <cfRule type="expression" dxfId="11377" priority="3145">
      <formula>B293=""</formula>
    </cfRule>
  </conditionalFormatting>
  <conditionalFormatting sqref="C274 C276 C278 C280 C282 C284 C286 C288 C290 C292">
    <cfRule type="expression" dxfId="11376" priority="3144">
      <formula>B274=""</formula>
    </cfRule>
  </conditionalFormatting>
  <conditionalFormatting sqref="C275 C277 C279 C281 C283 C285 C287 C289 C291 C293">
    <cfRule type="expression" dxfId="11375" priority="3143">
      <formula>B275=""</formula>
    </cfRule>
  </conditionalFormatting>
  <conditionalFormatting sqref="C276:C286">
    <cfRule type="expression" dxfId="11374" priority="3142">
      <formula>B276=""</formula>
    </cfRule>
  </conditionalFormatting>
  <conditionalFormatting sqref="C287">
    <cfRule type="expression" dxfId="11373" priority="3141">
      <formula>B287=""</formula>
    </cfRule>
  </conditionalFormatting>
  <conditionalFormatting sqref="C288">
    <cfRule type="expression" dxfId="11372" priority="3140">
      <formula>B288=""</formula>
    </cfRule>
  </conditionalFormatting>
  <conditionalFormatting sqref="C289">
    <cfRule type="expression" dxfId="11371" priority="3139">
      <formula>B289=""</formula>
    </cfRule>
  </conditionalFormatting>
  <conditionalFormatting sqref="C290">
    <cfRule type="expression" dxfId="11370" priority="3138">
      <formula>B290=""</formula>
    </cfRule>
  </conditionalFormatting>
  <conditionalFormatting sqref="C291">
    <cfRule type="expression" dxfId="11369" priority="3137">
      <formula>B291=""</formula>
    </cfRule>
  </conditionalFormatting>
  <conditionalFormatting sqref="C292">
    <cfRule type="expression" dxfId="11368" priority="3136">
      <formula>B292=""</formula>
    </cfRule>
  </conditionalFormatting>
  <conditionalFormatting sqref="C293">
    <cfRule type="expression" dxfId="11367" priority="3135">
      <formula>B293=""</formula>
    </cfRule>
  </conditionalFormatting>
  <conditionalFormatting sqref="B308:B328 B330:B350 B352:B372 B374:B394">
    <cfRule type="containsBlanks" dxfId="11366" priority="3134">
      <formula>LEN(TRIM(B308))=0</formula>
    </cfRule>
  </conditionalFormatting>
  <conditionalFormatting sqref="C308:C328">
    <cfRule type="expression" dxfId="11365" priority="3133">
      <formula>B308=""</formula>
    </cfRule>
  </conditionalFormatting>
  <conditionalFormatting sqref="C309">
    <cfRule type="expression" dxfId="11364" priority="3132">
      <formula>B309=""</formula>
    </cfRule>
  </conditionalFormatting>
  <conditionalFormatting sqref="C310:C320">
    <cfRule type="expression" dxfId="11363" priority="3131">
      <formula>B310=""</formula>
    </cfRule>
  </conditionalFormatting>
  <conditionalFormatting sqref="C321">
    <cfRule type="expression" dxfId="11362" priority="3130">
      <formula>B321=""</formula>
    </cfRule>
  </conditionalFormatting>
  <conditionalFormatting sqref="C322">
    <cfRule type="expression" dxfId="11361" priority="3129">
      <formula>B322=""</formula>
    </cfRule>
  </conditionalFormatting>
  <conditionalFormatting sqref="C323">
    <cfRule type="expression" dxfId="11360" priority="3128">
      <formula>B323=""</formula>
    </cfRule>
  </conditionalFormatting>
  <conditionalFormatting sqref="C324">
    <cfRule type="expression" dxfId="11359" priority="3127">
      <formula>B324=""</formula>
    </cfRule>
  </conditionalFormatting>
  <conditionalFormatting sqref="C325">
    <cfRule type="expression" dxfId="11358" priority="3126">
      <formula>B325=""</formula>
    </cfRule>
  </conditionalFormatting>
  <conditionalFormatting sqref="C326">
    <cfRule type="expression" dxfId="11357" priority="3125">
      <formula>B326=""</formula>
    </cfRule>
  </conditionalFormatting>
  <conditionalFormatting sqref="C327">
    <cfRule type="expression" dxfId="11356" priority="3124">
      <formula>B327=""</formula>
    </cfRule>
  </conditionalFormatting>
  <conditionalFormatting sqref="C328">
    <cfRule type="expression" dxfId="11355" priority="3123">
      <formula>B328=""</formula>
    </cfRule>
  </conditionalFormatting>
  <conditionalFormatting sqref="D308">
    <cfRule type="expression" dxfId="11354" priority="3122">
      <formula>B308=""</formula>
    </cfRule>
  </conditionalFormatting>
  <conditionalFormatting sqref="D309">
    <cfRule type="expression" dxfId="11353" priority="3121">
      <formula>B309=""</formula>
    </cfRule>
  </conditionalFormatting>
  <conditionalFormatting sqref="D310:D320">
    <cfRule type="expression" dxfId="11352" priority="3120">
      <formula>B310=""</formula>
    </cfRule>
  </conditionalFormatting>
  <conditionalFormatting sqref="D321">
    <cfRule type="expression" dxfId="11351" priority="3119">
      <formula>B321=""</formula>
    </cfRule>
  </conditionalFormatting>
  <conditionalFormatting sqref="D322">
    <cfRule type="expression" dxfId="11350" priority="3118">
      <formula>B322=""</formula>
    </cfRule>
  </conditionalFormatting>
  <conditionalFormatting sqref="D323">
    <cfRule type="expression" dxfId="11349" priority="3117">
      <formula>B323=""</formula>
    </cfRule>
  </conditionalFormatting>
  <conditionalFormatting sqref="D324">
    <cfRule type="expression" dxfId="11348" priority="3116">
      <formula>B324=""</formula>
    </cfRule>
  </conditionalFormatting>
  <conditionalFormatting sqref="D325">
    <cfRule type="expression" dxfId="11347" priority="3115">
      <formula>B325=""</formula>
    </cfRule>
  </conditionalFormatting>
  <conditionalFormatting sqref="D326">
    <cfRule type="expression" dxfId="11346" priority="3114">
      <formula>B326=""</formula>
    </cfRule>
  </conditionalFormatting>
  <conditionalFormatting sqref="D327">
    <cfRule type="expression" dxfId="11345" priority="3113">
      <formula>B327=""</formula>
    </cfRule>
  </conditionalFormatting>
  <conditionalFormatting sqref="D328">
    <cfRule type="expression" dxfId="11344" priority="3112">
      <formula>B328=""</formula>
    </cfRule>
  </conditionalFormatting>
  <conditionalFormatting sqref="E308 E310 E312 E314 E316 E318 E320 E322 E324 E326">
    <cfRule type="expression" dxfId="11343" priority="3111">
      <formula>B308=""</formula>
    </cfRule>
  </conditionalFormatting>
  <conditionalFormatting sqref="E309 E311 E313 E315 E317 E319 E321 E323 E325 E327">
    <cfRule type="expression" dxfId="11342" priority="3110">
      <formula>B309=""</formula>
    </cfRule>
  </conditionalFormatting>
  <conditionalFormatting sqref="E310:E320">
    <cfRule type="expression" dxfId="11341" priority="3109">
      <formula>B310=""</formula>
    </cfRule>
  </conditionalFormatting>
  <conditionalFormatting sqref="E321">
    <cfRule type="expression" dxfId="11340" priority="3108">
      <formula>B321=""</formula>
    </cfRule>
  </conditionalFormatting>
  <conditionalFormatting sqref="E322">
    <cfRule type="expression" dxfId="11339" priority="3107">
      <formula>B322=""</formula>
    </cfRule>
  </conditionalFormatting>
  <conditionalFormatting sqref="E323">
    <cfRule type="expression" dxfId="11338" priority="3106">
      <formula>B323=""</formula>
    </cfRule>
  </conditionalFormatting>
  <conditionalFormatting sqref="E324">
    <cfRule type="expression" dxfId="11337" priority="3105">
      <formula>B324=""</formula>
    </cfRule>
  </conditionalFormatting>
  <conditionalFormatting sqref="E325">
    <cfRule type="expression" dxfId="11336" priority="3104">
      <formula>B325=""</formula>
    </cfRule>
  </conditionalFormatting>
  <conditionalFormatting sqref="E326">
    <cfRule type="expression" dxfId="11335" priority="3103">
      <formula>B326=""</formula>
    </cfRule>
  </conditionalFormatting>
  <conditionalFormatting sqref="E327">
    <cfRule type="expression" dxfId="11334" priority="3102">
      <formula>B327=""</formula>
    </cfRule>
  </conditionalFormatting>
  <conditionalFormatting sqref="E328">
    <cfRule type="expression" dxfId="11333" priority="3101">
      <formula>B328=""</formula>
    </cfRule>
  </conditionalFormatting>
  <conditionalFormatting sqref="F308 F310 F312 F314 F316 F318 F320 F322 F324 F326">
    <cfRule type="expression" dxfId="11332" priority="3100">
      <formula>B308=""</formula>
    </cfRule>
  </conditionalFormatting>
  <conditionalFormatting sqref="F309 F311 F313 F315 F317 F319 F321 F323 F325 F327">
    <cfRule type="expression" dxfId="11331" priority="3099">
      <formula>B309=""</formula>
    </cfRule>
  </conditionalFormatting>
  <conditionalFormatting sqref="F310:F320">
    <cfRule type="expression" dxfId="11330" priority="3098">
      <formula>B310=""</formula>
    </cfRule>
  </conditionalFormatting>
  <conditionalFormatting sqref="F321">
    <cfRule type="expression" dxfId="11329" priority="3097">
      <formula>B321=""</formula>
    </cfRule>
  </conditionalFormatting>
  <conditionalFormatting sqref="F322">
    <cfRule type="expression" dxfId="11328" priority="3096">
      <formula>B322=""</formula>
    </cfRule>
  </conditionalFormatting>
  <conditionalFormatting sqref="F323">
    <cfRule type="expression" dxfId="11327" priority="3095">
      <formula>B323=""</formula>
    </cfRule>
  </conditionalFormatting>
  <conditionalFormatting sqref="F324">
    <cfRule type="expression" dxfId="11326" priority="3094">
      <formula>B324=""</formula>
    </cfRule>
  </conditionalFormatting>
  <conditionalFormatting sqref="F325">
    <cfRule type="expression" dxfId="11325" priority="3093">
      <formula>B325=""</formula>
    </cfRule>
  </conditionalFormatting>
  <conditionalFormatting sqref="F326">
    <cfRule type="expression" dxfId="11324" priority="3092">
      <formula>B326=""</formula>
    </cfRule>
  </conditionalFormatting>
  <conditionalFormatting sqref="F327">
    <cfRule type="expression" dxfId="11323" priority="3091">
      <formula>B327=""</formula>
    </cfRule>
  </conditionalFormatting>
  <conditionalFormatting sqref="F328">
    <cfRule type="expression" dxfId="11322" priority="3090">
      <formula>B328=""</formula>
    </cfRule>
  </conditionalFormatting>
  <conditionalFormatting sqref="E309 E311 E313 E315 E317 E319 E321 E323 E325 E327">
    <cfRule type="expression" dxfId="11321" priority="3089">
      <formula>B309=""</formula>
    </cfRule>
  </conditionalFormatting>
  <conditionalFormatting sqref="E310:E320">
    <cfRule type="expression" dxfId="11320" priority="3088">
      <formula>B310=""</formula>
    </cfRule>
  </conditionalFormatting>
  <conditionalFormatting sqref="E321">
    <cfRule type="expression" dxfId="11319" priority="3087">
      <formula>B321=""</formula>
    </cfRule>
  </conditionalFormatting>
  <conditionalFormatting sqref="E322">
    <cfRule type="expression" dxfId="11318" priority="3086">
      <formula>B322=""</formula>
    </cfRule>
  </conditionalFormatting>
  <conditionalFormatting sqref="E323">
    <cfRule type="expression" dxfId="11317" priority="3085">
      <formula>B323=""</formula>
    </cfRule>
  </conditionalFormatting>
  <conditionalFormatting sqref="E324">
    <cfRule type="expression" dxfId="11316" priority="3084">
      <formula>B324=""</formula>
    </cfRule>
  </conditionalFormatting>
  <conditionalFormatting sqref="E325">
    <cfRule type="expression" dxfId="11315" priority="3083">
      <formula>B325=""</formula>
    </cfRule>
  </conditionalFormatting>
  <conditionalFormatting sqref="E326">
    <cfRule type="expression" dxfId="11314" priority="3082">
      <formula>B326=""</formula>
    </cfRule>
  </conditionalFormatting>
  <conditionalFormatting sqref="E327">
    <cfRule type="expression" dxfId="11313" priority="3081">
      <formula>B327=""</formula>
    </cfRule>
  </conditionalFormatting>
  <conditionalFormatting sqref="E328">
    <cfRule type="expression" dxfId="11312" priority="3080">
      <formula>B328=""</formula>
    </cfRule>
  </conditionalFormatting>
  <conditionalFormatting sqref="G308 G310 G312 G314 G316 G318 G320 G322 G324 G326">
    <cfRule type="expression" dxfId="11311" priority="3079">
      <formula>B308=""</formula>
    </cfRule>
  </conditionalFormatting>
  <conditionalFormatting sqref="G309 G311 G313 G315 G317 G319 G321 G323 G325 G327">
    <cfRule type="expression" dxfId="11310" priority="3078">
      <formula>B309=""</formula>
    </cfRule>
  </conditionalFormatting>
  <conditionalFormatting sqref="G310:G320">
    <cfRule type="expression" dxfId="11309" priority="3077">
      <formula>B310=""</formula>
    </cfRule>
  </conditionalFormatting>
  <conditionalFormatting sqref="G321">
    <cfRule type="expression" dxfId="11308" priority="3076">
      <formula>B321=""</formula>
    </cfRule>
  </conditionalFormatting>
  <conditionalFormatting sqref="G322">
    <cfRule type="expression" dxfId="11307" priority="3075">
      <formula>B322=""</formula>
    </cfRule>
  </conditionalFormatting>
  <conditionalFormatting sqref="G323">
    <cfRule type="expression" dxfId="11306" priority="3074">
      <formula>B323=""</formula>
    </cfRule>
  </conditionalFormatting>
  <conditionalFormatting sqref="G324">
    <cfRule type="expression" dxfId="11305" priority="3073">
      <formula>B324=""</formula>
    </cfRule>
  </conditionalFormatting>
  <conditionalFormatting sqref="G325">
    <cfRule type="expression" dxfId="11304" priority="3072">
      <formula>B325=""</formula>
    </cfRule>
  </conditionalFormatting>
  <conditionalFormatting sqref="G326">
    <cfRule type="expression" dxfId="11303" priority="3071">
      <formula>B326=""</formula>
    </cfRule>
  </conditionalFormatting>
  <conditionalFormatting sqref="G327">
    <cfRule type="expression" dxfId="11302" priority="3070">
      <formula>B327=""</formula>
    </cfRule>
  </conditionalFormatting>
  <conditionalFormatting sqref="G328">
    <cfRule type="expression" dxfId="11301" priority="3069">
      <formula>B328=""</formula>
    </cfRule>
  </conditionalFormatting>
  <conditionalFormatting sqref="H308 H310 H312 H314 H316 H318 H320 H322 H324 H326">
    <cfRule type="expression" dxfId="11300" priority="3068">
      <formula>B308=""</formula>
    </cfRule>
  </conditionalFormatting>
  <conditionalFormatting sqref="H309 H311 H313 H315 H317 H319 H321 H323 H325 H327">
    <cfRule type="expression" dxfId="11299" priority="3067">
      <formula>B309=""</formula>
    </cfRule>
  </conditionalFormatting>
  <conditionalFormatting sqref="H310:H320">
    <cfRule type="expression" dxfId="11298" priority="3066">
      <formula>B310=""</formula>
    </cfRule>
  </conditionalFormatting>
  <conditionalFormatting sqref="H321">
    <cfRule type="expression" dxfId="11297" priority="3065">
      <formula>B321=""</formula>
    </cfRule>
  </conditionalFormatting>
  <conditionalFormatting sqref="H322">
    <cfRule type="expression" dxfId="11296" priority="3064">
      <formula>B322=""</formula>
    </cfRule>
  </conditionalFormatting>
  <conditionalFormatting sqref="H323">
    <cfRule type="expression" dxfId="11295" priority="3063">
      <formula>B323=""</formula>
    </cfRule>
  </conditionalFormatting>
  <conditionalFormatting sqref="H324">
    <cfRule type="expression" dxfId="11294" priority="3062">
      <formula>B324=""</formula>
    </cfRule>
  </conditionalFormatting>
  <conditionalFormatting sqref="H325">
    <cfRule type="expression" dxfId="11293" priority="3061">
      <formula>B325=""</formula>
    </cfRule>
  </conditionalFormatting>
  <conditionalFormatting sqref="H326">
    <cfRule type="expression" dxfId="11292" priority="3060">
      <formula>B326=""</formula>
    </cfRule>
  </conditionalFormatting>
  <conditionalFormatting sqref="H327">
    <cfRule type="expression" dxfId="11291" priority="3059">
      <formula>B327=""</formula>
    </cfRule>
  </conditionalFormatting>
  <conditionalFormatting sqref="H328">
    <cfRule type="expression" dxfId="11290" priority="3058">
      <formula>B328=""</formula>
    </cfRule>
  </conditionalFormatting>
  <conditionalFormatting sqref="C330:C350">
    <cfRule type="expression" dxfId="11289" priority="3057">
      <formula>B330=""</formula>
    </cfRule>
  </conditionalFormatting>
  <conditionalFormatting sqref="C331 C333 C335 C337 C339 C341 C343 C345 C347 C349">
    <cfRule type="expression" dxfId="11288" priority="3056">
      <formula>B331=""</formula>
    </cfRule>
  </conditionalFormatting>
  <conditionalFormatting sqref="C332:C342">
    <cfRule type="expression" dxfId="11287" priority="3055">
      <formula>B332=""</formula>
    </cfRule>
  </conditionalFormatting>
  <conditionalFormatting sqref="C343">
    <cfRule type="expression" dxfId="11286" priority="3054">
      <formula>B343=""</formula>
    </cfRule>
  </conditionalFormatting>
  <conditionalFormatting sqref="C344">
    <cfRule type="expression" dxfId="11285" priority="3053">
      <formula>B344=""</formula>
    </cfRule>
  </conditionalFormatting>
  <conditionalFormatting sqref="C345">
    <cfRule type="expression" dxfId="11284" priority="3052">
      <formula>B345=""</formula>
    </cfRule>
  </conditionalFormatting>
  <conditionalFormatting sqref="C346">
    <cfRule type="expression" dxfId="11283" priority="3051">
      <formula>B346=""</formula>
    </cfRule>
  </conditionalFormatting>
  <conditionalFormatting sqref="C347">
    <cfRule type="expression" dxfId="11282" priority="3050">
      <formula>B347=""</formula>
    </cfRule>
  </conditionalFormatting>
  <conditionalFormatting sqref="C348">
    <cfRule type="expression" dxfId="11281" priority="3049">
      <formula>B348=""</formula>
    </cfRule>
  </conditionalFormatting>
  <conditionalFormatting sqref="C349">
    <cfRule type="expression" dxfId="11280" priority="3048">
      <formula>B349=""</formula>
    </cfRule>
  </conditionalFormatting>
  <conditionalFormatting sqref="C350">
    <cfRule type="expression" dxfId="11279" priority="3047">
      <formula>B350=""</formula>
    </cfRule>
  </conditionalFormatting>
  <conditionalFormatting sqref="D330 D332 D334 D336 D338 D340 D342 D344 D346 D348">
    <cfRule type="expression" dxfId="11278" priority="3046">
      <formula>B330=""</formula>
    </cfRule>
  </conditionalFormatting>
  <conditionalFormatting sqref="D331 D333 D335 D337 D339 D341 D343 D345 D347 D349">
    <cfRule type="expression" dxfId="11277" priority="3045">
      <formula>B331=""</formula>
    </cfRule>
  </conditionalFormatting>
  <conditionalFormatting sqref="D332:D342">
    <cfRule type="expression" dxfId="11276" priority="3044">
      <formula>B332=""</formula>
    </cfRule>
  </conditionalFormatting>
  <conditionalFormatting sqref="D343">
    <cfRule type="expression" dxfId="11275" priority="3043">
      <formula>B343=""</formula>
    </cfRule>
  </conditionalFormatting>
  <conditionalFormatting sqref="D344">
    <cfRule type="expression" dxfId="11274" priority="3042">
      <formula>B344=""</formula>
    </cfRule>
  </conditionalFormatting>
  <conditionalFormatting sqref="D345">
    <cfRule type="expression" dxfId="11273" priority="3041">
      <formula>B345=""</formula>
    </cfRule>
  </conditionalFormatting>
  <conditionalFormatting sqref="D346">
    <cfRule type="expression" dxfId="11272" priority="3040">
      <formula>B346=""</formula>
    </cfRule>
  </conditionalFormatting>
  <conditionalFormatting sqref="D347">
    <cfRule type="expression" dxfId="11271" priority="3039">
      <formula>B347=""</formula>
    </cfRule>
  </conditionalFormatting>
  <conditionalFormatting sqref="D348">
    <cfRule type="expression" dxfId="11270" priority="3038">
      <formula>B348=""</formula>
    </cfRule>
  </conditionalFormatting>
  <conditionalFormatting sqref="D349">
    <cfRule type="expression" dxfId="11269" priority="3037">
      <formula>B349=""</formula>
    </cfRule>
  </conditionalFormatting>
  <conditionalFormatting sqref="D350">
    <cfRule type="expression" dxfId="11268" priority="3036">
      <formula>B350=""</formula>
    </cfRule>
  </conditionalFormatting>
  <conditionalFormatting sqref="E330 E332 E334 E336 E338 E340 E342 E344 E346 E348">
    <cfRule type="expression" dxfId="11267" priority="3035">
      <formula>B330=""</formula>
    </cfRule>
  </conditionalFormatting>
  <conditionalFormatting sqref="E331 E333 E335 E337 E339 E341 E343 E345 E347 E349">
    <cfRule type="expression" dxfId="11266" priority="3034">
      <formula>B331=""</formula>
    </cfRule>
  </conditionalFormatting>
  <conditionalFormatting sqref="E332:E342">
    <cfRule type="expression" dxfId="11265" priority="3033">
      <formula>B332=""</formula>
    </cfRule>
  </conditionalFormatting>
  <conditionalFormatting sqref="E343">
    <cfRule type="expression" dxfId="11264" priority="3032">
      <formula>B343=""</formula>
    </cfRule>
  </conditionalFormatting>
  <conditionalFormatting sqref="E344">
    <cfRule type="expression" dxfId="11263" priority="3031">
      <formula>B344=""</formula>
    </cfRule>
  </conditionalFormatting>
  <conditionalFormatting sqref="E345">
    <cfRule type="expression" dxfId="11262" priority="3030">
      <formula>B345=""</formula>
    </cfRule>
  </conditionalFormatting>
  <conditionalFormatting sqref="E346">
    <cfRule type="expression" dxfId="11261" priority="3029">
      <formula>B346=""</formula>
    </cfRule>
  </conditionalFormatting>
  <conditionalFormatting sqref="E347">
    <cfRule type="expression" dxfId="11260" priority="3028">
      <formula>B347=""</formula>
    </cfRule>
  </conditionalFormatting>
  <conditionalFormatting sqref="E348">
    <cfRule type="expression" dxfId="11259" priority="3027">
      <formula>B348=""</formula>
    </cfRule>
  </conditionalFormatting>
  <conditionalFormatting sqref="E349">
    <cfRule type="expression" dxfId="11258" priority="3026">
      <formula>B349=""</formula>
    </cfRule>
  </conditionalFormatting>
  <conditionalFormatting sqref="E350">
    <cfRule type="expression" dxfId="11257" priority="3025">
      <formula>B350=""</formula>
    </cfRule>
  </conditionalFormatting>
  <conditionalFormatting sqref="F330 F332 F334 F336 F338 F340 F342 F344 F346 F348">
    <cfRule type="expression" dxfId="11256" priority="3024">
      <formula>B330=""</formula>
    </cfRule>
  </conditionalFormatting>
  <conditionalFormatting sqref="F331 F333 F335 F337 F339 F341 F343 F345 F347 F349">
    <cfRule type="expression" dxfId="11255" priority="3023">
      <formula>B331=""</formula>
    </cfRule>
  </conditionalFormatting>
  <conditionalFormatting sqref="F332:F342">
    <cfRule type="expression" dxfId="11254" priority="3022">
      <formula>B332=""</formula>
    </cfRule>
  </conditionalFormatting>
  <conditionalFormatting sqref="F343">
    <cfRule type="expression" dxfId="11253" priority="3021">
      <formula>B343=""</formula>
    </cfRule>
  </conditionalFormatting>
  <conditionalFormatting sqref="F344">
    <cfRule type="expression" dxfId="11252" priority="3020">
      <formula>B344=""</formula>
    </cfRule>
  </conditionalFormatting>
  <conditionalFormatting sqref="F345">
    <cfRule type="expression" dxfId="11251" priority="3019">
      <formula>B345=""</formula>
    </cfRule>
  </conditionalFormatting>
  <conditionalFormatting sqref="F346">
    <cfRule type="expression" dxfId="11250" priority="3018">
      <formula>B346=""</formula>
    </cfRule>
  </conditionalFormatting>
  <conditionalFormatting sqref="F347">
    <cfRule type="expression" dxfId="11249" priority="3017">
      <formula>B347=""</formula>
    </cfRule>
  </conditionalFormatting>
  <conditionalFormatting sqref="F348">
    <cfRule type="expression" dxfId="11248" priority="3016">
      <formula>B348=""</formula>
    </cfRule>
  </conditionalFormatting>
  <conditionalFormatting sqref="F349">
    <cfRule type="expression" dxfId="11247" priority="3015">
      <formula>B349=""</formula>
    </cfRule>
  </conditionalFormatting>
  <conditionalFormatting sqref="F350">
    <cfRule type="expression" dxfId="11246" priority="3014">
      <formula>B350=""</formula>
    </cfRule>
  </conditionalFormatting>
  <conditionalFormatting sqref="E331 E333 E335 E337 E339 E341 E343 E345 E347 E349">
    <cfRule type="expression" dxfId="11245" priority="3013">
      <formula>B331=""</formula>
    </cfRule>
  </conditionalFormatting>
  <conditionalFormatting sqref="E332:E342">
    <cfRule type="expression" dxfId="11244" priority="3012">
      <formula>B332=""</formula>
    </cfRule>
  </conditionalFormatting>
  <conditionalFormatting sqref="E343">
    <cfRule type="expression" dxfId="11243" priority="3011">
      <formula>B343=""</formula>
    </cfRule>
  </conditionalFormatting>
  <conditionalFormatting sqref="E344">
    <cfRule type="expression" dxfId="11242" priority="3010">
      <formula>B344=""</formula>
    </cfRule>
  </conditionalFormatting>
  <conditionalFormatting sqref="E345">
    <cfRule type="expression" dxfId="11241" priority="3009">
      <formula>B345=""</formula>
    </cfRule>
  </conditionalFormatting>
  <conditionalFormatting sqref="E346">
    <cfRule type="expression" dxfId="11240" priority="3008">
      <formula>B346=""</formula>
    </cfRule>
  </conditionalFormatting>
  <conditionalFormatting sqref="E347">
    <cfRule type="expression" dxfId="11239" priority="3007">
      <formula>B347=""</formula>
    </cfRule>
  </conditionalFormatting>
  <conditionalFormatting sqref="E348">
    <cfRule type="expression" dxfId="11238" priority="3006">
      <formula>B348=""</formula>
    </cfRule>
  </conditionalFormatting>
  <conditionalFormatting sqref="E349">
    <cfRule type="expression" dxfId="11237" priority="3005">
      <formula>B349=""</formula>
    </cfRule>
  </conditionalFormatting>
  <conditionalFormatting sqref="E350">
    <cfRule type="expression" dxfId="11236" priority="3004">
      <formula>B350=""</formula>
    </cfRule>
  </conditionalFormatting>
  <conditionalFormatting sqref="G330 G332 G334 G336 G338 G340 G342 G344 G346 G348">
    <cfRule type="expression" dxfId="11235" priority="3003">
      <formula>B330=""</formula>
    </cfRule>
  </conditionalFormatting>
  <conditionalFormatting sqref="G331 G333 G335 G337 G339 G341 G343 G345 G347 G349">
    <cfRule type="expression" dxfId="11234" priority="3002">
      <formula>B331=""</formula>
    </cfRule>
  </conditionalFormatting>
  <conditionalFormatting sqref="G332:G342">
    <cfRule type="expression" dxfId="11233" priority="3001">
      <formula>B332=""</formula>
    </cfRule>
  </conditionalFormatting>
  <conditionalFormatting sqref="G343">
    <cfRule type="expression" dxfId="11232" priority="3000">
      <formula>B343=""</formula>
    </cfRule>
  </conditionalFormatting>
  <conditionalFormatting sqref="G344">
    <cfRule type="expression" dxfId="11231" priority="2999">
      <formula>B344=""</formula>
    </cfRule>
  </conditionalFormatting>
  <conditionalFormatting sqref="G345">
    <cfRule type="expression" dxfId="11230" priority="2998">
      <formula>B345=""</formula>
    </cfRule>
  </conditionalFormatting>
  <conditionalFormatting sqref="G346">
    <cfRule type="expression" dxfId="11229" priority="2997">
      <formula>B346=""</formula>
    </cfRule>
  </conditionalFormatting>
  <conditionalFormatting sqref="G347">
    <cfRule type="expression" dxfId="11228" priority="2996">
      <formula>B347=""</formula>
    </cfRule>
  </conditionalFormatting>
  <conditionalFormatting sqref="G348">
    <cfRule type="expression" dxfId="11227" priority="2995">
      <formula>B348=""</formula>
    </cfRule>
  </conditionalFormatting>
  <conditionalFormatting sqref="G349">
    <cfRule type="expression" dxfId="11226" priority="2994">
      <formula>B349=""</formula>
    </cfRule>
  </conditionalFormatting>
  <conditionalFormatting sqref="G350">
    <cfRule type="expression" dxfId="11225" priority="2993">
      <formula>B350=""</formula>
    </cfRule>
  </conditionalFormatting>
  <conditionalFormatting sqref="H330 H332 H334 H336 H338 H340 H342 H344 H346 H348">
    <cfRule type="expression" dxfId="11224" priority="2992">
      <formula>B330=""</formula>
    </cfRule>
  </conditionalFormatting>
  <conditionalFormatting sqref="H331 H333 H335 H337 H339 H341 H343 H345 H347 H349">
    <cfRule type="expression" dxfId="11223" priority="2991">
      <formula>B331=""</formula>
    </cfRule>
  </conditionalFormatting>
  <conditionalFormatting sqref="H332:H342">
    <cfRule type="expression" dxfId="11222" priority="2990">
      <formula>B332=""</formula>
    </cfRule>
  </conditionalFormatting>
  <conditionalFormatting sqref="H343">
    <cfRule type="expression" dxfId="11221" priority="2989">
      <formula>B343=""</formula>
    </cfRule>
  </conditionalFormatting>
  <conditionalFormatting sqref="H344">
    <cfRule type="expression" dxfId="11220" priority="2988">
      <formula>B344=""</formula>
    </cfRule>
  </conditionalFormatting>
  <conditionalFormatting sqref="H345">
    <cfRule type="expression" dxfId="11219" priority="2987">
      <formula>B345=""</formula>
    </cfRule>
  </conditionalFormatting>
  <conditionalFormatting sqref="H346">
    <cfRule type="expression" dxfId="11218" priority="2986">
      <formula>B346=""</formula>
    </cfRule>
  </conditionalFormatting>
  <conditionalFormatting sqref="H347">
    <cfRule type="expression" dxfId="11217" priority="2985">
      <formula>B347=""</formula>
    </cfRule>
  </conditionalFormatting>
  <conditionalFormatting sqref="H348">
    <cfRule type="expression" dxfId="11216" priority="2984">
      <formula>B348=""</formula>
    </cfRule>
  </conditionalFormatting>
  <conditionalFormatting sqref="H349">
    <cfRule type="expression" dxfId="11215" priority="2983">
      <formula>B349=""</formula>
    </cfRule>
  </conditionalFormatting>
  <conditionalFormatting sqref="H350">
    <cfRule type="expression" dxfId="11214" priority="2982">
      <formula>B350=""</formula>
    </cfRule>
  </conditionalFormatting>
  <conditionalFormatting sqref="C352:C371">
    <cfRule type="expression" dxfId="11213" priority="2981">
      <formula>B352=""</formula>
    </cfRule>
  </conditionalFormatting>
  <conditionalFormatting sqref="C353 C355 C357 C359 C361 C363 C365 C367 C369 C371">
    <cfRule type="expression" dxfId="11212" priority="2980">
      <formula>B353=""</formula>
    </cfRule>
  </conditionalFormatting>
  <conditionalFormatting sqref="C354:C364">
    <cfRule type="expression" dxfId="11211" priority="2979">
      <formula>B354=""</formula>
    </cfRule>
  </conditionalFormatting>
  <conditionalFormatting sqref="C365">
    <cfRule type="expression" dxfId="11210" priority="2978">
      <formula>B365=""</formula>
    </cfRule>
  </conditionalFormatting>
  <conditionalFormatting sqref="C366">
    <cfRule type="expression" dxfId="11209" priority="2977">
      <formula>B366=""</formula>
    </cfRule>
  </conditionalFormatting>
  <conditionalFormatting sqref="C367">
    <cfRule type="expression" dxfId="11208" priority="2976">
      <formula>B367=""</formula>
    </cfRule>
  </conditionalFormatting>
  <conditionalFormatting sqref="C368">
    <cfRule type="expression" dxfId="11207" priority="2975">
      <formula>B368=""</formula>
    </cfRule>
  </conditionalFormatting>
  <conditionalFormatting sqref="C369">
    <cfRule type="expression" dxfId="11206" priority="2974">
      <formula>B369=""</formula>
    </cfRule>
  </conditionalFormatting>
  <conditionalFormatting sqref="C370">
    <cfRule type="expression" dxfId="11205" priority="2973">
      <formula>B370=""</formula>
    </cfRule>
  </conditionalFormatting>
  <conditionalFormatting sqref="C371">
    <cfRule type="expression" dxfId="11204" priority="2972">
      <formula>B371=""</formula>
    </cfRule>
  </conditionalFormatting>
  <conditionalFormatting sqref="C372">
    <cfRule type="expression" dxfId="11203" priority="2971">
      <formula>B372=""</formula>
    </cfRule>
  </conditionalFormatting>
  <conditionalFormatting sqref="D352 D354 D356 D358 D360 D362 D364 D366 D368 D370">
    <cfRule type="expression" dxfId="11202" priority="2970">
      <formula>B352=""</formula>
    </cfRule>
  </conditionalFormatting>
  <conditionalFormatting sqref="D353 D355 D357 D359 D361 D363 D365 D367 D369 D371">
    <cfRule type="expression" dxfId="11201" priority="2969">
      <formula>B353=""</formula>
    </cfRule>
  </conditionalFormatting>
  <conditionalFormatting sqref="D354:D364">
    <cfRule type="expression" dxfId="11200" priority="2968">
      <formula>B354=""</formula>
    </cfRule>
  </conditionalFormatting>
  <conditionalFormatting sqref="D365">
    <cfRule type="expression" dxfId="11199" priority="2967">
      <formula>B365=""</formula>
    </cfRule>
  </conditionalFormatting>
  <conditionalFormatting sqref="D366">
    <cfRule type="expression" dxfId="11198" priority="2966">
      <formula>B366=""</formula>
    </cfRule>
  </conditionalFormatting>
  <conditionalFormatting sqref="D367">
    <cfRule type="expression" dxfId="11197" priority="2965">
      <formula>B367=""</formula>
    </cfRule>
  </conditionalFormatting>
  <conditionalFormatting sqref="D368">
    <cfRule type="expression" dxfId="11196" priority="2964">
      <formula>B368=""</formula>
    </cfRule>
  </conditionalFormatting>
  <conditionalFormatting sqref="D369">
    <cfRule type="expression" dxfId="11195" priority="2963">
      <formula>B369=""</formula>
    </cfRule>
  </conditionalFormatting>
  <conditionalFormatting sqref="D370">
    <cfRule type="expression" dxfId="11194" priority="2962">
      <formula>B370=""</formula>
    </cfRule>
  </conditionalFormatting>
  <conditionalFormatting sqref="D371">
    <cfRule type="expression" dxfId="11193" priority="2961">
      <formula>B371=""</formula>
    </cfRule>
  </conditionalFormatting>
  <conditionalFormatting sqref="D372">
    <cfRule type="expression" dxfId="11192" priority="2960">
      <formula>B372=""</formula>
    </cfRule>
  </conditionalFormatting>
  <conditionalFormatting sqref="E352 E354 E356 E358 E360 E362 E364 E366 E368 E370">
    <cfRule type="expression" dxfId="11191" priority="2959">
      <formula>B352=""</formula>
    </cfRule>
  </conditionalFormatting>
  <conditionalFormatting sqref="E353 E355 E357 E359 E361 E363 E365 E367 E369 E371">
    <cfRule type="expression" dxfId="11190" priority="2958">
      <formula>B353=""</formula>
    </cfRule>
  </conditionalFormatting>
  <conditionalFormatting sqref="E354:E364">
    <cfRule type="expression" dxfId="11189" priority="2957">
      <formula>B354=""</formula>
    </cfRule>
  </conditionalFormatting>
  <conditionalFormatting sqref="E365">
    <cfRule type="expression" dxfId="11188" priority="2956">
      <formula>B365=""</formula>
    </cfRule>
  </conditionalFormatting>
  <conditionalFormatting sqref="E366">
    <cfRule type="expression" dxfId="11187" priority="2955">
      <formula>B366=""</formula>
    </cfRule>
  </conditionalFormatting>
  <conditionalFormatting sqref="E367">
    <cfRule type="expression" dxfId="11186" priority="2954">
      <formula>B367=""</formula>
    </cfRule>
  </conditionalFormatting>
  <conditionalFormatting sqref="E368">
    <cfRule type="expression" dxfId="11185" priority="2953">
      <formula>B368=""</formula>
    </cfRule>
  </conditionalFormatting>
  <conditionalFormatting sqref="E369">
    <cfRule type="expression" dxfId="11184" priority="2952">
      <formula>B369=""</formula>
    </cfRule>
  </conditionalFormatting>
  <conditionalFormatting sqref="E370">
    <cfRule type="expression" dxfId="11183" priority="2951">
      <formula>B370=""</formula>
    </cfRule>
  </conditionalFormatting>
  <conditionalFormatting sqref="E371">
    <cfRule type="expression" dxfId="11182" priority="2950">
      <formula>B371=""</formula>
    </cfRule>
  </conditionalFormatting>
  <conditionalFormatting sqref="E372">
    <cfRule type="expression" dxfId="11181" priority="2949">
      <formula>B372=""</formula>
    </cfRule>
  </conditionalFormatting>
  <conditionalFormatting sqref="F352 F354 F356 F358 F360 F362 F364 F366 F368 F370">
    <cfRule type="expression" dxfId="11180" priority="2948">
      <formula>B352=""</formula>
    </cfRule>
  </conditionalFormatting>
  <conditionalFormatting sqref="F353 F355 F357 F359 F361 F363 F365 F367 F369 F371">
    <cfRule type="expression" dxfId="11179" priority="2947">
      <formula>B353=""</formula>
    </cfRule>
  </conditionalFormatting>
  <conditionalFormatting sqref="F354:F364">
    <cfRule type="expression" dxfId="11178" priority="2946">
      <formula>B354=""</formula>
    </cfRule>
  </conditionalFormatting>
  <conditionalFormatting sqref="F365">
    <cfRule type="expression" dxfId="11177" priority="2945">
      <formula>B365=""</formula>
    </cfRule>
  </conditionalFormatting>
  <conditionalFormatting sqref="F366">
    <cfRule type="expression" dxfId="11176" priority="2944">
      <formula>B366=""</formula>
    </cfRule>
  </conditionalFormatting>
  <conditionalFormatting sqref="F367">
    <cfRule type="expression" dxfId="11175" priority="2943">
      <formula>B367=""</formula>
    </cfRule>
  </conditionalFormatting>
  <conditionalFormatting sqref="F368">
    <cfRule type="expression" dxfId="11174" priority="2942">
      <formula>B368=""</formula>
    </cfRule>
  </conditionalFormatting>
  <conditionalFormatting sqref="F369">
    <cfRule type="expression" dxfId="11173" priority="2941">
      <formula>B369=""</formula>
    </cfRule>
  </conditionalFormatting>
  <conditionalFormatting sqref="F370">
    <cfRule type="expression" dxfId="11172" priority="2940">
      <formula>B370=""</formula>
    </cfRule>
  </conditionalFormatting>
  <conditionalFormatting sqref="F371">
    <cfRule type="expression" dxfId="11171" priority="2939">
      <formula>B371=""</formula>
    </cfRule>
  </conditionalFormatting>
  <conditionalFormatting sqref="F372">
    <cfRule type="expression" dxfId="11170" priority="2938">
      <formula>B372=""</formula>
    </cfRule>
  </conditionalFormatting>
  <conditionalFormatting sqref="E353 E355 E357 E359 E361 E363 E365 E367 E369 E371">
    <cfRule type="expression" dxfId="11169" priority="2937">
      <formula>B353=""</formula>
    </cfRule>
  </conditionalFormatting>
  <conditionalFormatting sqref="E354:E364">
    <cfRule type="expression" dxfId="11168" priority="2936">
      <formula>B354=""</formula>
    </cfRule>
  </conditionalFormatting>
  <conditionalFormatting sqref="E365">
    <cfRule type="expression" dxfId="11167" priority="2935">
      <formula>B365=""</formula>
    </cfRule>
  </conditionalFormatting>
  <conditionalFormatting sqref="E366">
    <cfRule type="expression" dxfId="11166" priority="2934">
      <formula>B366=""</formula>
    </cfRule>
  </conditionalFormatting>
  <conditionalFormatting sqref="E367">
    <cfRule type="expression" dxfId="11165" priority="2933">
      <formula>B367=""</formula>
    </cfRule>
  </conditionalFormatting>
  <conditionalFormatting sqref="E368">
    <cfRule type="expression" dxfId="11164" priority="2932">
      <formula>B368=""</formula>
    </cfRule>
  </conditionalFormatting>
  <conditionalFormatting sqref="E369">
    <cfRule type="expression" dxfId="11163" priority="2931">
      <formula>B369=""</formula>
    </cfRule>
  </conditionalFormatting>
  <conditionalFormatting sqref="E370">
    <cfRule type="expression" dxfId="11162" priority="2930">
      <formula>B370=""</formula>
    </cfRule>
  </conditionalFormatting>
  <conditionalFormatting sqref="E371">
    <cfRule type="expression" dxfId="11161" priority="2929">
      <formula>B371=""</formula>
    </cfRule>
  </conditionalFormatting>
  <conditionalFormatting sqref="E372">
    <cfRule type="expression" dxfId="11160" priority="2928">
      <formula>B372=""</formula>
    </cfRule>
  </conditionalFormatting>
  <conditionalFormatting sqref="G352 G354 G356 G358 G360 G362 G364 G366 G368 G370">
    <cfRule type="expression" dxfId="11159" priority="2927">
      <formula>B352=""</formula>
    </cfRule>
  </conditionalFormatting>
  <conditionalFormatting sqref="G353 G355 G357 G359 G361 G363 G365 G367 G369 G371">
    <cfRule type="expression" dxfId="11158" priority="2926">
      <formula>B353=""</formula>
    </cfRule>
  </conditionalFormatting>
  <conditionalFormatting sqref="G354:G364">
    <cfRule type="expression" dxfId="11157" priority="2925">
      <formula>B354=""</formula>
    </cfRule>
  </conditionalFormatting>
  <conditionalFormatting sqref="G365">
    <cfRule type="expression" dxfId="11156" priority="2924">
      <formula>B365=""</formula>
    </cfRule>
  </conditionalFormatting>
  <conditionalFormatting sqref="G366">
    <cfRule type="expression" dxfId="11155" priority="2923">
      <formula>B366=""</formula>
    </cfRule>
  </conditionalFormatting>
  <conditionalFormatting sqref="G367">
    <cfRule type="expression" dxfId="11154" priority="2922">
      <formula>B367=""</formula>
    </cfRule>
  </conditionalFormatting>
  <conditionalFormatting sqref="G368">
    <cfRule type="expression" dxfId="11153" priority="2921">
      <formula>B368=""</formula>
    </cfRule>
  </conditionalFormatting>
  <conditionalFormatting sqref="G369">
    <cfRule type="expression" dxfId="11152" priority="2920">
      <formula>B369=""</formula>
    </cfRule>
  </conditionalFormatting>
  <conditionalFormatting sqref="G370">
    <cfRule type="expression" dxfId="11151" priority="2919">
      <formula>B370=""</formula>
    </cfRule>
  </conditionalFormatting>
  <conditionalFormatting sqref="G371">
    <cfRule type="expression" dxfId="11150" priority="2918">
      <formula>B371=""</formula>
    </cfRule>
  </conditionalFormatting>
  <conditionalFormatting sqref="G372">
    <cfRule type="expression" dxfId="11149" priority="2917">
      <formula>B372=""</formula>
    </cfRule>
  </conditionalFormatting>
  <conditionalFormatting sqref="H352 H354 H356 H358 H360 H362 H364 H366 H368 H370">
    <cfRule type="expression" dxfId="11148" priority="2916">
      <formula>B352=""</formula>
    </cfRule>
  </conditionalFormatting>
  <conditionalFormatting sqref="H353 H355 H357 H359 H361 H363 H365 H367 H369 H371">
    <cfRule type="expression" dxfId="11147" priority="2915">
      <formula>B353=""</formula>
    </cfRule>
  </conditionalFormatting>
  <conditionalFormatting sqref="H354:H364">
    <cfRule type="expression" dxfId="11146" priority="2914">
      <formula>B354=""</formula>
    </cfRule>
  </conditionalFormatting>
  <conditionalFormatting sqref="H365">
    <cfRule type="expression" dxfId="11145" priority="2913">
      <formula>B365=""</formula>
    </cfRule>
  </conditionalFormatting>
  <conditionalFormatting sqref="H366">
    <cfRule type="expression" dxfId="11144" priority="2912">
      <formula>B366=""</formula>
    </cfRule>
  </conditionalFormatting>
  <conditionalFormatting sqref="H367">
    <cfRule type="expression" dxfId="11143" priority="2911">
      <formula>B367=""</formula>
    </cfRule>
  </conditionalFormatting>
  <conditionalFormatting sqref="H368">
    <cfRule type="expression" dxfId="11142" priority="2910">
      <formula>B368=""</formula>
    </cfRule>
  </conditionalFormatting>
  <conditionalFormatting sqref="H369">
    <cfRule type="expression" dxfId="11141" priority="2909">
      <formula>B369=""</formula>
    </cfRule>
  </conditionalFormatting>
  <conditionalFormatting sqref="H370">
    <cfRule type="expression" dxfId="11140" priority="2908">
      <formula>B370=""</formula>
    </cfRule>
  </conditionalFormatting>
  <conditionalFormatting sqref="H371">
    <cfRule type="expression" dxfId="11139" priority="2907">
      <formula>B371=""</formula>
    </cfRule>
  </conditionalFormatting>
  <conditionalFormatting sqref="H372">
    <cfRule type="expression" dxfId="11138" priority="2906">
      <formula>B372=""</formula>
    </cfRule>
  </conditionalFormatting>
  <conditionalFormatting sqref="C374:C394">
    <cfRule type="expression" dxfId="11137" priority="2905">
      <formula>B374=""</formula>
    </cfRule>
  </conditionalFormatting>
  <conditionalFormatting sqref="C375 C377 C379 C381 C383 C385 C387 C389 C391 C393">
    <cfRule type="expression" dxfId="11136" priority="2904">
      <formula>B375=""</formula>
    </cfRule>
  </conditionalFormatting>
  <conditionalFormatting sqref="C376:C386">
    <cfRule type="expression" dxfId="11135" priority="2903">
      <formula>B376=""</formula>
    </cfRule>
  </conditionalFormatting>
  <conditionalFormatting sqref="C387">
    <cfRule type="expression" dxfId="11134" priority="2902">
      <formula>B387=""</formula>
    </cfRule>
  </conditionalFormatting>
  <conditionalFormatting sqref="C388">
    <cfRule type="expression" dxfId="11133" priority="2901">
      <formula>B388=""</formula>
    </cfRule>
  </conditionalFormatting>
  <conditionalFormatting sqref="C389">
    <cfRule type="expression" dxfId="11132" priority="2900">
      <formula>B389=""</formula>
    </cfRule>
  </conditionalFormatting>
  <conditionalFormatting sqref="C390">
    <cfRule type="expression" dxfId="11131" priority="2899">
      <formula>B390=""</formula>
    </cfRule>
  </conditionalFormatting>
  <conditionalFormatting sqref="C391">
    <cfRule type="expression" dxfId="11130" priority="2898">
      <formula>B391=""</formula>
    </cfRule>
  </conditionalFormatting>
  <conditionalFormatting sqref="C392">
    <cfRule type="expression" dxfId="11129" priority="2897">
      <formula>B392=""</formula>
    </cfRule>
  </conditionalFormatting>
  <conditionalFormatting sqref="C393">
    <cfRule type="expression" dxfId="11128" priority="2896">
      <formula>B393=""</formula>
    </cfRule>
  </conditionalFormatting>
  <conditionalFormatting sqref="C394">
    <cfRule type="expression" dxfId="11127" priority="2895">
      <formula>B394=""</formula>
    </cfRule>
  </conditionalFormatting>
  <conditionalFormatting sqref="D374 D376 D378 D380 D382 D384 D386 D388 D390 D392">
    <cfRule type="expression" dxfId="11126" priority="2894">
      <formula>B374=""</formula>
    </cfRule>
  </conditionalFormatting>
  <conditionalFormatting sqref="D375 D377 D379 D381 D383 D385 D387 D389 D391 D393">
    <cfRule type="expression" dxfId="11125" priority="2893">
      <formula>B375=""</formula>
    </cfRule>
  </conditionalFormatting>
  <conditionalFormatting sqref="D376:D386">
    <cfRule type="expression" dxfId="11124" priority="2892">
      <formula>B376=""</formula>
    </cfRule>
  </conditionalFormatting>
  <conditionalFormatting sqref="D387">
    <cfRule type="expression" dxfId="11123" priority="2891">
      <formula>B387=""</formula>
    </cfRule>
  </conditionalFormatting>
  <conditionalFormatting sqref="D388">
    <cfRule type="expression" dxfId="11122" priority="2890">
      <formula>B388=""</formula>
    </cfRule>
  </conditionalFormatting>
  <conditionalFormatting sqref="D389">
    <cfRule type="expression" dxfId="11121" priority="2889">
      <formula>B389=""</formula>
    </cfRule>
  </conditionalFormatting>
  <conditionalFormatting sqref="D390">
    <cfRule type="expression" dxfId="11120" priority="2888">
      <formula>B390=""</formula>
    </cfRule>
  </conditionalFormatting>
  <conditionalFormatting sqref="D391">
    <cfRule type="expression" dxfId="11119" priority="2887">
      <formula>B391=""</formula>
    </cfRule>
  </conditionalFormatting>
  <conditionalFormatting sqref="D392">
    <cfRule type="expression" dxfId="11118" priority="2886">
      <formula>B392=""</formula>
    </cfRule>
  </conditionalFormatting>
  <conditionalFormatting sqref="D393">
    <cfRule type="expression" dxfId="11117" priority="2885">
      <formula>B393=""</formula>
    </cfRule>
  </conditionalFormatting>
  <conditionalFormatting sqref="D394">
    <cfRule type="expression" dxfId="11116" priority="2884">
      <formula>B394=""</formula>
    </cfRule>
  </conditionalFormatting>
  <conditionalFormatting sqref="E374 E376 E378 E380 E382 E384 E386 E388 E390 E392">
    <cfRule type="expression" dxfId="11115" priority="2883">
      <formula>B374=""</formula>
    </cfRule>
  </conditionalFormatting>
  <conditionalFormatting sqref="E375 E377 E379 E381 E383 E385 E387 E389 E391 E393">
    <cfRule type="expression" dxfId="11114" priority="2882">
      <formula>B375=""</formula>
    </cfRule>
  </conditionalFormatting>
  <conditionalFormatting sqref="E376:E386">
    <cfRule type="expression" dxfId="11113" priority="2881">
      <formula>B376=""</formula>
    </cfRule>
  </conditionalFormatting>
  <conditionalFormatting sqref="E387">
    <cfRule type="expression" dxfId="11112" priority="2880">
      <formula>B387=""</formula>
    </cfRule>
  </conditionalFormatting>
  <conditionalFormatting sqref="E388">
    <cfRule type="expression" dxfId="11111" priority="2879">
      <formula>B388=""</formula>
    </cfRule>
  </conditionalFormatting>
  <conditionalFormatting sqref="E389">
    <cfRule type="expression" dxfId="11110" priority="2878">
      <formula>B389=""</formula>
    </cfRule>
  </conditionalFormatting>
  <conditionalFormatting sqref="E390">
    <cfRule type="expression" dxfId="11109" priority="2877">
      <formula>B390=""</formula>
    </cfRule>
  </conditionalFormatting>
  <conditionalFormatting sqref="E391">
    <cfRule type="expression" dxfId="11108" priority="2876">
      <formula>B391=""</formula>
    </cfRule>
  </conditionalFormatting>
  <conditionalFormatting sqref="E392">
    <cfRule type="expression" dxfId="11107" priority="2875">
      <formula>B392=""</formula>
    </cfRule>
  </conditionalFormatting>
  <conditionalFormatting sqref="E393">
    <cfRule type="expression" dxfId="11106" priority="2874">
      <formula>B393=""</formula>
    </cfRule>
  </conditionalFormatting>
  <conditionalFormatting sqref="E394">
    <cfRule type="expression" dxfId="11105" priority="2873">
      <formula>B394=""</formula>
    </cfRule>
  </conditionalFormatting>
  <conditionalFormatting sqref="F374 F376 F378 F380 F382 F384 F386 F388 F390 F392">
    <cfRule type="expression" dxfId="11104" priority="2872">
      <formula>B374=""</formula>
    </cfRule>
  </conditionalFormatting>
  <conditionalFormatting sqref="F375 F377 F379 F381 F383 F385 F387 F389 F391 F393">
    <cfRule type="expression" dxfId="11103" priority="2871">
      <formula>B375=""</formula>
    </cfRule>
  </conditionalFormatting>
  <conditionalFormatting sqref="F376:F386">
    <cfRule type="expression" dxfId="11102" priority="2870">
      <formula>B376=""</formula>
    </cfRule>
  </conditionalFormatting>
  <conditionalFormatting sqref="F387">
    <cfRule type="expression" dxfId="11101" priority="2869">
      <formula>B387=""</formula>
    </cfRule>
  </conditionalFormatting>
  <conditionalFormatting sqref="F388">
    <cfRule type="expression" dxfId="11100" priority="2868">
      <formula>B388=""</formula>
    </cfRule>
  </conditionalFormatting>
  <conditionalFormatting sqref="F389">
    <cfRule type="expression" dxfId="11099" priority="2867">
      <formula>B389=""</formula>
    </cfRule>
  </conditionalFormatting>
  <conditionalFormatting sqref="F390">
    <cfRule type="expression" dxfId="11098" priority="2866">
      <formula>B390=""</formula>
    </cfRule>
  </conditionalFormatting>
  <conditionalFormatting sqref="F391">
    <cfRule type="expression" dxfId="11097" priority="2865">
      <formula>B391=""</formula>
    </cfRule>
  </conditionalFormatting>
  <conditionalFormatting sqref="F392">
    <cfRule type="expression" dxfId="11096" priority="2864">
      <formula>B392=""</formula>
    </cfRule>
  </conditionalFormatting>
  <conditionalFormatting sqref="F393">
    <cfRule type="expression" dxfId="11095" priority="2863">
      <formula>B393=""</formula>
    </cfRule>
  </conditionalFormatting>
  <conditionalFormatting sqref="F394">
    <cfRule type="expression" dxfId="11094" priority="2862">
      <formula>B394=""</formula>
    </cfRule>
  </conditionalFormatting>
  <conditionalFormatting sqref="E375 E377 E379 E381 E383 E385 E387 E389 E391 E393">
    <cfRule type="expression" dxfId="11093" priority="2861">
      <formula>B375=""</formula>
    </cfRule>
  </conditionalFormatting>
  <conditionalFormatting sqref="E376:E386">
    <cfRule type="expression" dxfId="11092" priority="2860">
      <formula>B376=""</formula>
    </cfRule>
  </conditionalFormatting>
  <conditionalFormatting sqref="E387">
    <cfRule type="expression" dxfId="11091" priority="2859">
      <formula>B387=""</formula>
    </cfRule>
  </conditionalFormatting>
  <conditionalFormatting sqref="E388">
    <cfRule type="expression" dxfId="11090" priority="2858">
      <formula>B388=""</formula>
    </cfRule>
  </conditionalFormatting>
  <conditionalFormatting sqref="E389">
    <cfRule type="expression" dxfId="11089" priority="2857">
      <formula>B389=""</formula>
    </cfRule>
  </conditionalFormatting>
  <conditionalFormatting sqref="E390">
    <cfRule type="expression" dxfId="11088" priority="2856">
      <formula>B390=""</formula>
    </cfRule>
  </conditionalFormatting>
  <conditionalFormatting sqref="E391">
    <cfRule type="expression" dxfId="11087" priority="2855">
      <formula>B391=""</formula>
    </cfRule>
  </conditionalFormatting>
  <conditionalFormatting sqref="E392">
    <cfRule type="expression" dxfId="11086" priority="2854">
      <formula>B392=""</formula>
    </cfRule>
  </conditionalFormatting>
  <conditionalFormatting sqref="E393">
    <cfRule type="expression" dxfId="11085" priority="2853">
      <formula>B393=""</formula>
    </cfRule>
  </conditionalFormatting>
  <conditionalFormatting sqref="E394">
    <cfRule type="expression" dxfId="11084" priority="2852">
      <formula>B394=""</formula>
    </cfRule>
  </conditionalFormatting>
  <conditionalFormatting sqref="G374 G376 G378 G380 G382 G384 G386 G388 G390 G392">
    <cfRule type="expression" dxfId="11083" priority="2851">
      <formula>B374=""</formula>
    </cfRule>
  </conditionalFormatting>
  <conditionalFormatting sqref="G375 G377 G379 G381 G383 G385 G387 G389 G391 G393">
    <cfRule type="expression" dxfId="11082" priority="2850">
      <formula>B375=""</formula>
    </cfRule>
  </conditionalFormatting>
  <conditionalFormatting sqref="G376:G386">
    <cfRule type="expression" dxfId="11081" priority="2849">
      <formula>B376=""</formula>
    </cfRule>
  </conditionalFormatting>
  <conditionalFormatting sqref="G387">
    <cfRule type="expression" dxfId="11080" priority="2848">
      <formula>B387=""</formula>
    </cfRule>
  </conditionalFormatting>
  <conditionalFormatting sqref="G388">
    <cfRule type="expression" dxfId="11079" priority="2847">
      <formula>B388=""</formula>
    </cfRule>
  </conditionalFormatting>
  <conditionalFormatting sqref="G389">
    <cfRule type="expression" dxfId="11078" priority="2846">
      <formula>B389=""</formula>
    </cfRule>
  </conditionalFormatting>
  <conditionalFormatting sqref="G390">
    <cfRule type="expression" dxfId="11077" priority="2845">
      <formula>B390=""</formula>
    </cfRule>
  </conditionalFormatting>
  <conditionalFormatting sqref="G391">
    <cfRule type="expression" dxfId="11076" priority="2844">
      <formula>B391=""</formula>
    </cfRule>
  </conditionalFormatting>
  <conditionalFormatting sqref="G392">
    <cfRule type="expression" dxfId="11075" priority="2843">
      <formula>B392=""</formula>
    </cfRule>
  </conditionalFormatting>
  <conditionalFormatting sqref="G393">
    <cfRule type="expression" dxfId="11074" priority="2842">
      <formula>B393=""</formula>
    </cfRule>
  </conditionalFormatting>
  <conditionalFormatting sqref="G394">
    <cfRule type="expression" dxfId="11073" priority="2841">
      <formula>B394=""</formula>
    </cfRule>
  </conditionalFormatting>
  <conditionalFormatting sqref="H374 H376 H378 H380 H382 H384 H386 H388 H390 H392">
    <cfRule type="expression" dxfId="11072" priority="2840">
      <formula>B374=""</formula>
    </cfRule>
  </conditionalFormatting>
  <conditionalFormatting sqref="H375 H377 H379 H381 H383 H385 H387 H389 H391 H393">
    <cfRule type="expression" dxfId="11071" priority="2839">
      <formula>B375=""</formula>
    </cfRule>
  </conditionalFormatting>
  <conditionalFormatting sqref="H376:H386">
    <cfRule type="expression" dxfId="11070" priority="2838">
      <formula>B376=""</formula>
    </cfRule>
  </conditionalFormatting>
  <conditionalFormatting sqref="H387">
    <cfRule type="expression" dxfId="11069" priority="2837">
      <formula>B387=""</formula>
    </cfRule>
  </conditionalFormatting>
  <conditionalFormatting sqref="H388">
    <cfRule type="expression" dxfId="11068" priority="2836">
      <formula>B388=""</formula>
    </cfRule>
  </conditionalFormatting>
  <conditionalFormatting sqref="H389">
    <cfRule type="expression" dxfId="11067" priority="2835">
      <formula>B389=""</formula>
    </cfRule>
  </conditionalFormatting>
  <conditionalFormatting sqref="H390">
    <cfRule type="expression" dxfId="11066" priority="2834">
      <formula>B390=""</formula>
    </cfRule>
  </conditionalFormatting>
  <conditionalFormatting sqref="H391">
    <cfRule type="expression" dxfId="11065" priority="2833">
      <formula>B391=""</formula>
    </cfRule>
  </conditionalFormatting>
  <conditionalFormatting sqref="H392">
    <cfRule type="expression" dxfId="11064" priority="2832">
      <formula>B392=""</formula>
    </cfRule>
  </conditionalFormatting>
  <conditionalFormatting sqref="H393">
    <cfRule type="expression" dxfId="11063" priority="2831">
      <formula>B393=""</formula>
    </cfRule>
  </conditionalFormatting>
  <conditionalFormatting sqref="H394">
    <cfRule type="expression" dxfId="11062" priority="2830">
      <formula>B394=""</formula>
    </cfRule>
  </conditionalFormatting>
  <conditionalFormatting sqref="C349">
    <cfRule type="expression" dxfId="11061" priority="2829">
      <formula>B349=""</formula>
    </cfRule>
  </conditionalFormatting>
  <conditionalFormatting sqref="C371">
    <cfRule type="expression" dxfId="11060" priority="2828">
      <formula>B371=""</formula>
    </cfRule>
  </conditionalFormatting>
  <conditionalFormatting sqref="C393">
    <cfRule type="expression" dxfId="11059" priority="2827">
      <formula>B393=""</formula>
    </cfRule>
  </conditionalFormatting>
  <conditionalFormatting sqref="C308:C328">
    <cfRule type="expression" dxfId="11058" priority="2826">
      <formula>B308=""</formula>
    </cfRule>
  </conditionalFormatting>
  <conditionalFormatting sqref="C309">
    <cfRule type="expression" dxfId="11057" priority="2825">
      <formula>B309=""</formula>
    </cfRule>
  </conditionalFormatting>
  <conditionalFormatting sqref="C310:C320">
    <cfRule type="expression" dxfId="11056" priority="2824">
      <formula>B310=""</formula>
    </cfRule>
  </conditionalFormatting>
  <conditionalFormatting sqref="C321">
    <cfRule type="expression" dxfId="11055" priority="2823">
      <formula>B321=""</formula>
    </cfRule>
  </conditionalFormatting>
  <conditionalFormatting sqref="C322">
    <cfRule type="expression" dxfId="11054" priority="2822">
      <formula>B322=""</formula>
    </cfRule>
  </conditionalFormatting>
  <conditionalFormatting sqref="C323">
    <cfRule type="expression" dxfId="11053" priority="2821">
      <formula>B323=""</formula>
    </cfRule>
  </conditionalFormatting>
  <conditionalFormatting sqref="C324">
    <cfRule type="expression" dxfId="11052" priority="2820">
      <formula>B324=""</formula>
    </cfRule>
  </conditionalFormatting>
  <conditionalFormatting sqref="C325">
    <cfRule type="expression" dxfId="11051" priority="2819">
      <formula>B325=""</formula>
    </cfRule>
  </conditionalFormatting>
  <conditionalFormatting sqref="C326">
    <cfRule type="expression" dxfId="11050" priority="2818">
      <formula>B326=""</formula>
    </cfRule>
  </conditionalFormatting>
  <conditionalFormatting sqref="C327">
    <cfRule type="expression" dxfId="11049" priority="2817">
      <formula>B327=""</formula>
    </cfRule>
  </conditionalFormatting>
  <conditionalFormatting sqref="C328">
    <cfRule type="expression" dxfId="11048" priority="2816">
      <formula>B328=""</formula>
    </cfRule>
  </conditionalFormatting>
  <conditionalFormatting sqref="C330:C350">
    <cfRule type="expression" dxfId="11047" priority="2815">
      <formula>B330=""</formula>
    </cfRule>
  </conditionalFormatting>
  <conditionalFormatting sqref="C331 C333 C335 C337 C339 C341 C343 C345 C347 C349">
    <cfRule type="expression" dxfId="11046" priority="2814">
      <formula>B331=""</formula>
    </cfRule>
  </conditionalFormatting>
  <conditionalFormatting sqref="C332:C342">
    <cfRule type="expression" dxfId="11045" priority="2813">
      <formula>B332=""</formula>
    </cfRule>
  </conditionalFormatting>
  <conditionalFormatting sqref="C343">
    <cfRule type="expression" dxfId="11044" priority="2812">
      <formula>B343=""</formula>
    </cfRule>
  </conditionalFormatting>
  <conditionalFormatting sqref="C344">
    <cfRule type="expression" dxfId="11043" priority="2811">
      <formula>B344=""</formula>
    </cfRule>
  </conditionalFormatting>
  <conditionalFormatting sqref="C345">
    <cfRule type="expression" dxfId="11042" priority="2810">
      <formula>B345=""</formula>
    </cfRule>
  </conditionalFormatting>
  <conditionalFormatting sqref="C346">
    <cfRule type="expression" dxfId="11041" priority="2809">
      <formula>B346=""</formula>
    </cfRule>
  </conditionalFormatting>
  <conditionalFormatting sqref="C347">
    <cfRule type="expression" dxfId="11040" priority="2808">
      <formula>B347=""</formula>
    </cfRule>
  </conditionalFormatting>
  <conditionalFormatting sqref="C348">
    <cfRule type="expression" dxfId="11039" priority="2807">
      <formula>B348=""</formula>
    </cfRule>
  </conditionalFormatting>
  <conditionalFormatting sqref="C349">
    <cfRule type="expression" dxfId="11038" priority="2806">
      <formula>B349=""</formula>
    </cfRule>
  </conditionalFormatting>
  <conditionalFormatting sqref="C350">
    <cfRule type="expression" dxfId="11037" priority="2805">
      <formula>B350=""</formula>
    </cfRule>
  </conditionalFormatting>
  <conditionalFormatting sqref="C352:C371">
    <cfRule type="expression" dxfId="11036" priority="2804">
      <formula>B352=""</formula>
    </cfRule>
  </conditionalFormatting>
  <conditionalFormatting sqref="C353 C355 C357 C359 C361 C363 C365 C367 C369 C371">
    <cfRule type="expression" dxfId="11035" priority="2803">
      <formula>B353=""</formula>
    </cfRule>
  </conditionalFormatting>
  <conditionalFormatting sqref="C354:C364">
    <cfRule type="expression" dxfId="11034" priority="2802">
      <formula>B354=""</formula>
    </cfRule>
  </conditionalFormatting>
  <conditionalFormatting sqref="C365">
    <cfRule type="expression" dxfId="11033" priority="2801">
      <formula>B365=""</formula>
    </cfRule>
  </conditionalFormatting>
  <conditionalFormatting sqref="C366">
    <cfRule type="expression" dxfId="11032" priority="2800">
      <formula>B366=""</formula>
    </cfRule>
  </conditionalFormatting>
  <conditionalFormatting sqref="C367">
    <cfRule type="expression" dxfId="11031" priority="2799">
      <formula>B367=""</formula>
    </cfRule>
  </conditionalFormatting>
  <conditionalFormatting sqref="C368">
    <cfRule type="expression" dxfId="11030" priority="2798">
      <formula>B368=""</formula>
    </cfRule>
  </conditionalFormatting>
  <conditionalFormatting sqref="C369">
    <cfRule type="expression" dxfId="11029" priority="2797">
      <formula>B369=""</formula>
    </cfRule>
  </conditionalFormatting>
  <conditionalFormatting sqref="C370">
    <cfRule type="expression" dxfId="11028" priority="2796">
      <formula>B370=""</formula>
    </cfRule>
  </conditionalFormatting>
  <conditionalFormatting sqref="C371">
    <cfRule type="expression" dxfId="11027" priority="2795">
      <formula>B371=""</formula>
    </cfRule>
  </conditionalFormatting>
  <conditionalFormatting sqref="C372">
    <cfRule type="expression" dxfId="11026" priority="2794">
      <formula>B372=""</formula>
    </cfRule>
  </conditionalFormatting>
  <conditionalFormatting sqref="C374:C394">
    <cfRule type="expression" dxfId="11025" priority="2793">
      <formula>B374=""</formula>
    </cfRule>
  </conditionalFormatting>
  <conditionalFormatting sqref="C375 C377 C379 C381 C383 C385 C387 C389 C391 C393">
    <cfRule type="expression" dxfId="11024" priority="2792">
      <formula>B375=""</formula>
    </cfRule>
  </conditionalFormatting>
  <conditionalFormatting sqref="C376:C386">
    <cfRule type="expression" dxfId="11023" priority="2791">
      <formula>B376=""</formula>
    </cfRule>
  </conditionalFormatting>
  <conditionalFormatting sqref="C387">
    <cfRule type="expression" dxfId="11022" priority="2790">
      <formula>B387=""</formula>
    </cfRule>
  </conditionalFormatting>
  <conditionalFormatting sqref="C388">
    <cfRule type="expression" dxfId="11021" priority="2789">
      <formula>B388=""</formula>
    </cfRule>
  </conditionalFormatting>
  <conditionalFormatting sqref="C389">
    <cfRule type="expression" dxfId="11020" priority="2788">
      <formula>B389=""</formula>
    </cfRule>
  </conditionalFormatting>
  <conditionalFormatting sqref="C390">
    <cfRule type="expression" dxfId="11019" priority="2787">
      <formula>B390=""</formula>
    </cfRule>
  </conditionalFormatting>
  <conditionalFormatting sqref="C391">
    <cfRule type="expression" dxfId="11018" priority="2786">
      <formula>B391=""</formula>
    </cfRule>
  </conditionalFormatting>
  <conditionalFormatting sqref="C392">
    <cfRule type="expression" dxfId="11017" priority="2785">
      <formula>B392=""</formula>
    </cfRule>
  </conditionalFormatting>
  <conditionalFormatting sqref="C393">
    <cfRule type="expression" dxfId="11016" priority="2784">
      <formula>B393=""</formula>
    </cfRule>
  </conditionalFormatting>
  <conditionalFormatting sqref="C394">
    <cfRule type="expression" dxfId="11015" priority="2783">
      <formula>B394=""</formula>
    </cfRule>
  </conditionalFormatting>
  <conditionalFormatting sqref="C308:C328">
    <cfRule type="expression" dxfId="11014" priority="2782">
      <formula>B308=""</formula>
    </cfRule>
  </conditionalFormatting>
  <conditionalFormatting sqref="C309">
    <cfRule type="expression" dxfId="11013" priority="2781">
      <formula>B309=""</formula>
    </cfRule>
  </conditionalFormatting>
  <conditionalFormatting sqref="C310:C320">
    <cfRule type="expression" dxfId="11012" priority="2780">
      <formula>B310=""</formula>
    </cfRule>
  </conditionalFormatting>
  <conditionalFormatting sqref="C321">
    <cfRule type="expression" dxfId="11011" priority="2779">
      <formula>B321=""</formula>
    </cfRule>
  </conditionalFormatting>
  <conditionalFormatting sqref="C322">
    <cfRule type="expression" dxfId="11010" priority="2778">
      <formula>B322=""</formula>
    </cfRule>
  </conditionalFormatting>
  <conditionalFormatting sqref="C323">
    <cfRule type="expression" dxfId="11009" priority="2777">
      <formula>B323=""</formula>
    </cfRule>
  </conditionalFormatting>
  <conditionalFormatting sqref="C324">
    <cfRule type="expression" dxfId="11008" priority="2776">
      <formula>B324=""</formula>
    </cfRule>
  </conditionalFormatting>
  <conditionalFormatting sqref="C325">
    <cfRule type="expression" dxfId="11007" priority="2775">
      <formula>B325=""</formula>
    </cfRule>
  </conditionalFormatting>
  <conditionalFormatting sqref="C326">
    <cfRule type="expression" dxfId="11006" priority="2774">
      <formula>B326=""</formula>
    </cfRule>
  </conditionalFormatting>
  <conditionalFormatting sqref="C327">
    <cfRule type="expression" dxfId="11005" priority="2773">
      <formula>B327=""</formula>
    </cfRule>
  </conditionalFormatting>
  <conditionalFormatting sqref="D308">
    <cfRule type="expression" dxfId="11004" priority="2772">
      <formula>B308=""</formula>
    </cfRule>
  </conditionalFormatting>
  <conditionalFormatting sqref="D309">
    <cfRule type="expression" dxfId="11003" priority="2771">
      <formula>B309=""</formula>
    </cfRule>
  </conditionalFormatting>
  <conditionalFormatting sqref="D310:D320">
    <cfRule type="expression" dxfId="11002" priority="2770">
      <formula>B310=""</formula>
    </cfRule>
  </conditionalFormatting>
  <conditionalFormatting sqref="D321">
    <cfRule type="expression" dxfId="11001" priority="2769">
      <formula>B321=""</formula>
    </cfRule>
  </conditionalFormatting>
  <conditionalFormatting sqref="D322">
    <cfRule type="expression" dxfId="11000" priority="2768">
      <formula>B322=""</formula>
    </cfRule>
  </conditionalFormatting>
  <conditionalFormatting sqref="D323">
    <cfRule type="expression" dxfId="10999" priority="2767">
      <formula>B323=""</formula>
    </cfRule>
  </conditionalFormatting>
  <conditionalFormatting sqref="D324">
    <cfRule type="expression" dxfId="10998" priority="2766">
      <formula>B324=""</formula>
    </cfRule>
  </conditionalFormatting>
  <conditionalFormatting sqref="D325">
    <cfRule type="expression" dxfId="10997" priority="2765">
      <formula>B325=""</formula>
    </cfRule>
  </conditionalFormatting>
  <conditionalFormatting sqref="D326">
    <cfRule type="expression" dxfId="10996" priority="2764">
      <formula>B326=""</formula>
    </cfRule>
  </conditionalFormatting>
  <conditionalFormatting sqref="D327">
    <cfRule type="expression" dxfId="10995" priority="2763">
      <formula>B327=""</formula>
    </cfRule>
  </conditionalFormatting>
  <conditionalFormatting sqref="E308:E327">
    <cfRule type="expression" dxfId="10994" priority="2762">
      <formula>B308=""</formula>
    </cfRule>
  </conditionalFormatting>
  <conditionalFormatting sqref="E309 E311 E313 E315 E317 E319 E321 E323 E325 E327">
    <cfRule type="expression" dxfId="10993" priority="2761">
      <formula>B309=""</formula>
    </cfRule>
  </conditionalFormatting>
  <conditionalFormatting sqref="E310:E320">
    <cfRule type="expression" dxfId="10992" priority="2760">
      <formula>B310=""</formula>
    </cfRule>
  </conditionalFormatting>
  <conditionalFormatting sqref="E321">
    <cfRule type="expression" dxfId="10991" priority="2759">
      <formula>B321=""</formula>
    </cfRule>
  </conditionalFormatting>
  <conditionalFormatting sqref="E322">
    <cfRule type="expression" dxfId="10990" priority="2758">
      <formula>B322=""</formula>
    </cfRule>
  </conditionalFormatting>
  <conditionalFormatting sqref="E323">
    <cfRule type="expression" dxfId="10989" priority="2757">
      <formula>B323=""</formula>
    </cfRule>
  </conditionalFormatting>
  <conditionalFormatting sqref="E324">
    <cfRule type="expression" dxfId="10988" priority="2756">
      <formula>B324=""</formula>
    </cfRule>
  </conditionalFormatting>
  <conditionalFormatting sqref="E325">
    <cfRule type="expression" dxfId="10987" priority="2755">
      <formula>B325=""</formula>
    </cfRule>
  </conditionalFormatting>
  <conditionalFormatting sqref="E326">
    <cfRule type="expression" dxfId="10986" priority="2754">
      <formula>B326=""</formula>
    </cfRule>
  </conditionalFormatting>
  <conditionalFormatting sqref="E327">
    <cfRule type="expression" dxfId="10985" priority="2753">
      <formula>B327=""</formula>
    </cfRule>
  </conditionalFormatting>
  <conditionalFormatting sqref="F308:F327">
    <cfRule type="expression" dxfId="10984" priority="2752">
      <formula>B308=""</formula>
    </cfRule>
  </conditionalFormatting>
  <conditionalFormatting sqref="F309 F311 F313 F315 F317 F319 F321 F323 F325 F327">
    <cfRule type="expression" dxfId="10983" priority="2751">
      <formula>B309=""</formula>
    </cfRule>
  </conditionalFormatting>
  <conditionalFormatting sqref="F310:F320">
    <cfRule type="expression" dxfId="10982" priority="2750">
      <formula>B310=""</formula>
    </cfRule>
  </conditionalFormatting>
  <conditionalFormatting sqref="F321">
    <cfRule type="expression" dxfId="10981" priority="2749">
      <formula>B321=""</formula>
    </cfRule>
  </conditionalFormatting>
  <conditionalFormatting sqref="F322">
    <cfRule type="expression" dxfId="10980" priority="2748">
      <formula>B322=""</formula>
    </cfRule>
  </conditionalFormatting>
  <conditionalFormatting sqref="F323">
    <cfRule type="expression" dxfId="10979" priority="2747">
      <formula>B323=""</formula>
    </cfRule>
  </conditionalFormatting>
  <conditionalFormatting sqref="F324">
    <cfRule type="expression" dxfId="10978" priority="2746">
      <formula>B324=""</formula>
    </cfRule>
  </conditionalFormatting>
  <conditionalFormatting sqref="F325">
    <cfRule type="expression" dxfId="10977" priority="2745">
      <formula>B325=""</formula>
    </cfRule>
  </conditionalFormatting>
  <conditionalFormatting sqref="F326">
    <cfRule type="expression" dxfId="10976" priority="2744">
      <formula>B326=""</formula>
    </cfRule>
  </conditionalFormatting>
  <conditionalFormatting sqref="F327">
    <cfRule type="expression" dxfId="10975" priority="2743">
      <formula>B327=""</formula>
    </cfRule>
  </conditionalFormatting>
  <conditionalFormatting sqref="E309 E311 E313 E315 E317 E319 E321 E323 E325 E327">
    <cfRule type="expression" dxfId="10974" priority="2742">
      <formula>B309=""</formula>
    </cfRule>
  </conditionalFormatting>
  <conditionalFormatting sqref="E310:E320">
    <cfRule type="expression" dxfId="10973" priority="2741">
      <formula>B310=""</formula>
    </cfRule>
  </conditionalFormatting>
  <conditionalFormatting sqref="E321">
    <cfRule type="expression" dxfId="10972" priority="2740">
      <formula>B321=""</formula>
    </cfRule>
  </conditionalFormatting>
  <conditionalFormatting sqref="E322">
    <cfRule type="expression" dxfId="10971" priority="2739">
      <formula>B322=""</formula>
    </cfRule>
  </conditionalFormatting>
  <conditionalFormatting sqref="E323">
    <cfRule type="expression" dxfId="10970" priority="2738">
      <formula>B323=""</formula>
    </cfRule>
  </conditionalFormatting>
  <conditionalFormatting sqref="E324">
    <cfRule type="expression" dxfId="10969" priority="2737">
      <formula>B324=""</formula>
    </cfRule>
  </conditionalFormatting>
  <conditionalFormatting sqref="E325">
    <cfRule type="expression" dxfId="10968" priority="2736">
      <formula>B325=""</formula>
    </cfRule>
  </conditionalFormatting>
  <conditionalFormatting sqref="E326">
    <cfRule type="expression" dxfId="10967" priority="2735">
      <formula>B326=""</formula>
    </cfRule>
  </conditionalFormatting>
  <conditionalFormatting sqref="E327">
    <cfRule type="expression" dxfId="10966" priority="2734">
      <formula>B327=""</formula>
    </cfRule>
  </conditionalFormatting>
  <conditionalFormatting sqref="G308:G327">
    <cfRule type="expression" dxfId="10965" priority="2733">
      <formula>B308=""</formula>
    </cfRule>
  </conditionalFormatting>
  <conditionalFormatting sqref="G309 G311 G313 G315 G317 G319 G321 G323 G325 G327">
    <cfRule type="expression" dxfId="10964" priority="2732">
      <formula>B309=""</formula>
    </cfRule>
  </conditionalFormatting>
  <conditionalFormatting sqref="G310:G320">
    <cfRule type="expression" dxfId="10963" priority="2731">
      <formula>B310=""</formula>
    </cfRule>
  </conditionalFormatting>
  <conditionalFormatting sqref="G321">
    <cfRule type="expression" dxfId="10962" priority="2730">
      <formula>B321=""</formula>
    </cfRule>
  </conditionalFormatting>
  <conditionalFormatting sqref="G322">
    <cfRule type="expression" dxfId="10961" priority="2729">
      <formula>B322=""</formula>
    </cfRule>
  </conditionalFormatting>
  <conditionalFormatting sqref="G323">
    <cfRule type="expression" dxfId="10960" priority="2728">
      <formula>B323=""</formula>
    </cfRule>
  </conditionalFormatting>
  <conditionalFormatting sqref="G324">
    <cfRule type="expression" dxfId="10959" priority="2727">
      <formula>B324=""</formula>
    </cfRule>
  </conditionalFormatting>
  <conditionalFormatting sqref="G325">
    <cfRule type="expression" dxfId="10958" priority="2726">
      <formula>B325=""</formula>
    </cfRule>
  </conditionalFormatting>
  <conditionalFormatting sqref="G326">
    <cfRule type="expression" dxfId="10957" priority="2725">
      <formula>B326=""</formula>
    </cfRule>
  </conditionalFormatting>
  <conditionalFormatting sqref="G327">
    <cfRule type="expression" dxfId="10956" priority="2724">
      <formula>B327=""</formula>
    </cfRule>
  </conditionalFormatting>
  <conditionalFormatting sqref="H308 H310 H312 H314 H316 H318 H320 H322 H324 H326">
    <cfRule type="expression" dxfId="10955" priority="2723">
      <formula>B308=""</formula>
    </cfRule>
  </conditionalFormatting>
  <conditionalFormatting sqref="H309 H311 H313 H315 H317 H319 H321 H323 H325 H327">
    <cfRule type="expression" dxfId="10954" priority="2722">
      <formula>B309=""</formula>
    </cfRule>
  </conditionalFormatting>
  <conditionalFormatting sqref="H310:H320">
    <cfRule type="expression" dxfId="10953" priority="2721">
      <formula>B310=""</formula>
    </cfRule>
  </conditionalFormatting>
  <conditionalFormatting sqref="H321">
    <cfRule type="expression" dxfId="10952" priority="2720">
      <formula>B321=""</formula>
    </cfRule>
  </conditionalFormatting>
  <conditionalFormatting sqref="H322">
    <cfRule type="expression" dxfId="10951" priority="2719">
      <formula>B322=""</formula>
    </cfRule>
  </conditionalFormatting>
  <conditionalFormatting sqref="H323">
    <cfRule type="expression" dxfId="10950" priority="2718">
      <formula>B323=""</formula>
    </cfRule>
  </conditionalFormatting>
  <conditionalFormatting sqref="H324">
    <cfRule type="expression" dxfId="10949" priority="2717">
      <formula>B324=""</formula>
    </cfRule>
  </conditionalFormatting>
  <conditionalFormatting sqref="H325">
    <cfRule type="expression" dxfId="10948" priority="2716">
      <formula>B325=""</formula>
    </cfRule>
  </conditionalFormatting>
  <conditionalFormatting sqref="H326">
    <cfRule type="expression" dxfId="10947" priority="2715">
      <formula>B326=""</formula>
    </cfRule>
  </conditionalFormatting>
  <conditionalFormatting sqref="H327">
    <cfRule type="expression" dxfId="10946" priority="2714">
      <formula>B327=""</formula>
    </cfRule>
  </conditionalFormatting>
  <conditionalFormatting sqref="F308 F310 F312 F314 F316 F318 F320 F322 F324 F326">
    <cfRule type="expression" dxfId="10945" priority="2713">
      <formula>B308=""</formula>
    </cfRule>
  </conditionalFormatting>
  <conditionalFormatting sqref="F309 F311 F313 F315 F317 F319 F321 F323 F325 F327">
    <cfRule type="expression" dxfId="10944" priority="2712">
      <formula>B309=""</formula>
    </cfRule>
  </conditionalFormatting>
  <conditionalFormatting sqref="F310:F320">
    <cfRule type="expression" dxfId="10943" priority="2711">
      <formula>B310=""</formula>
    </cfRule>
  </conditionalFormatting>
  <conditionalFormatting sqref="F321">
    <cfRule type="expression" dxfId="10942" priority="2710">
      <formula>B321=""</formula>
    </cfRule>
  </conditionalFormatting>
  <conditionalFormatting sqref="F322">
    <cfRule type="expression" dxfId="10941" priority="2709">
      <formula>B322=""</formula>
    </cfRule>
  </conditionalFormatting>
  <conditionalFormatting sqref="F323">
    <cfRule type="expression" dxfId="10940" priority="2708">
      <formula>B323=""</formula>
    </cfRule>
  </conditionalFormatting>
  <conditionalFormatting sqref="F324">
    <cfRule type="expression" dxfId="10939" priority="2707">
      <formula>B324=""</formula>
    </cfRule>
  </conditionalFormatting>
  <conditionalFormatting sqref="F325">
    <cfRule type="expression" dxfId="10938" priority="2706">
      <formula>B325=""</formula>
    </cfRule>
  </conditionalFormatting>
  <conditionalFormatting sqref="F326">
    <cfRule type="expression" dxfId="10937" priority="2705">
      <formula>B326=""</formula>
    </cfRule>
  </conditionalFormatting>
  <conditionalFormatting sqref="F327">
    <cfRule type="expression" dxfId="10936" priority="2704">
      <formula>B327=""</formula>
    </cfRule>
  </conditionalFormatting>
  <conditionalFormatting sqref="C330:C349">
    <cfRule type="expression" dxfId="10935" priority="2703">
      <formula>B330=""</formula>
    </cfRule>
  </conditionalFormatting>
  <conditionalFormatting sqref="C331 C333 C335 C337 C339 C341 C343 C345 C347 C349">
    <cfRule type="expression" dxfId="10934" priority="2702">
      <formula>B331=""</formula>
    </cfRule>
  </conditionalFormatting>
  <conditionalFormatting sqref="C332:C342">
    <cfRule type="expression" dxfId="10933" priority="2701">
      <formula>B332=""</formula>
    </cfRule>
  </conditionalFormatting>
  <conditionalFormatting sqref="C343">
    <cfRule type="expression" dxfId="10932" priority="2700">
      <formula>B343=""</formula>
    </cfRule>
  </conditionalFormatting>
  <conditionalFormatting sqref="C344">
    <cfRule type="expression" dxfId="10931" priority="2699">
      <formula>B344=""</formula>
    </cfRule>
  </conditionalFormatting>
  <conditionalFormatting sqref="C345">
    <cfRule type="expression" dxfId="10930" priority="2698">
      <formula>B345=""</formula>
    </cfRule>
  </conditionalFormatting>
  <conditionalFormatting sqref="C346">
    <cfRule type="expression" dxfId="10929" priority="2697">
      <formula>B346=""</formula>
    </cfRule>
  </conditionalFormatting>
  <conditionalFormatting sqref="C347">
    <cfRule type="expression" dxfId="10928" priority="2696">
      <formula>B347=""</formula>
    </cfRule>
  </conditionalFormatting>
  <conditionalFormatting sqref="C348">
    <cfRule type="expression" dxfId="10927" priority="2695">
      <formula>B348=""</formula>
    </cfRule>
  </conditionalFormatting>
  <conditionalFormatting sqref="C349">
    <cfRule type="expression" dxfId="10926" priority="2694">
      <formula>B349=""</formula>
    </cfRule>
  </conditionalFormatting>
  <conditionalFormatting sqref="D330 D332 D334 D336 D338 D340 D342 D344 D346 D348">
    <cfRule type="expression" dxfId="10925" priority="2693">
      <formula>B330=""</formula>
    </cfRule>
  </conditionalFormatting>
  <conditionalFormatting sqref="D331 D333 D335 D337 D339 D341 D343 D345 D347 D349">
    <cfRule type="expression" dxfId="10924" priority="2692">
      <formula>B331=""</formula>
    </cfRule>
  </conditionalFormatting>
  <conditionalFormatting sqref="D332:D342">
    <cfRule type="expression" dxfId="10923" priority="2691">
      <formula>B332=""</formula>
    </cfRule>
  </conditionalFormatting>
  <conditionalFormatting sqref="D343">
    <cfRule type="expression" dxfId="10922" priority="2690">
      <formula>B343=""</formula>
    </cfRule>
  </conditionalFormatting>
  <conditionalFormatting sqref="D344">
    <cfRule type="expression" dxfId="10921" priority="2689">
      <formula>B344=""</formula>
    </cfRule>
  </conditionalFormatting>
  <conditionalFormatting sqref="D345">
    <cfRule type="expression" dxfId="10920" priority="2688">
      <formula>B345=""</formula>
    </cfRule>
  </conditionalFormatting>
  <conditionalFormatting sqref="D346">
    <cfRule type="expression" dxfId="10919" priority="2687">
      <formula>B346=""</formula>
    </cfRule>
  </conditionalFormatting>
  <conditionalFormatting sqref="D347">
    <cfRule type="expression" dxfId="10918" priority="2686">
      <formula>B347=""</formula>
    </cfRule>
  </conditionalFormatting>
  <conditionalFormatting sqref="D348">
    <cfRule type="expression" dxfId="10917" priority="2685">
      <formula>B348=""</formula>
    </cfRule>
  </conditionalFormatting>
  <conditionalFormatting sqref="D349">
    <cfRule type="expression" dxfId="10916" priority="2684">
      <formula>B349=""</formula>
    </cfRule>
  </conditionalFormatting>
  <conditionalFormatting sqref="E330 E332 E334 E336 E338 E340 E342 E344 E346 E348">
    <cfRule type="expression" dxfId="10915" priority="2683">
      <formula>B330=""</formula>
    </cfRule>
  </conditionalFormatting>
  <conditionalFormatting sqref="E331 E333 E335 E337 E339 E341 E343 E345 E347 E349">
    <cfRule type="expression" dxfId="10914" priority="2682">
      <formula>B331=""</formula>
    </cfRule>
  </conditionalFormatting>
  <conditionalFormatting sqref="E332:E342">
    <cfRule type="expression" dxfId="10913" priority="2681">
      <formula>B332=""</formula>
    </cfRule>
  </conditionalFormatting>
  <conditionalFormatting sqref="E343">
    <cfRule type="expression" dxfId="10912" priority="2680">
      <formula>B343=""</formula>
    </cfRule>
  </conditionalFormatting>
  <conditionalFormatting sqref="E344">
    <cfRule type="expression" dxfId="10911" priority="2679">
      <formula>B344=""</formula>
    </cfRule>
  </conditionalFormatting>
  <conditionalFormatting sqref="E345">
    <cfRule type="expression" dxfId="10910" priority="2678">
      <formula>B345=""</formula>
    </cfRule>
  </conditionalFormatting>
  <conditionalFormatting sqref="E346">
    <cfRule type="expression" dxfId="10909" priority="2677">
      <formula>B346=""</formula>
    </cfRule>
  </conditionalFormatting>
  <conditionalFormatting sqref="E347">
    <cfRule type="expression" dxfId="10908" priority="2676">
      <formula>B347=""</formula>
    </cfRule>
  </conditionalFormatting>
  <conditionalFormatting sqref="E348">
    <cfRule type="expression" dxfId="10907" priority="2675">
      <formula>B348=""</formula>
    </cfRule>
  </conditionalFormatting>
  <conditionalFormatting sqref="E349">
    <cfRule type="expression" dxfId="10906" priority="2674">
      <formula>B349=""</formula>
    </cfRule>
  </conditionalFormatting>
  <conditionalFormatting sqref="F330 F332 F334 F336 F338 F340 F342 F344 F346 F348">
    <cfRule type="expression" dxfId="10905" priority="2673">
      <formula>B330=""</formula>
    </cfRule>
  </conditionalFormatting>
  <conditionalFormatting sqref="F331 F333 F335 F337 F339 F341 F343 F345 F347 F349">
    <cfRule type="expression" dxfId="10904" priority="2672">
      <formula>B331=""</formula>
    </cfRule>
  </conditionalFormatting>
  <conditionalFormatting sqref="F332:F342">
    <cfRule type="expression" dxfId="10903" priority="2671">
      <formula>B332=""</formula>
    </cfRule>
  </conditionalFormatting>
  <conditionalFormatting sqref="F343">
    <cfRule type="expression" dxfId="10902" priority="2670">
      <formula>B343=""</formula>
    </cfRule>
  </conditionalFormatting>
  <conditionalFormatting sqref="F344">
    <cfRule type="expression" dxfId="10901" priority="2669">
      <formula>B344=""</formula>
    </cfRule>
  </conditionalFormatting>
  <conditionalFormatting sqref="F345">
    <cfRule type="expression" dxfId="10900" priority="2668">
      <formula>B345=""</formula>
    </cfRule>
  </conditionalFormatting>
  <conditionalFormatting sqref="F346">
    <cfRule type="expression" dxfId="10899" priority="2667">
      <formula>B346=""</formula>
    </cfRule>
  </conditionalFormatting>
  <conditionalFormatting sqref="F347">
    <cfRule type="expression" dxfId="10898" priority="2666">
      <formula>B347=""</formula>
    </cfRule>
  </conditionalFormatting>
  <conditionalFormatting sqref="F348">
    <cfRule type="expression" dxfId="10897" priority="2665">
      <formula>B348=""</formula>
    </cfRule>
  </conditionalFormatting>
  <conditionalFormatting sqref="F349">
    <cfRule type="expression" dxfId="10896" priority="2664">
      <formula>B349=""</formula>
    </cfRule>
  </conditionalFormatting>
  <conditionalFormatting sqref="E331 E333 E335 E337 E339 E341 E343 E345 E347 E349">
    <cfRule type="expression" dxfId="10895" priority="2663">
      <formula>B331=""</formula>
    </cfRule>
  </conditionalFormatting>
  <conditionalFormatting sqref="E332:E342">
    <cfRule type="expression" dxfId="10894" priority="2662">
      <formula>B332=""</formula>
    </cfRule>
  </conditionalFormatting>
  <conditionalFormatting sqref="E343">
    <cfRule type="expression" dxfId="10893" priority="2661">
      <formula>B343=""</formula>
    </cfRule>
  </conditionalFormatting>
  <conditionalFormatting sqref="E344">
    <cfRule type="expression" dxfId="10892" priority="2660">
      <formula>B344=""</formula>
    </cfRule>
  </conditionalFormatting>
  <conditionalFormatting sqref="E345">
    <cfRule type="expression" dxfId="10891" priority="2659">
      <formula>B345=""</formula>
    </cfRule>
  </conditionalFormatting>
  <conditionalFormatting sqref="E346">
    <cfRule type="expression" dxfId="10890" priority="2658">
      <formula>B346=""</formula>
    </cfRule>
  </conditionalFormatting>
  <conditionalFormatting sqref="E347">
    <cfRule type="expression" dxfId="10889" priority="2657">
      <formula>B347=""</formula>
    </cfRule>
  </conditionalFormatting>
  <conditionalFormatting sqref="E348">
    <cfRule type="expression" dxfId="10888" priority="2656">
      <formula>B348=""</formula>
    </cfRule>
  </conditionalFormatting>
  <conditionalFormatting sqref="E349">
    <cfRule type="expression" dxfId="10887" priority="2655">
      <formula>B349=""</formula>
    </cfRule>
  </conditionalFormatting>
  <conditionalFormatting sqref="G330 G332 G334 G336 G338 G340 G342 G344 G346 G348">
    <cfRule type="expression" dxfId="10886" priority="2654">
      <formula>B330=""</formula>
    </cfRule>
  </conditionalFormatting>
  <conditionalFormatting sqref="G331 G333 G335 G337 G339 G341 G343 G345 G347 G349">
    <cfRule type="expression" dxfId="10885" priority="2653">
      <formula>B331=""</formula>
    </cfRule>
  </conditionalFormatting>
  <conditionalFormatting sqref="G332:G342">
    <cfRule type="expression" dxfId="10884" priority="2652">
      <formula>B332=""</formula>
    </cfRule>
  </conditionalFormatting>
  <conditionalFormatting sqref="G343">
    <cfRule type="expression" dxfId="10883" priority="2651">
      <formula>B343=""</formula>
    </cfRule>
  </conditionalFormatting>
  <conditionalFormatting sqref="G344">
    <cfRule type="expression" dxfId="10882" priority="2650">
      <formula>B344=""</formula>
    </cfRule>
  </conditionalFormatting>
  <conditionalFormatting sqref="G345">
    <cfRule type="expression" dxfId="10881" priority="2649">
      <formula>B345=""</formula>
    </cfRule>
  </conditionalFormatting>
  <conditionalFormatting sqref="G346">
    <cfRule type="expression" dxfId="10880" priority="2648">
      <formula>B346=""</formula>
    </cfRule>
  </conditionalFormatting>
  <conditionalFormatting sqref="G347">
    <cfRule type="expression" dxfId="10879" priority="2647">
      <formula>B347=""</formula>
    </cfRule>
  </conditionalFormatting>
  <conditionalFormatting sqref="G348">
    <cfRule type="expression" dxfId="10878" priority="2646">
      <formula>B348=""</formula>
    </cfRule>
  </conditionalFormatting>
  <conditionalFormatting sqref="G349">
    <cfRule type="expression" dxfId="10877" priority="2645">
      <formula>B349=""</formula>
    </cfRule>
  </conditionalFormatting>
  <conditionalFormatting sqref="H330 H332 H334 H336 H338 H340 H342 H344 H346 H348">
    <cfRule type="expression" dxfId="10876" priority="2644">
      <formula>B330=""</formula>
    </cfRule>
  </conditionalFormatting>
  <conditionalFormatting sqref="H331 H333 H335 H337 H339 H341 H343 H345 H347 H349">
    <cfRule type="expression" dxfId="10875" priority="2643">
      <formula>B331=""</formula>
    </cfRule>
  </conditionalFormatting>
  <conditionalFormatting sqref="H332:H342">
    <cfRule type="expression" dxfId="10874" priority="2642">
      <formula>B332=""</formula>
    </cfRule>
  </conditionalFormatting>
  <conditionalFormatting sqref="H343">
    <cfRule type="expression" dxfId="10873" priority="2641">
      <formula>B343=""</formula>
    </cfRule>
  </conditionalFormatting>
  <conditionalFormatting sqref="H344">
    <cfRule type="expression" dxfId="10872" priority="2640">
      <formula>B344=""</formula>
    </cfRule>
  </conditionalFormatting>
  <conditionalFormatting sqref="H345">
    <cfRule type="expression" dxfId="10871" priority="2639">
      <formula>B345=""</formula>
    </cfRule>
  </conditionalFormatting>
  <conditionalFormatting sqref="H346">
    <cfRule type="expression" dxfId="10870" priority="2638">
      <formula>B346=""</formula>
    </cfRule>
  </conditionalFormatting>
  <conditionalFormatting sqref="H347">
    <cfRule type="expression" dxfId="10869" priority="2637">
      <formula>B347=""</formula>
    </cfRule>
  </conditionalFormatting>
  <conditionalFormatting sqref="H348">
    <cfRule type="expression" dxfId="10868" priority="2636">
      <formula>B348=""</formula>
    </cfRule>
  </conditionalFormatting>
  <conditionalFormatting sqref="H349">
    <cfRule type="expression" dxfId="10867" priority="2635">
      <formula>B349=""</formula>
    </cfRule>
  </conditionalFormatting>
  <conditionalFormatting sqref="C330:C349">
    <cfRule type="expression" dxfId="10866" priority="2634">
      <formula>B330=""</formula>
    </cfRule>
  </conditionalFormatting>
  <conditionalFormatting sqref="C331 C333 C335 C337 C339 C341 C343 C345 C347 C349">
    <cfRule type="expression" dxfId="10865" priority="2633">
      <formula>B331=""</formula>
    </cfRule>
  </conditionalFormatting>
  <conditionalFormatting sqref="C332:C342">
    <cfRule type="expression" dxfId="10864" priority="2632">
      <formula>B332=""</formula>
    </cfRule>
  </conditionalFormatting>
  <conditionalFormatting sqref="C343">
    <cfRule type="expression" dxfId="10863" priority="2631">
      <formula>B343=""</formula>
    </cfRule>
  </conditionalFormatting>
  <conditionalFormatting sqref="C344">
    <cfRule type="expression" dxfId="10862" priority="2630">
      <formula>B344=""</formula>
    </cfRule>
  </conditionalFormatting>
  <conditionalFormatting sqref="C345">
    <cfRule type="expression" dxfId="10861" priority="2629">
      <formula>B345=""</formula>
    </cfRule>
  </conditionalFormatting>
  <conditionalFormatting sqref="C346">
    <cfRule type="expression" dxfId="10860" priority="2628">
      <formula>B346=""</formula>
    </cfRule>
  </conditionalFormatting>
  <conditionalFormatting sqref="C347">
    <cfRule type="expression" dxfId="10859" priority="2627">
      <formula>B347=""</formula>
    </cfRule>
  </conditionalFormatting>
  <conditionalFormatting sqref="C348">
    <cfRule type="expression" dxfId="10858" priority="2626">
      <formula>B348=""</formula>
    </cfRule>
  </conditionalFormatting>
  <conditionalFormatting sqref="C349">
    <cfRule type="expression" dxfId="10857" priority="2625">
      <formula>B349=""</formula>
    </cfRule>
  </conditionalFormatting>
  <conditionalFormatting sqref="C330 C332 C334 C336 C338 C340 C342 C344 C346 C348">
    <cfRule type="expression" dxfId="10856" priority="2624">
      <formula>B330=""</formula>
    </cfRule>
  </conditionalFormatting>
  <conditionalFormatting sqref="C331 C333 C335 C337 C339 C341 C343 C345 C347 C349">
    <cfRule type="expression" dxfId="10855" priority="2623">
      <formula>B331=""</formula>
    </cfRule>
  </conditionalFormatting>
  <conditionalFormatting sqref="C332:C342">
    <cfRule type="expression" dxfId="10854" priority="2622">
      <formula>B332=""</formula>
    </cfRule>
  </conditionalFormatting>
  <conditionalFormatting sqref="C343">
    <cfRule type="expression" dxfId="10853" priority="2621">
      <formula>B343=""</formula>
    </cfRule>
  </conditionalFormatting>
  <conditionalFormatting sqref="C344">
    <cfRule type="expression" dxfId="10852" priority="2620">
      <formula>B344=""</formula>
    </cfRule>
  </conditionalFormatting>
  <conditionalFormatting sqref="C345">
    <cfRule type="expression" dxfId="10851" priority="2619">
      <formula>B345=""</formula>
    </cfRule>
  </conditionalFormatting>
  <conditionalFormatting sqref="C346">
    <cfRule type="expression" dxfId="10850" priority="2618">
      <formula>B346=""</formula>
    </cfRule>
  </conditionalFormatting>
  <conditionalFormatting sqref="C347">
    <cfRule type="expression" dxfId="10849" priority="2617">
      <formula>B347=""</formula>
    </cfRule>
  </conditionalFormatting>
  <conditionalFormatting sqref="C348">
    <cfRule type="expression" dxfId="10848" priority="2616">
      <formula>B348=""</formula>
    </cfRule>
  </conditionalFormatting>
  <conditionalFormatting sqref="C349">
    <cfRule type="expression" dxfId="10847" priority="2615">
      <formula>B349=""</formula>
    </cfRule>
  </conditionalFormatting>
  <conditionalFormatting sqref="D330 D332 D334 D336 D338 D340 D342 D344 D346 D348">
    <cfRule type="expression" dxfId="10846" priority="2614">
      <formula>B330=""</formula>
    </cfRule>
  </conditionalFormatting>
  <conditionalFormatting sqref="D331 D333 D335 D337 D339 D341 D343 D345 D347 D349">
    <cfRule type="expression" dxfId="10845" priority="2613">
      <formula>B331=""</formula>
    </cfRule>
  </conditionalFormatting>
  <conditionalFormatting sqref="D332:D342">
    <cfRule type="expression" dxfId="10844" priority="2612">
      <formula>B332=""</formula>
    </cfRule>
  </conditionalFormatting>
  <conditionalFormatting sqref="D343">
    <cfRule type="expression" dxfId="10843" priority="2611">
      <formula>B343=""</formula>
    </cfRule>
  </conditionalFormatting>
  <conditionalFormatting sqref="D344">
    <cfRule type="expression" dxfId="10842" priority="2610">
      <formula>B344=""</formula>
    </cfRule>
  </conditionalFormatting>
  <conditionalFormatting sqref="D345">
    <cfRule type="expression" dxfId="10841" priority="2609">
      <formula>B345=""</formula>
    </cfRule>
  </conditionalFormatting>
  <conditionalFormatting sqref="D346">
    <cfRule type="expression" dxfId="10840" priority="2608">
      <formula>B346=""</formula>
    </cfRule>
  </conditionalFormatting>
  <conditionalFormatting sqref="D347">
    <cfRule type="expression" dxfId="10839" priority="2607">
      <formula>B347=""</formula>
    </cfRule>
  </conditionalFormatting>
  <conditionalFormatting sqref="D348">
    <cfRule type="expression" dxfId="10838" priority="2606">
      <formula>B348=""</formula>
    </cfRule>
  </conditionalFormatting>
  <conditionalFormatting sqref="D349">
    <cfRule type="expression" dxfId="10837" priority="2605">
      <formula>B349=""</formula>
    </cfRule>
  </conditionalFormatting>
  <conditionalFormatting sqref="E330:E349">
    <cfRule type="expression" dxfId="10836" priority="2604">
      <formula>B330=""</formula>
    </cfRule>
  </conditionalFormatting>
  <conditionalFormatting sqref="E331 E333 E335 E337 E339 E341 E343 E345 E347 E349">
    <cfRule type="expression" dxfId="10835" priority="2603">
      <formula>B331=""</formula>
    </cfRule>
  </conditionalFormatting>
  <conditionalFormatting sqref="E332:E342">
    <cfRule type="expression" dxfId="10834" priority="2602">
      <formula>B332=""</formula>
    </cfRule>
  </conditionalFormatting>
  <conditionalFormatting sqref="E343">
    <cfRule type="expression" dxfId="10833" priority="2601">
      <formula>B343=""</formula>
    </cfRule>
  </conditionalFormatting>
  <conditionalFormatting sqref="E344">
    <cfRule type="expression" dxfId="10832" priority="2600">
      <formula>B344=""</formula>
    </cfRule>
  </conditionalFormatting>
  <conditionalFormatting sqref="E345">
    <cfRule type="expression" dxfId="10831" priority="2599">
      <formula>B345=""</formula>
    </cfRule>
  </conditionalFormatting>
  <conditionalFormatting sqref="E346">
    <cfRule type="expression" dxfId="10830" priority="2598">
      <formula>B346=""</formula>
    </cfRule>
  </conditionalFormatting>
  <conditionalFormatting sqref="E347">
    <cfRule type="expression" dxfId="10829" priority="2597">
      <formula>B347=""</formula>
    </cfRule>
  </conditionalFormatting>
  <conditionalFormatting sqref="E348">
    <cfRule type="expression" dxfId="10828" priority="2596">
      <formula>B348=""</formula>
    </cfRule>
  </conditionalFormatting>
  <conditionalFormatting sqref="E349">
    <cfRule type="expression" dxfId="10827" priority="2595">
      <formula>B349=""</formula>
    </cfRule>
  </conditionalFormatting>
  <conditionalFormatting sqref="F330:F349">
    <cfRule type="expression" dxfId="10826" priority="2594">
      <formula>B330=""</formula>
    </cfRule>
  </conditionalFormatting>
  <conditionalFormatting sqref="F331 F333 F335 F337 F339 F341 F343 F345 F347 F349">
    <cfRule type="expression" dxfId="10825" priority="2593">
      <formula>B331=""</formula>
    </cfRule>
  </conditionalFormatting>
  <conditionalFormatting sqref="F332:F342">
    <cfRule type="expression" dxfId="10824" priority="2592">
      <formula>B332=""</formula>
    </cfRule>
  </conditionalFormatting>
  <conditionalFormatting sqref="F343">
    <cfRule type="expression" dxfId="10823" priority="2591">
      <formula>B343=""</formula>
    </cfRule>
  </conditionalFormatting>
  <conditionalFormatting sqref="F344">
    <cfRule type="expression" dxfId="10822" priority="2590">
      <formula>B344=""</formula>
    </cfRule>
  </conditionalFormatting>
  <conditionalFormatting sqref="F345">
    <cfRule type="expression" dxfId="10821" priority="2589">
      <formula>B345=""</formula>
    </cfRule>
  </conditionalFormatting>
  <conditionalFormatting sqref="F346">
    <cfRule type="expression" dxfId="10820" priority="2588">
      <formula>B346=""</formula>
    </cfRule>
  </conditionalFormatting>
  <conditionalFormatting sqref="F347">
    <cfRule type="expression" dxfId="10819" priority="2587">
      <formula>B347=""</formula>
    </cfRule>
  </conditionalFormatting>
  <conditionalFormatting sqref="F348">
    <cfRule type="expression" dxfId="10818" priority="2586">
      <formula>B348=""</formula>
    </cfRule>
  </conditionalFormatting>
  <conditionalFormatting sqref="F349">
    <cfRule type="expression" dxfId="10817" priority="2585">
      <formula>B349=""</formula>
    </cfRule>
  </conditionalFormatting>
  <conditionalFormatting sqref="E331 E333 E335 E337 E339 E341 E343 E345 E347 E349">
    <cfRule type="expression" dxfId="10816" priority="2584">
      <formula>B331=""</formula>
    </cfRule>
  </conditionalFormatting>
  <conditionalFormatting sqref="E332:E342">
    <cfRule type="expression" dxfId="10815" priority="2583">
      <formula>B332=""</formula>
    </cfRule>
  </conditionalFormatting>
  <conditionalFormatting sqref="E343">
    <cfRule type="expression" dxfId="10814" priority="2582">
      <formula>B343=""</formula>
    </cfRule>
  </conditionalFormatting>
  <conditionalFormatting sqref="E344">
    <cfRule type="expression" dxfId="10813" priority="2581">
      <formula>B344=""</formula>
    </cfRule>
  </conditionalFormatting>
  <conditionalFormatting sqref="E345">
    <cfRule type="expression" dxfId="10812" priority="2580">
      <formula>B345=""</formula>
    </cfRule>
  </conditionalFormatting>
  <conditionalFormatting sqref="E346">
    <cfRule type="expression" dxfId="10811" priority="2579">
      <formula>B346=""</formula>
    </cfRule>
  </conditionalFormatting>
  <conditionalFormatting sqref="E347">
    <cfRule type="expression" dxfId="10810" priority="2578">
      <formula>B347=""</formula>
    </cfRule>
  </conditionalFormatting>
  <conditionalFormatting sqref="E348">
    <cfRule type="expression" dxfId="10809" priority="2577">
      <formula>B348=""</formula>
    </cfRule>
  </conditionalFormatting>
  <conditionalFormatting sqref="E349">
    <cfRule type="expression" dxfId="10808" priority="2576">
      <formula>B349=""</formula>
    </cfRule>
  </conditionalFormatting>
  <conditionalFormatting sqref="G330:G349">
    <cfRule type="expression" dxfId="10807" priority="2575">
      <formula>B330=""</formula>
    </cfRule>
  </conditionalFormatting>
  <conditionalFormatting sqref="G331 G333 G335 G337 G339 G341 G343 G345 G347 G349">
    <cfRule type="expression" dxfId="10806" priority="2574">
      <formula>B331=""</formula>
    </cfRule>
  </conditionalFormatting>
  <conditionalFormatting sqref="G332:G342">
    <cfRule type="expression" dxfId="10805" priority="2573">
      <formula>B332=""</formula>
    </cfRule>
  </conditionalFormatting>
  <conditionalFormatting sqref="G343">
    <cfRule type="expression" dxfId="10804" priority="2572">
      <formula>B343=""</formula>
    </cfRule>
  </conditionalFormatting>
  <conditionalFormatting sqref="G344">
    <cfRule type="expression" dxfId="10803" priority="2571">
      <formula>B344=""</formula>
    </cfRule>
  </conditionalFormatting>
  <conditionalFormatting sqref="G345">
    <cfRule type="expression" dxfId="10802" priority="2570">
      <formula>B345=""</formula>
    </cfRule>
  </conditionalFormatting>
  <conditionalFormatting sqref="G346">
    <cfRule type="expression" dxfId="10801" priority="2569">
      <formula>B346=""</formula>
    </cfRule>
  </conditionalFormatting>
  <conditionalFormatting sqref="G347">
    <cfRule type="expression" dxfId="10800" priority="2568">
      <formula>B347=""</formula>
    </cfRule>
  </conditionalFormatting>
  <conditionalFormatting sqref="G348">
    <cfRule type="expression" dxfId="10799" priority="2567">
      <formula>B348=""</formula>
    </cfRule>
  </conditionalFormatting>
  <conditionalFormatting sqref="G349">
    <cfRule type="expression" dxfId="10798" priority="2566">
      <formula>B349=""</formula>
    </cfRule>
  </conditionalFormatting>
  <conditionalFormatting sqref="H330 H332 H334 H336 H338 H340 H342 H344 H346 H348">
    <cfRule type="expression" dxfId="10797" priority="2565">
      <formula>B330=""</formula>
    </cfRule>
  </conditionalFormatting>
  <conditionalFormatting sqref="H331 H333 H335 H337 H339 H341 H343 H345 H347 H349">
    <cfRule type="expression" dxfId="10796" priority="2564">
      <formula>B331=""</formula>
    </cfRule>
  </conditionalFormatting>
  <conditionalFormatting sqref="H332:H342">
    <cfRule type="expression" dxfId="10795" priority="2563">
      <formula>B332=""</formula>
    </cfRule>
  </conditionalFormatting>
  <conditionalFormatting sqref="H343">
    <cfRule type="expression" dxfId="10794" priority="2562">
      <formula>B343=""</formula>
    </cfRule>
  </conditionalFormatting>
  <conditionalFormatting sqref="H344">
    <cfRule type="expression" dxfId="10793" priority="2561">
      <formula>B344=""</formula>
    </cfRule>
  </conditionalFormatting>
  <conditionalFormatting sqref="H345">
    <cfRule type="expression" dxfId="10792" priority="2560">
      <formula>B345=""</formula>
    </cfRule>
  </conditionalFormatting>
  <conditionalFormatting sqref="H346">
    <cfRule type="expression" dxfId="10791" priority="2559">
      <formula>B346=""</formula>
    </cfRule>
  </conditionalFormatting>
  <conditionalFormatting sqref="H347">
    <cfRule type="expression" dxfId="10790" priority="2558">
      <formula>B347=""</formula>
    </cfRule>
  </conditionalFormatting>
  <conditionalFormatting sqref="H348">
    <cfRule type="expression" dxfId="10789" priority="2557">
      <formula>B348=""</formula>
    </cfRule>
  </conditionalFormatting>
  <conditionalFormatting sqref="H349">
    <cfRule type="expression" dxfId="10788" priority="2556">
      <formula>B349=""</formula>
    </cfRule>
  </conditionalFormatting>
  <conditionalFormatting sqref="F330 F332 F334 F336 F338 F340 F342 F344 F346 F348">
    <cfRule type="expression" dxfId="10787" priority="2555">
      <formula>B330=""</formula>
    </cfRule>
  </conditionalFormatting>
  <conditionalFormatting sqref="F331 F333 F335 F337 F339 F341 F343 F345 F347 F349">
    <cfRule type="expression" dxfId="10786" priority="2554">
      <formula>B331=""</formula>
    </cfRule>
  </conditionalFormatting>
  <conditionalFormatting sqref="F332:F342">
    <cfRule type="expression" dxfId="10785" priority="2553">
      <formula>B332=""</formula>
    </cfRule>
  </conditionalFormatting>
  <conditionalFormatting sqref="F343">
    <cfRule type="expression" dxfId="10784" priority="2552">
      <formula>B343=""</formula>
    </cfRule>
  </conditionalFormatting>
  <conditionalFormatting sqref="F344">
    <cfRule type="expression" dxfId="10783" priority="2551">
      <formula>B344=""</formula>
    </cfRule>
  </conditionalFormatting>
  <conditionalFormatting sqref="F345">
    <cfRule type="expression" dxfId="10782" priority="2550">
      <formula>B345=""</formula>
    </cfRule>
  </conditionalFormatting>
  <conditionalFormatting sqref="F346">
    <cfRule type="expression" dxfId="10781" priority="2549">
      <formula>B346=""</formula>
    </cfRule>
  </conditionalFormatting>
  <conditionalFormatting sqref="F347">
    <cfRule type="expression" dxfId="10780" priority="2548">
      <formula>B347=""</formula>
    </cfRule>
  </conditionalFormatting>
  <conditionalFormatting sqref="F348">
    <cfRule type="expression" dxfId="10779" priority="2547">
      <formula>B348=""</formula>
    </cfRule>
  </conditionalFormatting>
  <conditionalFormatting sqref="F349">
    <cfRule type="expression" dxfId="10778" priority="2546">
      <formula>B349=""</formula>
    </cfRule>
  </conditionalFormatting>
  <conditionalFormatting sqref="C352:C371">
    <cfRule type="expression" dxfId="10777" priority="2545">
      <formula>B352=""</formula>
    </cfRule>
  </conditionalFormatting>
  <conditionalFormatting sqref="C353 C355 C357 C359 C361 C363 C365 C367 C369 C371">
    <cfRule type="expression" dxfId="10776" priority="2544">
      <formula>B353=""</formula>
    </cfRule>
  </conditionalFormatting>
  <conditionalFormatting sqref="C354:C364">
    <cfRule type="expression" dxfId="10775" priority="2543">
      <formula>B354=""</formula>
    </cfRule>
  </conditionalFormatting>
  <conditionalFormatting sqref="C365">
    <cfRule type="expression" dxfId="10774" priority="2542">
      <formula>B365=""</formula>
    </cfRule>
  </conditionalFormatting>
  <conditionalFormatting sqref="C366">
    <cfRule type="expression" dxfId="10773" priority="2541">
      <formula>B366=""</formula>
    </cfRule>
  </conditionalFormatting>
  <conditionalFormatting sqref="C367">
    <cfRule type="expression" dxfId="10772" priority="2540">
      <formula>B367=""</formula>
    </cfRule>
  </conditionalFormatting>
  <conditionalFormatting sqref="C368">
    <cfRule type="expression" dxfId="10771" priority="2539">
      <formula>B368=""</formula>
    </cfRule>
  </conditionalFormatting>
  <conditionalFormatting sqref="C369">
    <cfRule type="expression" dxfId="10770" priority="2538">
      <formula>B369=""</formula>
    </cfRule>
  </conditionalFormatting>
  <conditionalFormatting sqref="C370">
    <cfRule type="expression" dxfId="10769" priority="2537">
      <formula>B370=""</formula>
    </cfRule>
  </conditionalFormatting>
  <conditionalFormatting sqref="C371">
    <cfRule type="expression" dxfId="10768" priority="2536">
      <formula>B371=""</formula>
    </cfRule>
  </conditionalFormatting>
  <conditionalFormatting sqref="C371">
    <cfRule type="expression" dxfId="10767" priority="2535">
      <formula>B371=""</formula>
    </cfRule>
  </conditionalFormatting>
  <conditionalFormatting sqref="C352:C371">
    <cfRule type="expression" dxfId="10766" priority="2534">
      <formula>B352=""</formula>
    </cfRule>
  </conditionalFormatting>
  <conditionalFormatting sqref="C353 C355 C357 C359 C361 C363 C365 C367 C369 C371">
    <cfRule type="expression" dxfId="10765" priority="2533">
      <formula>B353=""</formula>
    </cfRule>
  </conditionalFormatting>
  <conditionalFormatting sqref="C354:C364">
    <cfRule type="expression" dxfId="10764" priority="2532">
      <formula>B354=""</formula>
    </cfRule>
  </conditionalFormatting>
  <conditionalFormatting sqref="C365">
    <cfRule type="expression" dxfId="10763" priority="2531">
      <formula>B365=""</formula>
    </cfRule>
  </conditionalFormatting>
  <conditionalFormatting sqref="C366">
    <cfRule type="expression" dxfId="10762" priority="2530">
      <formula>B366=""</formula>
    </cfRule>
  </conditionalFormatting>
  <conditionalFormatting sqref="C367">
    <cfRule type="expression" dxfId="10761" priority="2529">
      <formula>B367=""</formula>
    </cfRule>
  </conditionalFormatting>
  <conditionalFormatting sqref="C368">
    <cfRule type="expression" dxfId="10760" priority="2528">
      <formula>B368=""</formula>
    </cfRule>
  </conditionalFormatting>
  <conditionalFormatting sqref="C369">
    <cfRule type="expression" dxfId="10759" priority="2527">
      <formula>B369=""</formula>
    </cfRule>
  </conditionalFormatting>
  <conditionalFormatting sqref="C370">
    <cfRule type="expression" dxfId="10758" priority="2526">
      <formula>B370=""</formula>
    </cfRule>
  </conditionalFormatting>
  <conditionalFormatting sqref="C371">
    <cfRule type="expression" dxfId="10757" priority="2525">
      <formula>B371=""</formula>
    </cfRule>
  </conditionalFormatting>
  <conditionalFormatting sqref="C352:C371">
    <cfRule type="expression" dxfId="10756" priority="2524">
      <formula>B352=""</formula>
    </cfRule>
  </conditionalFormatting>
  <conditionalFormatting sqref="C353 C355 C357 C359 C361 C363 C365 C367 C369 C371">
    <cfRule type="expression" dxfId="10755" priority="2523">
      <formula>B353=""</formula>
    </cfRule>
  </conditionalFormatting>
  <conditionalFormatting sqref="C354:C364">
    <cfRule type="expression" dxfId="10754" priority="2522">
      <formula>B354=""</formula>
    </cfRule>
  </conditionalFormatting>
  <conditionalFormatting sqref="C365">
    <cfRule type="expression" dxfId="10753" priority="2521">
      <formula>B365=""</formula>
    </cfRule>
  </conditionalFormatting>
  <conditionalFormatting sqref="C366">
    <cfRule type="expression" dxfId="10752" priority="2520">
      <formula>B366=""</formula>
    </cfRule>
  </conditionalFormatting>
  <conditionalFormatting sqref="C367">
    <cfRule type="expression" dxfId="10751" priority="2519">
      <formula>B367=""</formula>
    </cfRule>
  </conditionalFormatting>
  <conditionalFormatting sqref="C368">
    <cfRule type="expression" dxfId="10750" priority="2518">
      <formula>B368=""</formula>
    </cfRule>
  </conditionalFormatting>
  <conditionalFormatting sqref="C369">
    <cfRule type="expression" dxfId="10749" priority="2517">
      <formula>B369=""</formula>
    </cfRule>
  </conditionalFormatting>
  <conditionalFormatting sqref="C370">
    <cfRule type="expression" dxfId="10748" priority="2516">
      <formula>B370=""</formula>
    </cfRule>
  </conditionalFormatting>
  <conditionalFormatting sqref="C371">
    <cfRule type="expression" dxfId="10747" priority="2515">
      <formula>B371=""</formula>
    </cfRule>
  </conditionalFormatting>
  <conditionalFormatting sqref="C352:C371">
    <cfRule type="expression" dxfId="10746" priority="2514">
      <formula>B352=""</formula>
    </cfRule>
  </conditionalFormatting>
  <conditionalFormatting sqref="C353 C355 C357 C359 C361 C363 C365 C367 C369 C371">
    <cfRule type="expression" dxfId="10745" priority="2513">
      <formula>B353=""</formula>
    </cfRule>
  </conditionalFormatting>
  <conditionalFormatting sqref="C354:C364">
    <cfRule type="expression" dxfId="10744" priority="2512">
      <formula>B354=""</formula>
    </cfRule>
  </conditionalFormatting>
  <conditionalFormatting sqref="C365">
    <cfRule type="expression" dxfId="10743" priority="2511">
      <formula>B365=""</formula>
    </cfRule>
  </conditionalFormatting>
  <conditionalFormatting sqref="C366">
    <cfRule type="expression" dxfId="10742" priority="2510">
      <formula>B366=""</formula>
    </cfRule>
  </conditionalFormatting>
  <conditionalFormatting sqref="C367">
    <cfRule type="expression" dxfId="10741" priority="2509">
      <formula>B367=""</formula>
    </cfRule>
  </conditionalFormatting>
  <conditionalFormatting sqref="C368">
    <cfRule type="expression" dxfId="10740" priority="2508">
      <formula>B368=""</formula>
    </cfRule>
  </conditionalFormatting>
  <conditionalFormatting sqref="C369">
    <cfRule type="expression" dxfId="10739" priority="2507">
      <formula>B369=""</formula>
    </cfRule>
  </conditionalFormatting>
  <conditionalFormatting sqref="C370">
    <cfRule type="expression" dxfId="10738" priority="2506">
      <formula>B370=""</formula>
    </cfRule>
  </conditionalFormatting>
  <conditionalFormatting sqref="C371">
    <cfRule type="expression" dxfId="10737" priority="2505">
      <formula>B371=""</formula>
    </cfRule>
  </conditionalFormatting>
  <conditionalFormatting sqref="C352 C354 C356 C358 C360 C362 C364 C366 C368 C370">
    <cfRule type="expression" dxfId="10736" priority="2504">
      <formula>B352=""</formula>
    </cfRule>
  </conditionalFormatting>
  <conditionalFormatting sqref="C353 C355 C357 C359 C361 C363 C365 C367 C369 C371">
    <cfRule type="expression" dxfId="10735" priority="2503">
      <formula>B353=""</formula>
    </cfRule>
  </conditionalFormatting>
  <conditionalFormatting sqref="C354:C364">
    <cfRule type="expression" dxfId="10734" priority="2502">
      <formula>B354=""</formula>
    </cfRule>
  </conditionalFormatting>
  <conditionalFormatting sqref="C365">
    <cfRule type="expression" dxfId="10733" priority="2501">
      <formula>B365=""</formula>
    </cfRule>
  </conditionalFormatting>
  <conditionalFormatting sqref="C366">
    <cfRule type="expression" dxfId="10732" priority="2500">
      <formula>B366=""</formula>
    </cfRule>
  </conditionalFormatting>
  <conditionalFormatting sqref="C367">
    <cfRule type="expression" dxfId="10731" priority="2499">
      <formula>B367=""</formula>
    </cfRule>
  </conditionalFormatting>
  <conditionalFormatting sqref="C368">
    <cfRule type="expression" dxfId="10730" priority="2498">
      <formula>B368=""</formula>
    </cfRule>
  </conditionalFormatting>
  <conditionalFormatting sqref="C369">
    <cfRule type="expression" dxfId="10729" priority="2497">
      <formula>B369=""</formula>
    </cfRule>
  </conditionalFormatting>
  <conditionalFormatting sqref="C370">
    <cfRule type="expression" dxfId="10728" priority="2496">
      <formula>B370=""</formula>
    </cfRule>
  </conditionalFormatting>
  <conditionalFormatting sqref="C371">
    <cfRule type="expression" dxfId="10727" priority="2495">
      <formula>B371=""</formula>
    </cfRule>
  </conditionalFormatting>
  <conditionalFormatting sqref="C374:C393">
    <cfRule type="expression" dxfId="10726" priority="2494">
      <formula>B374=""</formula>
    </cfRule>
  </conditionalFormatting>
  <conditionalFormatting sqref="C375 C377 C379 C381 C383 C385 C387 C389 C391 C393">
    <cfRule type="expression" dxfId="10725" priority="2493">
      <formula>B375=""</formula>
    </cfRule>
  </conditionalFormatting>
  <conditionalFormatting sqref="C376:C386">
    <cfRule type="expression" dxfId="10724" priority="2492">
      <formula>B376=""</formula>
    </cfRule>
  </conditionalFormatting>
  <conditionalFormatting sqref="C387">
    <cfRule type="expression" dxfId="10723" priority="2491">
      <formula>B387=""</formula>
    </cfRule>
  </conditionalFormatting>
  <conditionalFormatting sqref="C388">
    <cfRule type="expression" dxfId="10722" priority="2490">
      <formula>B388=""</formula>
    </cfRule>
  </conditionalFormatting>
  <conditionalFormatting sqref="C389">
    <cfRule type="expression" dxfId="10721" priority="2489">
      <formula>B389=""</formula>
    </cfRule>
  </conditionalFormatting>
  <conditionalFormatting sqref="C390">
    <cfRule type="expression" dxfId="10720" priority="2488">
      <formula>B390=""</formula>
    </cfRule>
  </conditionalFormatting>
  <conditionalFormatting sqref="C391">
    <cfRule type="expression" dxfId="10719" priority="2487">
      <formula>B391=""</formula>
    </cfRule>
  </conditionalFormatting>
  <conditionalFormatting sqref="C392">
    <cfRule type="expression" dxfId="10718" priority="2486">
      <formula>B392=""</formula>
    </cfRule>
  </conditionalFormatting>
  <conditionalFormatting sqref="C393">
    <cfRule type="expression" dxfId="10717" priority="2485">
      <formula>B393=""</formula>
    </cfRule>
  </conditionalFormatting>
  <conditionalFormatting sqref="C393">
    <cfRule type="expression" dxfId="10716" priority="2484">
      <formula>B393=""</formula>
    </cfRule>
  </conditionalFormatting>
  <conditionalFormatting sqref="C374:C393">
    <cfRule type="expression" dxfId="10715" priority="2483">
      <formula>B374=""</formula>
    </cfRule>
  </conditionalFormatting>
  <conditionalFormatting sqref="C375 C377 C379 C381 C383 C385 C387 C389 C391 C393">
    <cfRule type="expression" dxfId="10714" priority="2482">
      <formula>B375=""</formula>
    </cfRule>
  </conditionalFormatting>
  <conditionalFormatting sqref="C376:C386">
    <cfRule type="expression" dxfId="10713" priority="2481">
      <formula>B376=""</formula>
    </cfRule>
  </conditionalFormatting>
  <conditionalFormatting sqref="C387">
    <cfRule type="expression" dxfId="10712" priority="2480">
      <formula>B387=""</formula>
    </cfRule>
  </conditionalFormatting>
  <conditionalFormatting sqref="C388">
    <cfRule type="expression" dxfId="10711" priority="2479">
      <formula>B388=""</formula>
    </cfRule>
  </conditionalFormatting>
  <conditionalFormatting sqref="C389">
    <cfRule type="expression" dxfId="10710" priority="2478">
      <formula>B389=""</formula>
    </cfRule>
  </conditionalFormatting>
  <conditionalFormatting sqref="C390">
    <cfRule type="expression" dxfId="10709" priority="2477">
      <formula>B390=""</formula>
    </cfRule>
  </conditionalFormatting>
  <conditionalFormatting sqref="C391">
    <cfRule type="expression" dxfId="10708" priority="2476">
      <formula>B391=""</formula>
    </cfRule>
  </conditionalFormatting>
  <conditionalFormatting sqref="C392">
    <cfRule type="expression" dxfId="10707" priority="2475">
      <formula>B392=""</formula>
    </cfRule>
  </conditionalFormatting>
  <conditionalFormatting sqref="C393">
    <cfRule type="expression" dxfId="10706" priority="2474">
      <formula>B393=""</formula>
    </cfRule>
  </conditionalFormatting>
  <conditionalFormatting sqref="C374:C393">
    <cfRule type="expression" dxfId="10705" priority="2473">
      <formula>B374=""</formula>
    </cfRule>
  </conditionalFormatting>
  <conditionalFormatting sqref="C375 C377 C379 C381 C383 C385 C387 C389 C391 C393">
    <cfRule type="expression" dxfId="10704" priority="2472">
      <formula>B375=""</formula>
    </cfRule>
  </conditionalFormatting>
  <conditionalFormatting sqref="C376:C386">
    <cfRule type="expression" dxfId="10703" priority="2471">
      <formula>B376=""</formula>
    </cfRule>
  </conditionalFormatting>
  <conditionalFormatting sqref="C387">
    <cfRule type="expression" dxfId="10702" priority="2470">
      <formula>B387=""</formula>
    </cfRule>
  </conditionalFormatting>
  <conditionalFormatting sqref="C388">
    <cfRule type="expression" dxfId="10701" priority="2469">
      <formula>B388=""</formula>
    </cfRule>
  </conditionalFormatting>
  <conditionalFormatting sqref="C389">
    <cfRule type="expression" dxfId="10700" priority="2468">
      <formula>B389=""</formula>
    </cfRule>
  </conditionalFormatting>
  <conditionalFormatting sqref="C390">
    <cfRule type="expression" dxfId="10699" priority="2467">
      <formula>B390=""</formula>
    </cfRule>
  </conditionalFormatting>
  <conditionalFormatting sqref="C391">
    <cfRule type="expression" dxfId="10698" priority="2466">
      <formula>B391=""</formula>
    </cfRule>
  </conditionalFormatting>
  <conditionalFormatting sqref="C392">
    <cfRule type="expression" dxfId="10697" priority="2465">
      <formula>B392=""</formula>
    </cfRule>
  </conditionalFormatting>
  <conditionalFormatting sqref="C393">
    <cfRule type="expression" dxfId="10696" priority="2464">
      <formula>B393=""</formula>
    </cfRule>
  </conditionalFormatting>
  <conditionalFormatting sqref="C393">
    <cfRule type="expression" dxfId="10695" priority="2463">
      <formula>B393=""</formula>
    </cfRule>
  </conditionalFormatting>
  <conditionalFormatting sqref="C374:C393">
    <cfRule type="expression" dxfId="10694" priority="2462">
      <formula>B374=""</formula>
    </cfRule>
  </conditionalFormatting>
  <conditionalFormatting sqref="C375 C377 C379 C381 C383 C385 C387 C389 C391 C393">
    <cfRule type="expression" dxfId="10693" priority="2461">
      <formula>B375=""</formula>
    </cfRule>
  </conditionalFormatting>
  <conditionalFormatting sqref="C376:C386">
    <cfRule type="expression" dxfId="10692" priority="2460">
      <formula>B376=""</formula>
    </cfRule>
  </conditionalFormatting>
  <conditionalFormatting sqref="C387">
    <cfRule type="expression" dxfId="10691" priority="2459">
      <formula>B387=""</formula>
    </cfRule>
  </conditionalFormatting>
  <conditionalFormatting sqref="C388">
    <cfRule type="expression" dxfId="10690" priority="2458">
      <formula>B388=""</formula>
    </cfRule>
  </conditionalFormatting>
  <conditionalFormatting sqref="C389">
    <cfRule type="expression" dxfId="10689" priority="2457">
      <formula>B389=""</formula>
    </cfRule>
  </conditionalFormatting>
  <conditionalFormatting sqref="C390">
    <cfRule type="expression" dxfId="10688" priority="2456">
      <formula>B390=""</formula>
    </cfRule>
  </conditionalFormatting>
  <conditionalFormatting sqref="C391">
    <cfRule type="expression" dxfId="10687" priority="2455">
      <formula>B391=""</formula>
    </cfRule>
  </conditionalFormatting>
  <conditionalFormatting sqref="C392">
    <cfRule type="expression" dxfId="10686" priority="2454">
      <formula>B392=""</formula>
    </cfRule>
  </conditionalFormatting>
  <conditionalFormatting sqref="C393">
    <cfRule type="expression" dxfId="10685" priority="2453">
      <formula>B393=""</formula>
    </cfRule>
  </conditionalFormatting>
  <conditionalFormatting sqref="C374:C393">
    <cfRule type="expression" dxfId="10684" priority="2452">
      <formula>B374=""</formula>
    </cfRule>
  </conditionalFormatting>
  <conditionalFormatting sqref="C375 C377 C379 C381 C383 C385 C387 C389 C391 C393">
    <cfRule type="expression" dxfId="10683" priority="2451">
      <formula>B375=""</formula>
    </cfRule>
  </conditionalFormatting>
  <conditionalFormatting sqref="C376:C386">
    <cfRule type="expression" dxfId="10682" priority="2450">
      <formula>B376=""</formula>
    </cfRule>
  </conditionalFormatting>
  <conditionalFormatting sqref="C387">
    <cfRule type="expression" dxfId="10681" priority="2449">
      <formula>B387=""</formula>
    </cfRule>
  </conditionalFormatting>
  <conditionalFormatting sqref="C388">
    <cfRule type="expression" dxfId="10680" priority="2448">
      <formula>B388=""</formula>
    </cfRule>
  </conditionalFormatting>
  <conditionalFormatting sqref="C389">
    <cfRule type="expression" dxfId="10679" priority="2447">
      <formula>B389=""</formula>
    </cfRule>
  </conditionalFormatting>
  <conditionalFormatting sqref="C390">
    <cfRule type="expression" dxfId="10678" priority="2446">
      <formula>B390=""</formula>
    </cfRule>
  </conditionalFormatting>
  <conditionalFormatting sqref="C391">
    <cfRule type="expression" dxfId="10677" priority="2445">
      <formula>B391=""</formula>
    </cfRule>
  </conditionalFormatting>
  <conditionalFormatting sqref="C392">
    <cfRule type="expression" dxfId="10676" priority="2444">
      <formula>B392=""</formula>
    </cfRule>
  </conditionalFormatting>
  <conditionalFormatting sqref="C393">
    <cfRule type="expression" dxfId="10675" priority="2443">
      <formula>B393=""</formula>
    </cfRule>
  </conditionalFormatting>
  <conditionalFormatting sqref="C374:C393">
    <cfRule type="expression" dxfId="10674" priority="2442">
      <formula>B374=""</formula>
    </cfRule>
  </conditionalFormatting>
  <conditionalFormatting sqref="C375 C377 C379 C381 C383 C385 C387 C389 C391 C393">
    <cfRule type="expression" dxfId="10673" priority="2441">
      <formula>B375=""</formula>
    </cfRule>
  </conditionalFormatting>
  <conditionalFormatting sqref="C376:C386">
    <cfRule type="expression" dxfId="10672" priority="2440">
      <formula>B376=""</formula>
    </cfRule>
  </conditionalFormatting>
  <conditionalFormatting sqref="C387">
    <cfRule type="expression" dxfId="10671" priority="2439">
      <formula>B387=""</formula>
    </cfRule>
  </conditionalFormatting>
  <conditionalFormatting sqref="C388">
    <cfRule type="expression" dxfId="10670" priority="2438">
      <formula>B388=""</formula>
    </cfRule>
  </conditionalFormatting>
  <conditionalFormatting sqref="C389">
    <cfRule type="expression" dxfId="10669" priority="2437">
      <formula>B389=""</formula>
    </cfRule>
  </conditionalFormatting>
  <conditionalFormatting sqref="C390">
    <cfRule type="expression" dxfId="10668" priority="2436">
      <formula>B390=""</formula>
    </cfRule>
  </conditionalFormatting>
  <conditionalFormatting sqref="C391">
    <cfRule type="expression" dxfId="10667" priority="2435">
      <formula>B391=""</formula>
    </cfRule>
  </conditionalFormatting>
  <conditionalFormatting sqref="C392">
    <cfRule type="expression" dxfId="10666" priority="2434">
      <formula>B392=""</formula>
    </cfRule>
  </conditionalFormatting>
  <conditionalFormatting sqref="C393">
    <cfRule type="expression" dxfId="10665" priority="2433">
      <formula>B393=""</formula>
    </cfRule>
  </conditionalFormatting>
  <conditionalFormatting sqref="C374 C376 C378 C380 C382 C384 C386 C388 C390 C392">
    <cfRule type="expression" dxfId="10664" priority="2432">
      <formula>B374=""</formula>
    </cfRule>
  </conditionalFormatting>
  <conditionalFormatting sqref="C375 C377 C379 C381 C383 C385 C387 C389 C391 C393">
    <cfRule type="expression" dxfId="10663" priority="2431">
      <formula>B375=""</formula>
    </cfRule>
  </conditionalFormatting>
  <conditionalFormatting sqref="C376:C386">
    <cfRule type="expression" dxfId="10662" priority="2430">
      <formula>B376=""</formula>
    </cfRule>
  </conditionalFormatting>
  <conditionalFormatting sqref="C387">
    <cfRule type="expression" dxfId="10661" priority="2429">
      <formula>B387=""</formula>
    </cfRule>
  </conditionalFormatting>
  <conditionalFormatting sqref="C388">
    <cfRule type="expression" dxfId="10660" priority="2428">
      <formula>B388=""</formula>
    </cfRule>
  </conditionalFormatting>
  <conditionalFormatting sqref="C389">
    <cfRule type="expression" dxfId="10659" priority="2427">
      <formula>B389=""</formula>
    </cfRule>
  </conditionalFormatting>
  <conditionalFormatting sqref="C390">
    <cfRule type="expression" dxfId="10658" priority="2426">
      <formula>B390=""</formula>
    </cfRule>
  </conditionalFormatting>
  <conditionalFormatting sqref="C391">
    <cfRule type="expression" dxfId="10657" priority="2425">
      <formula>B391=""</formula>
    </cfRule>
  </conditionalFormatting>
  <conditionalFormatting sqref="C392">
    <cfRule type="expression" dxfId="10656" priority="2424">
      <formula>B392=""</formula>
    </cfRule>
  </conditionalFormatting>
  <conditionalFormatting sqref="C393">
    <cfRule type="expression" dxfId="10655" priority="2423">
      <formula>B393=""</formula>
    </cfRule>
  </conditionalFormatting>
  <conditionalFormatting sqref="B408:B428 B430:B450 B452:B472 B474:B494">
    <cfRule type="containsBlanks" dxfId="10654" priority="2422">
      <formula>LEN(TRIM(B408))=0</formula>
    </cfRule>
  </conditionalFormatting>
  <conditionalFormatting sqref="C408:C428">
    <cfRule type="expression" dxfId="10653" priority="2421">
      <formula>B408=""</formula>
    </cfRule>
  </conditionalFormatting>
  <conditionalFormatting sqref="C409 C411 C413 C415 C417 C419 C421 C423 C425 C427">
    <cfRule type="expression" dxfId="10652" priority="2420">
      <formula>B409=""</formula>
    </cfRule>
  </conditionalFormatting>
  <conditionalFormatting sqref="C410:C420">
    <cfRule type="expression" dxfId="10651" priority="2419">
      <formula>B410=""</formula>
    </cfRule>
  </conditionalFormatting>
  <conditionalFormatting sqref="C421">
    <cfRule type="expression" dxfId="10650" priority="2418">
      <formula>B421=""</formula>
    </cfRule>
  </conditionalFormatting>
  <conditionalFormatting sqref="C422">
    <cfRule type="expression" dxfId="10649" priority="2417">
      <formula>B422=""</formula>
    </cfRule>
  </conditionalFormatting>
  <conditionalFormatting sqref="C423">
    <cfRule type="expression" dxfId="10648" priority="2416">
      <formula>B423=""</formula>
    </cfRule>
  </conditionalFormatting>
  <conditionalFormatting sqref="C424">
    <cfRule type="expression" dxfId="10647" priority="2415">
      <formula>B424=""</formula>
    </cfRule>
  </conditionalFormatting>
  <conditionalFormatting sqref="C425">
    <cfRule type="expression" dxfId="10646" priority="2414">
      <formula>B425=""</formula>
    </cfRule>
  </conditionalFormatting>
  <conditionalFormatting sqref="C426">
    <cfRule type="expression" dxfId="10645" priority="2413">
      <formula>B426=""</formula>
    </cfRule>
  </conditionalFormatting>
  <conditionalFormatting sqref="C427">
    <cfRule type="expression" dxfId="10644" priority="2412">
      <formula>B427=""</formula>
    </cfRule>
  </conditionalFormatting>
  <conditionalFormatting sqref="C428">
    <cfRule type="expression" dxfId="10643" priority="2411">
      <formula>B428=""</formula>
    </cfRule>
  </conditionalFormatting>
  <conditionalFormatting sqref="D408 D410 D412 D414 D416 D418 D420 D422 D424 D426">
    <cfRule type="expression" dxfId="10642" priority="2410">
      <formula>B408=""</formula>
    </cfRule>
  </conditionalFormatting>
  <conditionalFormatting sqref="D409 D411 D413 D415 D417 D419 D421 D423 D425 D427">
    <cfRule type="expression" dxfId="10641" priority="2409">
      <formula>B409=""</formula>
    </cfRule>
  </conditionalFormatting>
  <conditionalFormatting sqref="D410:D420">
    <cfRule type="expression" dxfId="10640" priority="2408">
      <formula>B410=""</formula>
    </cfRule>
  </conditionalFormatting>
  <conditionalFormatting sqref="D421">
    <cfRule type="expression" dxfId="10639" priority="2407">
      <formula>B421=""</formula>
    </cfRule>
  </conditionalFormatting>
  <conditionalFormatting sqref="D422">
    <cfRule type="expression" dxfId="10638" priority="2406">
      <formula>B422=""</formula>
    </cfRule>
  </conditionalFormatting>
  <conditionalFormatting sqref="D423">
    <cfRule type="expression" dxfId="10637" priority="2405">
      <formula>B423=""</formula>
    </cfRule>
  </conditionalFormatting>
  <conditionalFormatting sqref="D424">
    <cfRule type="expression" dxfId="10636" priority="2404">
      <formula>B424=""</formula>
    </cfRule>
  </conditionalFormatting>
  <conditionalFormatting sqref="D425">
    <cfRule type="expression" dxfId="10635" priority="2403">
      <formula>B425=""</formula>
    </cfRule>
  </conditionalFormatting>
  <conditionalFormatting sqref="D426">
    <cfRule type="expression" dxfId="10634" priority="2402">
      <formula>B426=""</formula>
    </cfRule>
  </conditionalFormatting>
  <conditionalFormatting sqref="D427">
    <cfRule type="expression" dxfId="10633" priority="2401">
      <formula>B427=""</formula>
    </cfRule>
  </conditionalFormatting>
  <conditionalFormatting sqref="D428">
    <cfRule type="expression" dxfId="10632" priority="2400">
      <formula>B428=""</formula>
    </cfRule>
  </conditionalFormatting>
  <conditionalFormatting sqref="E408 E410 E412 E414 E416 E418 E420 E422 E424 E426">
    <cfRule type="expression" dxfId="10631" priority="2399">
      <formula>B408=""</formula>
    </cfRule>
  </conditionalFormatting>
  <conditionalFormatting sqref="E409 E411 E413 E415 E417 E419 E421 E423 E425 E427">
    <cfRule type="expression" dxfId="10630" priority="2398">
      <formula>B409=""</formula>
    </cfRule>
  </conditionalFormatting>
  <conditionalFormatting sqref="E410:E420">
    <cfRule type="expression" dxfId="10629" priority="2397">
      <formula>B410=""</formula>
    </cfRule>
  </conditionalFormatting>
  <conditionalFormatting sqref="E421">
    <cfRule type="expression" dxfId="10628" priority="2396">
      <formula>B421=""</formula>
    </cfRule>
  </conditionalFormatting>
  <conditionalFormatting sqref="E422">
    <cfRule type="expression" dxfId="10627" priority="2395">
      <formula>B422=""</formula>
    </cfRule>
  </conditionalFormatting>
  <conditionalFormatting sqref="E423">
    <cfRule type="expression" dxfId="10626" priority="2394">
      <formula>B423=""</formula>
    </cfRule>
  </conditionalFormatting>
  <conditionalFormatting sqref="E424">
    <cfRule type="expression" dxfId="10625" priority="2393">
      <formula>B424=""</formula>
    </cfRule>
  </conditionalFormatting>
  <conditionalFormatting sqref="E425">
    <cfRule type="expression" dxfId="10624" priority="2392">
      <formula>B425=""</formula>
    </cfRule>
  </conditionalFormatting>
  <conditionalFormatting sqref="E426">
    <cfRule type="expression" dxfId="10623" priority="2391">
      <formula>B426=""</formula>
    </cfRule>
  </conditionalFormatting>
  <conditionalFormatting sqref="E427">
    <cfRule type="expression" dxfId="10622" priority="2390">
      <formula>B427=""</formula>
    </cfRule>
  </conditionalFormatting>
  <conditionalFormatting sqref="E428">
    <cfRule type="expression" dxfId="10621" priority="2389">
      <formula>B428=""</formula>
    </cfRule>
  </conditionalFormatting>
  <conditionalFormatting sqref="F408 F410 F412 F414 F416 F418 F420 F422 F424 F426">
    <cfRule type="expression" dxfId="10620" priority="2388">
      <formula>B408=""</formula>
    </cfRule>
  </conditionalFormatting>
  <conditionalFormatting sqref="F409 F411 F413 F415 F417 F419 F421 F423 F425 F427">
    <cfRule type="expression" dxfId="10619" priority="2387">
      <formula>B409=""</formula>
    </cfRule>
  </conditionalFormatting>
  <conditionalFormatting sqref="F410:F420">
    <cfRule type="expression" dxfId="10618" priority="2386">
      <formula>B410=""</formula>
    </cfRule>
  </conditionalFormatting>
  <conditionalFormatting sqref="F421">
    <cfRule type="expression" dxfId="10617" priority="2385">
      <formula>B421=""</formula>
    </cfRule>
  </conditionalFormatting>
  <conditionalFormatting sqref="F422">
    <cfRule type="expression" dxfId="10616" priority="2384">
      <formula>B422=""</formula>
    </cfRule>
  </conditionalFormatting>
  <conditionalFormatting sqref="F423">
    <cfRule type="expression" dxfId="10615" priority="2383">
      <formula>B423=""</formula>
    </cfRule>
  </conditionalFormatting>
  <conditionalFormatting sqref="F424">
    <cfRule type="expression" dxfId="10614" priority="2382">
      <formula>B424=""</formula>
    </cfRule>
  </conditionalFormatting>
  <conditionalFormatting sqref="F425">
    <cfRule type="expression" dxfId="10613" priority="2381">
      <formula>B425=""</formula>
    </cfRule>
  </conditionalFormatting>
  <conditionalFormatting sqref="F426">
    <cfRule type="expression" dxfId="10612" priority="2380">
      <formula>B426=""</formula>
    </cfRule>
  </conditionalFormatting>
  <conditionalFormatting sqref="F427">
    <cfRule type="expression" dxfId="10611" priority="2379">
      <formula>B427=""</formula>
    </cfRule>
  </conditionalFormatting>
  <conditionalFormatting sqref="F428">
    <cfRule type="expression" dxfId="10610" priority="2378">
      <formula>B428=""</formula>
    </cfRule>
  </conditionalFormatting>
  <conditionalFormatting sqref="E409 E411 E413 E415 E417 E419 E421 E423 E425 E427">
    <cfRule type="expression" dxfId="10609" priority="2377">
      <formula>B409=""</formula>
    </cfRule>
  </conditionalFormatting>
  <conditionalFormatting sqref="E410:E420">
    <cfRule type="expression" dxfId="10608" priority="2376">
      <formula>B410=""</formula>
    </cfRule>
  </conditionalFormatting>
  <conditionalFormatting sqref="E421">
    <cfRule type="expression" dxfId="10607" priority="2375">
      <formula>B421=""</formula>
    </cfRule>
  </conditionalFormatting>
  <conditionalFormatting sqref="E422">
    <cfRule type="expression" dxfId="10606" priority="2374">
      <formula>B422=""</formula>
    </cfRule>
  </conditionalFormatting>
  <conditionalFormatting sqref="E423">
    <cfRule type="expression" dxfId="10605" priority="2373">
      <formula>B423=""</formula>
    </cfRule>
  </conditionalFormatting>
  <conditionalFormatting sqref="E424">
    <cfRule type="expression" dxfId="10604" priority="2372">
      <formula>B424=""</formula>
    </cfRule>
  </conditionalFormatting>
  <conditionalFormatting sqref="E425">
    <cfRule type="expression" dxfId="10603" priority="2371">
      <formula>B425=""</formula>
    </cfRule>
  </conditionalFormatting>
  <conditionalFormatting sqref="E426">
    <cfRule type="expression" dxfId="10602" priority="2370">
      <formula>B426=""</formula>
    </cfRule>
  </conditionalFormatting>
  <conditionalFormatting sqref="E427">
    <cfRule type="expression" dxfId="10601" priority="2369">
      <formula>B427=""</formula>
    </cfRule>
  </conditionalFormatting>
  <conditionalFormatting sqref="E428">
    <cfRule type="expression" dxfId="10600" priority="2368">
      <formula>B428=""</formula>
    </cfRule>
  </conditionalFormatting>
  <conditionalFormatting sqref="G408 G410 G412 G414 G416 G418 G420 G422 G424 G426">
    <cfRule type="expression" dxfId="10599" priority="2367">
      <formula>B408=""</formula>
    </cfRule>
  </conditionalFormatting>
  <conditionalFormatting sqref="G409 G411 G413 G415 G417 G419 G421 G423 G425 G427">
    <cfRule type="expression" dxfId="10598" priority="2366">
      <formula>B409=""</formula>
    </cfRule>
  </conditionalFormatting>
  <conditionalFormatting sqref="G410:G420">
    <cfRule type="expression" dxfId="10597" priority="2365">
      <formula>B410=""</formula>
    </cfRule>
  </conditionalFormatting>
  <conditionalFormatting sqref="G421">
    <cfRule type="expression" dxfId="10596" priority="2364">
      <formula>B421=""</formula>
    </cfRule>
  </conditionalFormatting>
  <conditionalFormatting sqref="G422">
    <cfRule type="expression" dxfId="10595" priority="2363">
      <formula>B422=""</formula>
    </cfRule>
  </conditionalFormatting>
  <conditionalFormatting sqref="G423">
    <cfRule type="expression" dxfId="10594" priority="2362">
      <formula>B423=""</formula>
    </cfRule>
  </conditionalFormatting>
  <conditionalFormatting sqref="G424">
    <cfRule type="expression" dxfId="10593" priority="2361">
      <formula>B424=""</formula>
    </cfRule>
  </conditionalFormatting>
  <conditionalFormatting sqref="G425">
    <cfRule type="expression" dxfId="10592" priority="2360">
      <formula>B425=""</formula>
    </cfRule>
  </conditionalFormatting>
  <conditionalFormatting sqref="G426">
    <cfRule type="expression" dxfId="10591" priority="2359">
      <formula>B426=""</formula>
    </cfRule>
  </conditionalFormatting>
  <conditionalFormatting sqref="G427">
    <cfRule type="expression" dxfId="10590" priority="2358">
      <formula>B427=""</formula>
    </cfRule>
  </conditionalFormatting>
  <conditionalFormatting sqref="G428">
    <cfRule type="expression" dxfId="10589" priority="2357">
      <formula>B428=""</formula>
    </cfRule>
  </conditionalFormatting>
  <conditionalFormatting sqref="H408 H410 H412 H414 H416 H418 H420 H422 H424 H426">
    <cfRule type="expression" dxfId="10588" priority="2356">
      <formula>B408=""</formula>
    </cfRule>
  </conditionalFormatting>
  <conditionalFormatting sqref="H409 H411 H413 H415 H417 H419 H421 H423 H425 H427">
    <cfRule type="expression" dxfId="10587" priority="2355">
      <formula>B409=""</formula>
    </cfRule>
  </conditionalFormatting>
  <conditionalFormatting sqref="H410:H420">
    <cfRule type="expression" dxfId="10586" priority="2354">
      <formula>B410=""</formula>
    </cfRule>
  </conditionalFormatting>
  <conditionalFormatting sqref="H421">
    <cfRule type="expression" dxfId="10585" priority="2353">
      <formula>B421=""</formula>
    </cfRule>
  </conditionalFormatting>
  <conditionalFormatting sqref="H422">
    <cfRule type="expression" dxfId="10584" priority="2352">
      <formula>B422=""</formula>
    </cfRule>
  </conditionalFormatting>
  <conditionalFormatting sqref="H423">
    <cfRule type="expression" dxfId="10583" priority="2351">
      <formula>B423=""</formula>
    </cfRule>
  </conditionalFormatting>
  <conditionalFormatting sqref="H424">
    <cfRule type="expression" dxfId="10582" priority="2350">
      <formula>B424=""</formula>
    </cfRule>
  </conditionalFormatting>
  <conditionalFormatting sqref="H425">
    <cfRule type="expression" dxfId="10581" priority="2349">
      <formula>B425=""</formula>
    </cfRule>
  </conditionalFormatting>
  <conditionalFormatting sqref="H426">
    <cfRule type="expression" dxfId="10580" priority="2348">
      <formula>B426=""</formula>
    </cfRule>
  </conditionalFormatting>
  <conditionalFormatting sqref="H427">
    <cfRule type="expression" dxfId="10579" priority="2347">
      <formula>B427=""</formula>
    </cfRule>
  </conditionalFormatting>
  <conditionalFormatting sqref="H428">
    <cfRule type="expression" dxfId="10578" priority="2346">
      <formula>B428=""</formula>
    </cfRule>
  </conditionalFormatting>
  <conditionalFormatting sqref="C430:C450">
    <cfRule type="expression" dxfId="10577" priority="2345">
      <formula>B430=""</formula>
    </cfRule>
  </conditionalFormatting>
  <conditionalFormatting sqref="C431 C433 C435 C437 C439 C441 C443 C445 C447 C449">
    <cfRule type="expression" dxfId="10576" priority="2344">
      <formula>B431=""</formula>
    </cfRule>
  </conditionalFormatting>
  <conditionalFormatting sqref="C432:C442">
    <cfRule type="expression" dxfId="10575" priority="2343">
      <formula>B432=""</formula>
    </cfRule>
  </conditionalFormatting>
  <conditionalFormatting sqref="C443">
    <cfRule type="expression" dxfId="10574" priority="2342">
      <formula>B443=""</formula>
    </cfRule>
  </conditionalFormatting>
  <conditionalFormatting sqref="C444">
    <cfRule type="expression" dxfId="10573" priority="2341">
      <formula>B444=""</formula>
    </cfRule>
  </conditionalFormatting>
  <conditionalFormatting sqref="C445">
    <cfRule type="expression" dxfId="10572" priority="2340">
      <formula>B445=""</formula>
    </cfRule>
  </conditionalFormatting>
  <conditionalFormatting sqref="C446">
    <cfRule type="expression" dxfId="10571" priority="2339">
      <formula>B446=""</formula>
    </cfRule>
  </conditionalFormatting>
  <conditionalFormatting sqref="C447">
    <cfRule type="expression" dxfId="10570" priority="2338">
      <formula>B447=""</formula>
    </cfRule>
  </conditionalFormatting>
  <conditionalFormatting sqref="C448">
    <cfRule type="expression" dxfId="10569" priority="2337">
      <formula>B448=""</formula>
    </cfRule>
  </conditionalFormatting>
  <conditionalFormatting sqref="C449">
    <cfRule type="expression" dxfId="10568" priority="2336">
      <formula>B449=""</formula>
    </cfRule>
  </conditionalFormatting>
  <conditionalFormatting sqref="C450">
    <cfRule type="expression" dxfId="10567" priority="2335">
      <formula>B450=""</formula>
    </cfRule>
  </conditionalFormatting>
  <conditionalFormatting sqref="D430 D432 D434 D436 D438 D440 D442 D444 D446 D448">
    <cfRule type="expression" dxfId="10566" priority="2334">
      <formula>B430=""</formula>
    </cfRule>
  </conditionalFormatting>
  <conditionalFormatting sqref="D431 D433 D435 D437 D439 D441 D443 D445 D447 D449">
    <cfRule type="expression" dxfId="10565" priority="2333">
      <formula>B431=""</formula>
    </cfRule>
  </conditionalFormatting>
  <conditionalFormatting sqref="D432:D442">
    <cfRule type="expression" dxfId="10564" priority="2332">
      <formula>B432=""</formula>
    </cfRule>
  </conditionalFormatting>
  <conditionalFormatting sqref="D443">
    <cfRule type="expression" dxfId="10563" priority="2331">
      <formula>B443=""</formula>
    </cfRule>
  </conditionalFormatting>
  <conditionalFormatting sqref="D444">
    <cfRule type="expression" dxfId="10562" priority="2330">
      <formula>B444=""</formula>
    </cfRule>
  </conditionalFormatting>
  <conditionalFormatting sqref="D445">
    <cfRule type="expression" dxfId="10561" priority="2329">
      <formula>B445=""</formula>
    </cfRule>
  </conditionalFormatting>
  <conditionalFormatting sqref="D446">
    <cfRule type="expression" dxfId="10560" priority="2328">
      <formula>B446=""</formula>
    </cfRule>
  </conditionalFormatting>
  <conditionalFormatting sqref="D447">
    <cfRule type="expression" dxfId="10559" priority="2327">
      <formula>B447=""</formula>
    </cfRule>
  </conditionalFormatting>
  <conditionalFormatting sqref="D448">
    <cfRule type="expression" dxfId="10558" priority="2326">
      <formula>B448=""</formula>
    </cfRule>
  </conditionalFormatting>
  <conditionalFormatting sqref="D449">
    <cfRule type="expression" dxfId="10557" priority="2325">
      <formula>B449=""</formula>
    </cfRule>
  </conditionalFormatting>
  <conditionalFormatting sqref="D450">
    <cfRule type="expression" dxfId="10556" priority="2324">
      <formula>B450=""</formula>
    </cfRule>
  </conditionalFormatting>
  <conditionalFormatting sqref="E430 E432 E434 E436 E438 E440 E442 E444 E446 E448">
    <cfRule type="expression" dxfId="10555" priority="2323">
      <formula>B430=""</formula>
    </cfRule>
  </conditionalFormatting>
  <conditionalFormatting sqref="E431 E433 E435 E437 E439 E441 E443 E445 E447 E449">
    <cfRule type="expression" dxfId="10554" priority="2322">
      <formula>B431=""</formula>
    </cfRule>
  </conditionalFormatting>
  <conditionalFormatting sqref="E432:E442">
    <cfRule type="expression" dxfId="10553" priority="2321">
      <formula>B432=""</formula>
    </cfRule>
  </conditionalFormatting>
  <conditionalFormatting sqref="E443">
    <cfRule type="expression" dxfId="10552" priority="2320">
      <formula>B443=""</formula>
    </cfRule>
  </conditionalFormatting>
  <conditionalFormatting sqref="E444">
    <cfRule type="expression" dxfId="10551" priority="2319">
      <formula>B444=""</formula>
    </cfRule>
  </conditionalFormatting>
  <conditionalFormatting sqref="E445">
    <cfRule type="expression" dxfId="10550" priority="2318">
      <formula>B445=""</formula>
    </cfRule>
  </conditionalFormatting>
  <conditionalFormatting sqref="E446">
    <cfRule type="expression" dxfId="10549" priority="2317">
      <formula>B446=""</formula>
    </cfRule>
  </conditionalFormatting>
  <conditionalFormatting sqref="E447">
    <cfRule type="expression" dxfId="10548" priority="2316">
      <formula>B447=""</formula>
    </cfRule>
  </conditionalFormatting>
  <conditionalFormatting sqref="E448">
    <cfRule type="expression" dxfId="10547" priority="2315">
      <formula>B448=""</formula>
    </cfRule>
  </conditionalFormatting>
  <conditionalFormatting sqref="E449">
    <cfRule type="expression" dxfId="10546" priority="2314">
      <formula>B449=""</formula>
    </cfRule>
  </conditionalFormatting>
  <conditionalFormatting sqref="E450">
    <cfRule type="expression" dxfId="10545" priority="2313">
      <formula>B450=""</formula>
    </cfRule>
  </conditionalFormatting>
  <conditionalFormatting sqref="F430 F432 F434 F436 F438 F440 F442 F444 F446 F448">
    <cfRule type="expression" dxfId="10544" priority="2312">
      <formula>B430=""</formula>
    </cfRule>
  </conditionalFormatting>
  <conditionalFormatting sqref="F431 F433 F435 F437 F439 F441 F443 F445 F447 F449">
    <cfRule type="expression" dxfId="10543" priority="2311">
      <formula>B431=""</formula>
    </cfRule>
  </conditionalFormatting>
  <conditionalFormatting sqref="F432:F442">
    <cfRule type="expression" dxfId="10542" priority="2310">
      <formula>B432=""</formula>
    </cfRule>
  </conditionalFormatting>
  <conditionalFormatting sqref="F443">
    <cfRule type="expression" dxfId="10541" priority="2309">
      <formula>B443=""</formula>
    </cfRule>
  </conditionalFormatting>
  <conditionalFormatting sqref="F444">
    <cfRule type="expression" dxfId="10540" priority="2308">
      <formula>B444=""</formula>
    </cfRule>
  </conditionalFormatting>
  <conditionalFormatting sqref="F445">
    <cfRule type="expression" dxfId="10539" priority="2307">
      <formula>B445=""</formula>
    </cfRule>
  </conditionalFormatting>
  <conditionalFormatting sqref="F446">
    <cfRule type="expression" dxfId="10538" priority="2306">
      <formula>B446=""</formula>
    </cfRule>
  </conditionalFormatting>
  <conditionalFormatting sqref="F447">
    <cfRule type="expression" dxfId="10537" priority="2305">
      <formula>B447=""</formula>
    </cfRule>
  </conditionalFormatting>
  <conditionalFormatting sqref="F448">
    <cfRule type="expression" dxfId="10536" priority="2304">
      <formula>B448=""</formula>
    </cfRule>
  </conditionalFormatting>
  <conditionalFormatting sqref="F449">
    <cfRule type="expression" dxfId="10535" priority="2303">
      <formula>B449=""</formula>
    </cfRule>
  </conditionalFormatting>
  <conditionalFormatting sqref="F450">
    <cfRule type="expression" dxfId="10534" priority="2302">
      <formula>B450=""</formula>
    </cfRule>
  </conditionalFormatting>
  <conditionalFormatting sqref="E431 E433 E435 E437 E439 E441 E443 E445 E447 E449">
    <cfRule type="expression" dxfId="10533" priority="2301">
      <formula>B431=""</formula>
    </cfRule>
  </conditionalFormatting>
  <conditionalFormatting sqref="E432:E442">
    <cfRule type="expression" dxfId="10532" priority="2300">
      <formula>B432=""</formula>
    </cfRule>
  </conditionalFormatting>
  <conditionalFormatting sqref="E443">
    <cfRule type="expression" dxfId="10531" priority="2299">
      <formula>B443=""</formula>
    </cfRule>
  </conditionalFormatting>
  <conditionalFormatting sqref="E444">
    <cfRule type="expression" dxfId="10530" priority="2298">
      <formula>B444=""</formula>
    </cfRule>
  </conditionalFormatting>
  <conditionalFormatting sqref="E445">
    <cfRule type="expression" dxfId="10529" priority="2297">
      <formula>B445=""</formula>
    </cfRule>
  </conditionalFormatting>
  <conditionalFormatting sqref="E446">
    <cfRule type="expression" dxfId="10528" priority="2296">
      <formula>B446=""</formula>
    </cfRule>
  </conditionalFormatting>
  <conditionalFormatting sqref="E447">
    <cfRule type="expression" dxfId="10527" priority="2295">
      <formula>B447=""</formula>
    </cfRule>
  </conditionalFormatting>
  <conditionalFormatting sqref="E448">
    <cfRule type="expression" dxfId="10526" priority="2294">
      <formula>B448=""</formula>
    </cfRule>
  </conditionalFormatting>
  <conditionalFormatting sqref="E449">
    <cfRule type="expression" dxfId="10525" priority="2293">
      <formula>B449=""</formula>
    </cfRule>
  </conditionalFormatting>
  <conditionalFormatting sqref="E450">
    <cfRule type="expression" dxfId="10524" priority="2292">
      <formula>B450=""</formula>
    </cfRule>
  </conditionalFormatting>
  <conditionalFormatting sqref="G430 G432 G434 G436 G438 G440 G442 G444 G446 G448">
    <cfRule type="expression" dxfId="10523" priority="2291">
      <formula>B430=""</formula>
    </cfRule>
  </conditionalFormatting>
  <conditionalFormatting sqref="G431 G433 G435 G437 G439 G441 G443 G445 G447 G449">
    <cfRule type="expression" dxfId="10522" priority="2290">
      <formula>B431=""</formula>
    </cfRule>
  </conditionalFormatting>
  <conditionalFormatting sqref="G432:G442">
    <cfRule type="expression" dxfId="10521" priority="2289">
      <formula>B432=""</formula>
    </cfRule>
  </conditionalFormatting>
  <conditionalFormatting sqref="G443">
    <cfRule type="expression" dxfId="10520" priority="2288">
      <formula>B443=""</formula>
    </cfRule>
  </conditionalFormatting>
  <conditionalFormatting sqref="G444">
    <cfRule type="expression" dxfId="10519" priority="2287">
      <formula>B444=""</formula>
    </cfRule>
  </conditionalFormatting>
  <conditionalFormatting sqref="G445">
    <cfRule type="expression" dxfId="10518" priority="2286">
      <formula>B445=""</formula>
    </cfRule>
  </conditionalFormatting>
  <conditionalFormatting sqref="G446">
    <cfRule type="expression" dxfId="10517" priority="2285">
      <formula>B446=""</formula>
    </cfRule>
  </conditionalFormatting>
  <conditionalFormatting sqref="G447">
    <cfRule type="expression" dxfId="10516" priority="2284">
      <formula>B447=""</formula>
    </cfRule>
  </conditionalFormatting>
  <conditionalFormatting sqref="G448">
    <cfRule type="expression" dxfId="10515" priority="2283">
      <formula>B448=""</formula>
    </cfRule>
  </conditionalFormatting>
  <conditionalFormatting sqref="G449">
    <cfRule type="expression" dxfId="10514" priority="2282">
      <formula>B449=""</formula>
    </cfRule>
  </conditionalFormatting>
  <conditionalFormatting sqref="G450">
    <cfRule type="expression" dxfId="10513" priority="2281">
      <formula>B450=""</formula>
    </cfRule>
  </conditionalFormatting>
  <conditionalFormatting sqref="H430 H432 H434 H436 H438 H440 H442 H444 H446 H448">
    <cfRule type="expression" dxfId="10512" priority="2280">
      <formula>B430=""</formula>
    </cfRule>
  </conditionalFormatting>
  <conditionalFormatting sqref="H431 H433 H435 H437 H439 H441 H443 H445 H447 H449">
    <cfRule type="expression" dxfId="10511" priority="2279">
      <formula>B431=""</formula>
    </cfRule>
  </conditionalFormatting>
  <conditionalFormatting sqref="H432:H442">
    <cfRule type="expression" dxfId="10510" priority="2278">
      <formula>B432=""</formula>
    </cfRule>
  </conditionalFormatting>
  <conditionalFormatting sqref="H443">
    <cfRule type="expression" dxfId="10509" priority="2277">
      <formula>B443=""</formula>
    </cfRule>
  </conditionalFormatting>
  <conditionalFormatting sqref="H444">
    <cfRule type="expression" dxfId="10508" priority="2276">
      <formula>B444=""</formula>
    </cfRule>
  </conditionalFormatting>
  <conditionalFormatting sqref="H445">
    <cfRule type="expression" dxfId="10507" priority="2275">
      <formula>B445=""</formula>
    </cfRule>
  </conditionalFormatting>
  <conditionalFormatting sqref="H446">
    <cfRule type="expression" dxfId="10506" priority="2274">
      <formula>B446=""</formula>
    </cfRule>
  </conditionalFormatting>
  <conditionalFormatting sqref="H447">
    <cfRule type="expression" dxfId="10505" priority="2273">
      <formula>B447=""</formula>
    </cfRule>
  </conditionalFormatting>
  <conditionalFormatting sqref="H448">
    <cfRule type="expression" dxfId="10504" priority="2272">
      <formula>B448=""</formula>
    </cfRule>
  </conditionalFormatting>
  <conditionalFormatting sqref="H449">
    <cfRule type="expression" dxfId="10503" priority="2271">
      <formula>B449=""</formula>
    </cfRule>
  </conditionalFormatting>
  <conditionalFormatting sqref="H450">
    <cfRule type="expression" dxfId="10502" priority="2270">
      <formula>B450=""</formula>
    </cfRule>
  </conditionalFormatting>
  <conditionalFormatting sqref="C452:C471">
    <cfRule type="expression" dxfId="10501" priority="2269">
      <formula>B452=""</formula>
    </cfRule>
  </conditionalFormatting>
  <conditionalFormatting sqref="C453 C455 C457 C459 C461 C463 C465 C467 C469 C471">
    <cfRule type="expression" dxfId="10500" priority="2268">
      <formula>B453=""</formula>
    </cfRule>
  </conditionalFormatting>
  <conditionalFormatting sqref="C454:C464">
    <cfRule type="expression" dxfId="10499" priority="2267">
      <formula>B454=""</formula>
    </cfRule>
  </conditionalFormatting>
  <conditionalFormatting sqref="C465">
    <cfRule type="expression" dxfId="10498" priority="2266">
      <formula>B465=""</formula>
    </cfRule>
  </conditionalFormatting>
  <conditionalFormatting sqref="C466">
    <cfRule type="expression" dxfId="10497" priority="2265">
      <formula>B466=""</formula>
    </cfRule>
  </conditionalFormatting>
  <conditionalFormatting sqref="C467">
    <cfRule type="expression" dxfId="10496" priority="2264">
      <formula>B467=""</formula>
    </cfRule>
  </conditionalFormatting>
  <conditionalFormatting sqref="C468">
    <cfRule type="expression" dxfId="10495" priority="2263">
      <formula>B468=""</formula>
    </cfRule>
  </conditionalFormatting>
  <conditionalFormatting sqref="C469">
    <cfRule type="expression" dxfId="10494" priority="2262">
      <formula>B469=""</formula>
    </cfRule>
  </conditionalFormatting>
  <conditionalFormatting sqref="C470">
    <cfRule type="expression" dxfId="10493" priority="2261">
      <formula>B470=""</formula>
    </cfRule>
  </conditionalFormatting>
  <conditionalFormatting sqref="C471">
    <cfRule type="expression" dxfId="10492" priority="2260">
      <formula>B471=""</formula>
    </cfRule>
  </conditionalFormatting>
  <conditionalFormatting sqref="C472">
    <cfRule type="expression" dxfId="10491" priority="2259">
      <formula>B472=""</formula>
    </cfRule>
  </conditionalFormatting>
  <conditionalFormatting sqref="D452 D454 D456 D458 D460 D462 D464 D466 D468 D470">
    <cfRule type="expression" dxfId="10490" priority="2258">
      <formula>B452=""</formula>
    </cfRule>
  </conditionalFormatting>
  <conditionalFormatting sqref="D453 D455 D457 D459 D461 D463 D465 D467 D469 D471">
    <cfRule type="expression" dxfId="10489" priority="2257">
      <formula>B453=""</formula>
    </cfRule>
  </conditionalFormatting>
  <conditionalFormatting sqref="D454:D464">
    <cfRule type="expression" dxfId="10488" priority="2256">
      <formula>B454=""</formula>
    </cfRule>
  </conditionalFormatting>
  <conditionalFormatting sqref="D465">
    <cfRule type="expression" dxfId="10487" priority="2255">
      <formula>B465=""</formula>
    </cfRule>
  </conditionalFormatting>
  <conditionalFormatting sqref="D466">
    <cfRule type="expression" dxfId="10486" priority="2254">
      <formula>B466=""</formula>
    </cfRule>
  </conditionalFormatting>
  <conditionalFormatting sqref="D467">
    <cfRule type="expression" dxfId="10485" priority="2253">
      <formula>B467=""</formula>
    </cfRule>
  </conditionalFormatting>
  <conditionalFormatting sqref="D468">
    <cfRule type="expression" dxfId="10484" priority="2252">
      <formula>B468=""</formula>
    </cfRule>
  </conditionalFormatting>
  <conditionalFormatting sqref="D469">
    <cfRule type="expression" dxfId="10483" priority="2251">
      <formula>B469=""</formula>
    </cfRule>
  </conditionalFormatting>
  <conditionalFormatting sqref="D470">
    <cfRule type="expression" dxfId="10482" priority="2250">
      <formula>B470=""</formula>
    </cfRule>
  </conditionalFormatting>
  <conditionalFormatting sqref="D471">
    <cfRule type="expression" dxfId="10481" priority="2249">
      <formula>B471=""</formula>
    </cfRule>
  </conditionalFormatting>
  <conditionalFormatting sqref="D472">
    <cfRule type="expression" dxfId="10480" priority="2248">
      <formula>B472=""</formula>
    </cfRule>
  </conditionalFormatting>
  <conditionalFormatting sqref="E452 E454 E456 E458 E460 E462 E464 E466 E468 E470">
    <cfRule type="expression" dxfId="10479" priority="2247">
      <formula>B452=""</formula>
    </cfRule>
  </conditionalFormatting>
  <conditionalFormatting sqref="E453 E455 E457 E459 E461 E463 E465 E467 E469 E471">
    <cfRule type="expression" dxfId="10478" priority="2246">
      <formula>B453=""</formula>
    </cfRule>
  </conditionalFormatting>
  <conditionalFormatting sqref="E454:E464">
    <cfRule type="expression" dxfId="10477" priority="2245">
      <formula>B454=""</formula>
    </cfRule>
  </conditionalFormatting>
  <conditionalFormatting sqref="E465">
    <cfRule type="expression" dxfId="10476" priority="2244">
      <formula>B465=""</formula>
    </cfRule>
  </conditionalFormatting>
  <conditionalFormatting sqref="E466">
    <cfRule type="expression" dxfId="10475" priority="2243">
      <formula>B466=""</formula>
    </cfRule>
  </conditionalFormatting>
  <conditionalFormatting sqref="E467">
    <cfRule type="expression" dxfId="10474" priority="2242">
      <formula>B467=""</formula>
    </cfRule>
  </conditionalFormatting>
  <conditionalFormatting sqref="E468">
    <cfRule type="expression" dxfId="10473" priority="2241">
      <formula>B468=""</formula>
    </cfRule>
  </conditionalFormatting>
  <conditionalFormatting sqref="E469">
    <cfRule type="expression" dxfId="10472" priority="2240">
      <formula>B469=""</formula>
    </cfRule>
  </conditionalFormatting>
  <conditionalFormatting sqref="E470">
    <cfRule type="expression" dxfId="10471" priority="2239">
      <formula>B470=""</formula>
    </cfRule>
  </conditionalFormatting>
  <conditionalFormatting sqref="E471">
    <cfRule type="expression" dxfId="10470" priority="2238">
      <formula>B471=""</formula>
    </cfRule>
  </conditionalFormatting>
  <conditionalFormatting sqref="E472">
    <cfRule type="expression" dxfId="10469" priority="2237">
      <formula>B472=""</formula>
    </cfRule>
  </conditionalFormatting>
  <conditionalFormatting sqref="F452 F454 F456 F458 F460 F462 F464 F466 F468 F470">
    <cfRule type="expression" dxfId="10468" priority="2236">
      <formula>B452=""</formula>
    </cfRule>
  </conditionalFormatting>
  <conditionalFormatting sqref="F453 F455 F457 F459 F461 F463 F465 F467 F469 F471">
    <cfRule type="expression" dxfId="10467" priority="2235">
      <formula>B453=""</formula>
    </cfRule>
  </conditionalFormatting>
  <conditionalFormatting sqref="F454:F464">
    <cfRule type="expression" dxfId="10466" priority="2234">
      <formula>B454=""</formula>
    </cfRule>
  </conditionalFormatting>
  <conditionalFormatting sqref="F465">
    <cfRule type="expression" dxfId="10465" priority="2233">
      <formula>B465=""</formula>
    </cfRule>
  </conditionalFormatting>
  <conditionalFormatting sqref="F466">
    <cfRule type="expression" dxfId="10464" priority="2232">
      <formula>B466=""</formula>
    </cfRule>
  </conditionalFormatting>
  <conditionalFormatting sqref="F467">
    <cfRule type="expression" dxfId="10463" priority="2231">
      <formula>B467=""</formula>
    </cfRule>
  </conditionalFormatting>
  <conditionalFormatting sqref="F468">
    <cfRule type="expression" dxfId="10462" priority="2230">
      <formula>B468=""</formula>
    </cfRule>
  </conditionalFormatting>
  <conditionalFormatting sqref="F469">
    <cfRule type="expression" dxfId="10461" priority="2229">
      <formula>B469=""</formula>
    </cfRule>
  </conditionalFormatting>
  <conditionalFormatting sqref="F470">
    <cfRule type="expression" dxfId="10460" priority="2228">
      <formula>B470=""</formula>
    </cfRule>
  </conditionalFormatting>
  <conditionalFormatting sqref="F471">
    <cfRule type="expression" dxfId="10459" priority="2227">
      <formula>B471=""</formula>
    </cfRule>
  </conditionalFormatting>
  <conditionalFormatting sqref="F472">
    <cfRule type="expression" dxfId="10458" priority="2226">
      <formula>B472=""</formula>
    </cfRule>
  </conditionalFormatting>
  <conditionalFormatting sqref="E453 E455 E457 E459 E461 E463 E465 E467 E469 E471">
    <cfRule type="expression" dxfId="10457" priority="2225">
      <formula>B453=""</formula>
    </cfRule>
  </conditionalFormatting>
  <conditionalFormatting sqref="E454:E464">
    <cfRule type="expression" dxfId="10456" priority="2224">
      <formula>B454=""</formula>
    </cfRule>
  </conditionalFormatting>
  <conditionalFormatting sqref="E465">
    <cfRule type="expression" dxfId="10455" priority="2223">
      <formula>B465=""</formula>
    </cfRule>
  </conditionalFormatting>
  <conditionalFormatting sqref="E466">
    <cfRule type="expression" dxfId="10454" priority="2222">
      <formula>B466=""</formula>
    </cfRule>
  </conditionalFormatting>
  <conditionalFormatting sqref="E467">
    <cfRule type="expression" dxfId="10453" priority="2221">
      <formula>B467=""</formula>
    </cfRule>
  </conditionalFormatting>
  <conditionalFormatting sqref="E468">
    <cfRule type="expression" dxfId="10452" priority="2220">
      <formula>B468=""</formula>
    </cfRule>
  </conditionalFormatting>
  <conditionalFormatting sqref="E469">
    <cfRule type="expression" dxfId="10451" priority="2219">
      <formula>B469=""</formula>
    </cfRule>
  </conditionalFormatting>
  <conditionalFormatting sqref="E470">
    <cfRule type="expression" dxfId="10450" priority="2218">
      <formula>B470=""</formula>
    </cfRule>
  </conditionalFormatting>
  <conditionalFormatting sqref="E471">
    <cfRule type="expression" dxfId="10449" priority="2217">
      <formula>B471=""</formula>
    </cfRule>
  </conditionalFormatting>
  <conditionalFormatting sqref="E472">
    <cfRule type="expression" dxfId="10448" priority="2216">
      <formula>B472=""</formula>
    </cfRule>
  </conditionalFormatting>
  <conditionalFormatting sqref="G452 G454 G456 G458 G460 G462 G464 G466 G468 G470">
    <cfRule type="expression" dxfId="10447" priority="2215">
      <formula>B452=""</formula>
    </cfRule>
  </conditionalFormatting>
  <conditionalFormatting sqref="G453 G455 G457 G459 G461 G463 G465 G467 G469 G471">
    <cfRule type="expression" dxfId="10446" priority="2214">
      <formula>B453=""</formula>
    </cfRule>
  </conditionalFormatting>
  <conditionalFormatting sqref="G454:G464">
    <cfRule type="expression" dxfId="10445" priority="2213">
      <formula>B454=""</formula>
    </cfRule>
  </conditionalFormatting>
  <conditionalFormatting sqref="G465">
    <cfRule type="expression" dxfId="10444" priority="2212">
      <formula>B465=""</formula>
    </cfRule>
  </conditionalFormatting>
  <conditionalFormatting sqref="G466">
    <cfRule type="expression" dxfId="10443" priority="2211">
      <formula>B466=""</formula>
    </cfRule>
  </conditionalFormatting>
  <conditionalFormatting sqref="G467">
    <cfRule type="expression" dxfId="10442" priority="2210">
      <formula>B467=""</formula>
    </cfRule>
  </conditionalFormatting>
  <conditionalFormatting sqref="G468">
    <cfRule type="expression" dxfId="10441" priority="2209">
      <formula>B468=""</formula>
    </cfRule>
  </conditionalFormatting>
  <conditionalFormatting sqref="G469">
    <cfRule type="expression" dxfId="10440" priority="2208">
      <formula>B469=""</formula>
    </cfRule>
  </conditionalFormatting>
  <conditionalFormatting sqref="G470">
    <cfRule type="expression" dxfId="10439" priority="2207">
      <formula>B470=""</formula>
    </cfRule>
  </conditionalFormatting>
  <conditionalFormatting sqref="G471">
    <cfRule type="expression" dxfId="10438" priority="2206">
      <formula>B471=""</formula>
    </cfRule>
  </conditionalFormatting>
  <conditionalFormatting sqref="G472">
    <cfRule type="expression" dxfId="10437" priority="2205">
      <formula>B472=""</formula>
    </cfRule>
  </conditionalFormatting>
  <conditionalFormatting sqref="H452 H454 H456 H458 H460 H462 H464 H466 H468 H470">
    <cfRule type="expression" dxfId="10436" priority="2204">
      <formula>B452=""</formula>
    </cfRule>
  </conditionalFormatting>
  <conditionalFormatting sqref="H453 H455 H457 H459 H461 H463 H465 H467 H469 H471">
    <cfRule type="expression" dxfId="10435" priority="2203">
      <formula>B453=""</formula>
    </cfRule>
  </conditionalFormatting>
  <conditionalFormatting sqref="H454:H464">
    <cfRule type="expression" dxfId="10434" priority="2202">
      <formula>B454=""</formula>
    </cfRule>
  </conditionalFormatting>
  <conditionalFormatting sqref="H465">
    <cfRule type="expression" dxfId="10433" priority="2201">
      <formula>B465=""</formula>
    </cfRule>
  </conditionalFormatting>
  <conditionalFormatting sqref="H466">
    <cfRule type="expression" dxfId="10432" priority="2200">
      <formula>B466=""</formula>
    </cfRule>
  </conditionalFormatting>
  <conditionalFormatting sqref="H467">
    <cfRule type="expression" dxfId="10431" priority="2199">
      <formula>B467=""</formula>
    </cfRule>
  </conditionalFormatting>
  <conditionalFormatting sqref="H468">
    <cfRule type="expression" dxfId="10430" priority="2198">
      <formula>B468=""</formula>
    </cfRule>
  </conditionalFormatting>
  <conditionalFormatting sqref="H469">
    <cfRule type="expression" dxfId="10429" priority="2197">
      <formula>B469=""</formula>
    </cfRule>
  </conditionalFormatting>
  <conditionalFormatting sqref="H470">
    <cfRule type="expression" dxfId="10428" priority="2196">
      <formula>B470=""</formula>
    </cfRule>
  </conditionalFormatting>
  <conditionalFormatting sqref="H471">
    <cfRule type="expression" dxfId="10427" priority="2195">
      <formula>B471=""</formula>
    </cfRule>
  </conditionalFormatting>
  <conditionalFormatting sqref="H472">
    <cfRule type="expression" dxfId="10426" priority="2194">
      <formula>B472=""</formula>
    </cfRule>
  </conditionalFormatting>
  <conditionalFormatting sqref="C474:C494">
    <cfRule type="expression" dxfId="10425" priority="2193">
      <formula>B474=""</formula>
    </cfRule>
  </conditionalFormatting>
  <conditionalFormatting sqref="C475 C477 C479 C481 C483 C485 C487 C489 C491 C493">
    <cfRule type="expression" dxfId="10424" priority="2192">
      <formula>B475=""</formula>
    </cfRule>
  </conditionalFormatting>
  <conditionalFormatting sqref="C476:C486">
    <cfRule type="expression" dxfId="10423" priority="2191">
      <formula>B476=""</formula>
    </cfRule>
  </conditionalFormatting>
  <conditionalFormatting sqref="C487">
    <cfRule type="expression" dxfId="10422" priority="2190">
      <formula>B487=""</formula>
    </cfRule>
  </conditionalFormatting>
  <conditionalFormatting sqref="C488">
    <cfRule type="expression" dxfId="10421" priority="2189">
      <formula>B488=""</formula>
    </cfRule>
  </conditionalFormatting>
  <conditionalFormatting sqref="C489">
    <cfRule type="expression" dxfId="10420" priority="2188">
      <formula>B489=""</formula>
    </cfRule>
  </conditionalFormatting>
  <conditionalFormatting sqref="C490">
    <cfRule type="expression" dxfId="10419" priority="2187">
      <formula>B490=""</formula>
    </cfRule>
  </conditionalFormatting>
  <conditionalFormatting sqref="C491">
    <cfRule type="expression" dxfId="10418" priority="2186">
      <formula>B491=""</formula>
    </cfRule>
  </conditionalFormatting>
  <conditionalFormatting sqref="C492">
    <cfRule type="expression" dxfId="10417" priority="2185">
      <formula>B492=""</formula>
    </cfRule>
  </conditionalFormatting>
  <conditionalFormatting sqref="C493">
    <cfRule type="expression" dxfId="10416" priority="2184">
      <formula>B493=""</formula>
    </cfRule>
  </conditionalFormatting>
  <conditionalFormatting sqref="C494">
    <cfRule type="expression" dxfId="10415" priority="2183">
      <formula>B494=""</formula>
    </cfRule>
  </conditionalFormatting>
  <conditionalFormatting sqref="D474 D476 D478 D480 D482 D484 D486 D488 D490 D492">
    <cfRule type="expression" dxfId="10414" priority="2182">
      <formula>B474=""</formula>
    </cfRule>
  </conditionalFormatting>
  <conditionalFormatting sqref="D475 D477 D479 D481 D483 D485 D487 D489 D491 D493">
    <cfRule type="expression" dxfId="10413" priority="2181">
      <formula>B475=""</formula>
    </cfRule>
  </conditionalFormatting>
  <conditionalFormatting sqref="D476:D486">
    <cfRule type="expression" dxfId="10412" priority="2180">
      <formula>B476=""</formula>
    </cfRule>
  </conditionalFormatting>
  <conditionalFormatting sqref="D487">
    <cfRule type="expression" dxfId="10411" priority="2179">
      <formula>B487=""</formula>
    </cfRule>
  </conditionalFormatting>
  <conditionalFormatting sqref="D488">
    <cfRule type="expression" dxfId="10410" priority="2178">
      <formula>B488=""</formula>
    </cfRule>
  </conditionalFormatting>
  <conditionalFormatting sqref="D489">
    <cfRule type="expression" dxfId="10409" priority="2177">
      <formula>B489=""</formula>
    </cfRule>
  </conditionalFormatting>
  <conditionalFormatting sqref="D490">
    <cfRule type="expression" dxfId="10408" priority="2176">
      <formula>B490=""</formula>
    </cfRule>
  </conditionalFormatting>
  <conditionalFormatting sqref="D491">
    <cfRule type="expression" dxfId="10407" priority="2175">
      <formula>B491=""</formula>
    </cfRule>
  </conditionalFormatting>
  <conditionalFormatting sqref="D492">
    <cfRule type="expression" dxfId="10406" priority="2174">
      <formula>B492=""</formula>
    </cfRule>
  </conditionalFormatting>
  <conditionalFormatting sqref="D493">
    <cfRule type="expression" dxfId="10405" priority="2173">
      <formula>B493=""</formula>
    </cfRule>
  </conditionalFormatting>
  <conditionalFormatting sqref="D494">
    <cfRule type="expression" dxfId="10404" priority="2172">
      <formula>B494=""</formula>
    </cfRule>
  </conditionalFormatting>
  <conditionalFormatting sqref="E474 E476 E478 E480 E482 E484 E486 E488 E490 E492">
    <cfRule type="expression" dxfId="10403" priority="2171">
      <formula>B474=""</formula>
    </cfRule>
  </conditionalFormatting>
  <conditionalFormatting sqref="E475 E477 E479 E481 E483 E485 E487 E489 E491 E493">
    <cfRule type="expression" dxfId="10402" priority="2170">
      <formula>B475=""</formula>
    </cfRule>
  </conditionalFormatting>
  <conditionalFormatting sqref="E476:E486">
    <cfRule type="expression" dxfId="10401" priority="2169">
      <formula>B476=""</formula>
    </cfRule>
  </conditionalFormatting>
  <conditionalFormatting sqref="E487">
    <cfRule type="expression" dxfId="10400" priority="2168">
      <formula>B487=""</formula>
    </cfRule>
  </conditionalFormatting>
  <conditionalFormatting sqref="E488">
    <cfRule type="expression" dxfId="10399" priority="2167">
      <formula>B488=""</formula>
    </cfRule>
  </conditionalFormatting>
  <conditionalFormatting sqref="E489">
    <cfRule type="expression" dxfId="10398" priority="2166">
      <formula>B489=""</formula>
    </cfRule>
  </conditionalFormatting>
  <conditionalFormatting sqref="E490">
    <cfRule type="expression" dxfId="10397" priority="2165">
      <formula>B490=""</formula>
    </cfRule>
  </conditionalFormatting>
  <conditionalFormatting sqref="E491">
    <cfRule type="expression" dxfId="10396" priority="2164">
      <formula>B491=""</formula>
    </cfRule>
  </conditionalFormatting>
  <conditionalFormatting sqref="E492">
    <cfRule type="expression" dxfId="10395" priority="2163">
      <formula>B492=""</formula>
    </cfRule>
  </conditionalFormatting>
  <conditionalFormatting sqref="E493">
    <cfRule type="expression" dxfId="10394" priority="2162">
      <formula>B493=""</formula>
    </cfRule>
  </conditionalFormatting>
  <conditionalFormatting sqref="E494">
    <cfRule type="expression" dxfId="10393" priority="2161">
      <formula>B494=""</formula>
    </cfRule>
  </conditionalFormatting>
  <conditionalFormatting sqref="F474 F476 F478 F480 F482 F484 F486 F488 F490 F492">
    <cfRule type="expression" dxfId="10392" priority="2160">
      <formula>B474=""</formula>
    </cfRule>
  </conditionalFormatting>
  <conditionalFormatting sqref="F475 F477 F479 F481 F483 F485 F487 F489 F491 F493">
    <cfRule type="expression" dxfId="10391" priority="2159">
      <formula>B475=""</formula>
    </cfRule>
  </conditionalFormatting>
  <conditionalFormatting sqref="F476:F486">
    <cfRule type="expression" dxfId="10390" priority="2158">
      <formula>B476=""</formula>
    </cfRule>
  </conditionalFormatting>
  <conditionalFormatting sqref="F487">
    <cfRule type="expression" dxfId="10389" priority="2157">
      <formula>B487=""</formula>
    </cfRule>
  </conditionalFormatting>
  <conditionalFormatting sqref="F488">
    <cfRule type="expression" dxfId="10388" priority="2156">
      <formula>B488=""</formula>
    </cfRule>
  </conditionalFormatting>
  <conditionalFormatting sqref="F489">
    <cfRule type="expression" dxfId="10387" priority="2155">
      <formula>B489=""</formula>
    </cfRule>
  </conditionalFormatting>
  <conditionalFormatting sqref="F490">
    <cfRule type="expression" dxfId="10386" priority="2154">
      <formula>B490=""</formula>
    </cfRule>
  </conditionalFormatting>
  <conditionalFormatting sqref="F491">
    <cfRule type="expression" dxfId="10385" priority="2153">
      <formula>B491=""</formula>
    </cfRule>
  </conditionalFormatting>
  <conditionalFormatting sqref="F492">
    <cfRule type="expression" dxfId="10384" priority="2152">
      <formula>B492=""</formula>
    </cfRule>
  </conditionalFormatting>
  <conditionalFormatting sqref="F493">
    <cfRule type="expression" dxfId="10383" priority="2151">
      <formula>B493=""</formula>
    </cfRule>
  </conditionalFormatting>
  <conditionalFormatting sqref="F494">
    <cfRule type="expression" dxfId="10382" priority="2150">
      <formula>B494=""</formula>
    </cfRule>
  </conditionalFormatting>
  <conditionalFormatting sqref="E475 E477 E479 E481 E483 E485 E487 E489 E491 E493">
    <cfRule type="expression" dxfId="10381" priority="2149">
      <formula>B475=""</formula>
    </cfRule>
  </conditionalFormatting>
  <conditionalFormatting sqref="E476:E486">
    <cfRule type="expression" dxfId="10380" priority="2148">
      <formula>B476=""</formula>
    </cfRule>
  </conditionalFormatting>
  <conditionalFormatting sqref="E487">
    <cfRule type="expression" dxfId="10379" priority="2147">
      <formula>B487=""</formula>
    </cfRule>
  </conditionalFormatting>
  <conditionalFormatting sqref="E488">
    <cfRule type="expression" dxfId="10378" priority="2146">
      <formula>B488=""</formula>
    </cfRule>
  </conditionalFormatting>
  <conditionalFormatting sqref="E489">
    <cfRule type="expression" dxfId="10377" priority="2145">
      <formula>B489=""</formula>
    </cfRule>
  </conditionalFormatting>
  <conditionalFormatting sqref="E490">
    <cfRule type="expression" dxfId="10376" priority="2144">
      <formula>B490=""</formula>
    </cfRule>
  </conditionalFormatting>
  <conditionalFormatting sqref="E491">
    <cfRule type="expression" dxfId="10375" priority="2143">
      <formula>B491=""</formula>
    </cfRule>
  </conditionalFormatting>
  <conditionalFormatting sqref="E492">
    <cfRule type="expression" dxfId="10374" priority="2142">
      <formula>B492=""</formula>
    </cfRule>
  </conditionalFormatting>
  <conditionalFormatting sqref="E493">
    <cfRule type="expression" dxfId="10373" priority="2141">
      <formula>B493=""</formula>
    </cfRule>
  </conditionalFormatting>
  <conditionalFormatting sqref="E494">
    <cfRule type="expression" dxfId="10372" priority="2140">
      <formula>B494=""</formula>
    </cfRule>
  </conditionalFormatting>
  <conditionalFormatting sqref="G474 G476 G478 G480 G482 G484 G486 G488 G490 G492">
    <cfRule type="expression" dxfId="10371" priority="2139">
      <formula>B474=""</formula>
    </cfRule>
  </conditionalFormatting>
  <conditionalFormatting sqref="G475 G477 G479 G481 G483 G485 G487 G489 G491 G493">
    <cfRule type="expression" dxfId="10370" priority="2138">
      <formula>B475=""</formula>
    </cfRule>
  </conditionalFormatting>
  <conditionalFormatting sqref="G476:G486">
    <cfRule type="expression" dxfId="10369" priority="2137">
      <formula>B476=""</formula>
    </cfRule>
  </conditionalFormatting>
  <conditionalFormatting sqref="G487">
    <cfRule type="expression" dxfId="10368" priority="2136">
      <formula>B487=""</formula>
    </cfRule>
  </conditionalFormatting>
  <conditionalFormatting sqref="G488">
    <cfRule type="expression" dxfId="10367" priority="2135">
      <formula>B488=""</formula>
    </cfRule>
  </conditionalFormatting>
  <conditionalFormatting sqref="G489">
    <cfRule type="expression" dxfId="10366" priority="2134">
      <formula>B489=""</formula>
    </cfRule>
  </conditionalFormatting>
  <conditionalFormatting sqref="G490">
    <cfRule type="expression" dxfId="10365" priority="2133">
      <formula>B490=""</formula>
    </cfRule>
  </conditionalFormatting>
  <conditionalFormatting sqref="G491">
    <cfRule type="expression" dxfId="10364" priority="2132">
      <formula>B491=""</formula>
    </cfRule>
  </conditionalFormatting>
  <conditionalFormatting sqref="G492">
    <cfRule type="expression" dxfId="10363" priority="2131">
      <formula>B492=""</formula>
    </cfRule>
  </conditionalFormatting>
  <conditionalFormatting sqref="G493">
    <cfRule type="expression" dxfId="10362" priority="2130">
      <formula>B493=""</formula>
    </cfRule>
  </conditionalFormatting>
  <conditionalFormatting sqref="G494">
    <cfRule type="expression" dxfId="10361" priority="2129">
      <formula>B494=""</formula>
    </cfRule>
  </conditionalFormatting>
  <conditionalFormatting sqref="H474 H476 H478 H480 H482 H484 H486 H488 H490 H492">
    <cfRule type="expression" dxfId="10360" priority="2128">
      <formula>B474=""</formula>
    </cfRule>
  </conditionalFormatting>
  <conditionalFormatting sqref="H475 H477 H479 H481 H483 H485 H487 H489 H491 H493">
    <cfRule type="expression" dxfId="10359" priority="2127">
      <formula>B475=""</formula>
    </cfRule>
  </conditionalFormatting>
  <conditionalFormatting sqref="H476:H486">
    <cfRule type="expression" dxfId="10358" priority="2126">
      <formula>B476=""</formula>
    </cfRule>
  </conditionalFormatting>
  <conditionalFormatting sqref="H487">
    <cfRule type="expression" dxfId="10357" priority="2125">
      <formula>B487=""</formula>
    </cfRule>
  </conditionalFormatting>
  <conditionalFormatting sqref="H488">
    <cfRule type="expression" dxfId="10356" priority="2124">
      <formula>B488=""</formula>
    </cfRule>
  </conditionalFormatting>
  <conditionalFormatting sqref="H489">
    <cfRule type="expression" dxfId="10355" priority="2123">
      <formula>B489=""</formula>
    </cfRule>
  </conditionalFormatting>
  <conditionalFormatting sqref="H490">
    <cfRule type="expression" dxfId="10354" priority="2122">
      <formula>B490=""</formula>
    </cfRule>
  </conditionalFormatting>
  <conditionalFormatting sqref="H491">
    <cfRule type="expression" dxfId="10353" priority="2121">
      <formula>B491=""</formula>
    </cfRule>
  </conditionalFormatting>
  <conditionalFormatting sqref="H492">
    <cfRule type="expression" dxfId="10352" priority="2120">
      <formula>B492=""</formula>
    </cfRule>
  </conditionalFormatting>
  <conditionalFormatting sqref="H493">
    <cfRule type="expression" dxfId="10351" priority="2119">
      <formula>B493=""</formula>
    </cfRule>
  </conditionalFormatting>
  <conditionalFormatting sqref="H494">
    <cfRule type="expression" dxfId="10350" priority="2118">
      <formula>B494=""</formula>
    </cfRule>
  </conditionalFormatting>
  <conditionalFormatting sqref="C449">
    <cfRule type="expression" dxfId="10349" priority="2117">
      <formula>B449=""</formula>
    </cfRule>
  </conditionalFormatting>
  <conditionalFormatting sqref="C471">
    <cfRule type="expression" dxfId="10348" priority="2116">
      <formula>B471=""</formula>
    </cfRule>
  </conditionalFormatting>
  <conditionalFormatting sqref="C493">
    <cfRule type="expression" dxfId="10347" priority="2115">
      <formula>B493=""</formula>
    </cfRule>
  </conditionalFormatting>
  <conditionalFormatting sqref="C408:C428">
    <cfRule type="expression" dxfId="10346" priority="2114">
      <formula>B408=""</formula>
    </cfRule>
  </conditionalFormatting>
  <conditionalFormatting sqref="C409 C411 C413 C415 C417 C419 C421 C423 C425 C427">
    <cfRule type="expression" dxfId="10345" priority="2113">
      <formula>B409=""</formula>
    </cfRule>
  </conditionalFormatting>
  <conditionalFormatting sqref="C410:C420">
    <cfRule type="expression" dxfId="10344" priority="2112">
      <formula>B410=""</formula>
    </cfRule>
  </conditionalFormatting>
  <conditionalFormatting sqref="C421">
    <cfRule type="expression" dxfId="10343" priority="2111">
      <formula>B421=""</formula>
    </cfRule>
  </conditionalFormatting>
  <conditionalFormatting sqref="C422">
    <cfRule type="expression" dxfId="10342" priority="2110">
      <formula>B422=""</formula>
    </cfRule>
  </conditionalFormatting>
  <conditionalFormatting sqref="C423">
    <cfRule type="expression" dxfId="10341" priority="2109">
      <formula>B423=""</formula>
    </cfRule>
  </conditionalFormatting>
  <conditionalFormatting sqref="C424">
    <cfRule type="expression" dxfId="10340" priority="2108">
      <formula>B424=""</formula>
    </cfRule>
  </conditionalFormatting>
  <conditionalFormatting sqref="C425">
    <cfRule type="expression" dxfId="10339" priority="2107">
      <formula>B425=""</formula>
    </cfRule>
  </conditionalFormatting>
  <conditionalFormatting sqref="C426">
    <cfRule type="expression" dxfId="10338" priority="2106">
      <formula>B426=""</formula>
    </cfRule>
  </conditionalFormatting>
  <conditionalFormatting sqref="C427">
    <cfRule type="expression" dxfId="10337" priority="2105">
      <formula>B427=""</formula>
    </cfRule>
  </conditionalFormatting>
  <conditionalFormatting sqref="C428">
    <cfRule type="expression" dxfId="10336" priority="2104">
      <formula>B428=""</formula>
    </cfRule>
  </conditionalFormatting>
  <conditionalFormatting sqref="C430:C450">
    <cfRule type="expression" dxfId="10335" priority="2103">
      <formula>B430=""</formula>
    </cfRule>
  </conditionalFormatting>
  <conditionalFormatting sqref="C431 C433 C435 C437 C439 C441 C443 C445 C447 C449">
    <cfRule type="expression" dxfId="10334" priority="2102">
      <formula>B431=""</formula>
    </cfRule>
  </conditionalFormatting>
  <conditionalFormatting sqref="C432:C442">
    <cfRule type="expression" dxfId="10333" priority="2101">
      <formula>B432=""</formula>
    </cfRule>
  </conditionalFormatting>
  <conditionalFormatting sqref="C443">
    <cfRule type="expression" dxfId="10332" priority="2100">
      <formula>B443=""</formula>
    </cfRule>
  </conditionalFormatting>
  <conditionalFormatting sqref="C444">
    <cfRule type="expression" dxfId="10331" priority="2099">
      <formula>B444=""</formula>
    </cfRule>
  </conditionalFormatting>
  <conditionalFormatting sqref="C445">
    <cfRule type="expression" dxfId="10330" priority="2098">
      <formula>B445=""</formula>
    </cfRule>
  </conditionalFormatting>
  <conditionalFormatting sqref="C446">
    <cfRule type="expression" dxfId="10329" priority="2097">
      <formula>B446=""</formula>
    </cfRule>
  </conditionalFormatting>
  <conditionalFormatting sqref="C447">
    <cfRule type="expression" dxfId="10328" priority="2096">
      <formula>B447=""</formula>
    </cfRule>
  </conditionalFormatting>
  <conditionalFormatting sqref="C448">
    <cfRule type="expression" dxfId="10327" priority="2095">
      <formula>B448=""</formula>
    </cfRule>
  </conditionalFormatting>
  <conditionalFormatting sqref="C449">
    <cfRule type="expression" dxfId="10326" priority="2094">
      <formula>B449=""</formula>
    </cfRule>
  </conditionalFormatting>
  <conditionalFormatting sqref="C450">
    <cfRule type="expression" dxfId="10325" priority="2093">
      <formula>B450=""</formula>
    </cfRule>
  </conditionalFormatting>
  <conditionalFormatting sqref="C452:C471">
    <cfRule type="expression" dxfId="10324" priority="2092">
      <formula>B452=""</formula>
    </cfRule>
  </conditionalFormatting>
  <conditionalFormatting sqref="C453 C455 C457 C459 C461 C463 C465 C467 C469 C471">
    <cfRule type="expression" dxfId="10323" priority="2091">
      <formula>B453=""</formula>
    </cfRule>
  </conditionalFormatting>
  <conditionalFormatting sqref="C454:C464">
    <cfRule type="expression" dxfId="10322" priority="2090">
      <formula>B454=""</formula>
    </cfRule>
  </conditionalFormatting>
  <conditionalFormatting sqref="C465">
    <cfRule type="expression" dxfId="10321" priority="2089">
      <formula>B465=""</formula>
    </cfRule>
  </conditionalFormatting>
  <conditionalFormatting sqref="C466">
    <cfRule type="expression" dxfId="10320" priority="2088">
      <formula>B466=""</formula>
    </cfRule>
  </conditionalFormatting>
  <conditionalFormatting sqref="C467">
    <cfRule type="expression" dxfId="10319" priority="2087">
      <formula>B467=""</formula>
    </cfRule>
  </conditionalFormatting>
  <conditionalFormatting sqref="C468">
    <cfRule type="expression" dxfId="10318" priority="2086">
      <formula>B468=""</formula>
    </cfRule>
  </conditionalFormatting>
  <conditionalFormatting sqref="C469">
    <cfRule type="expression" dxfId="10317" priority="2085">
      <formula>B469=""</formula>
    </cfRule>
  </conditionalFormatting>
  <conditionalFormatting sqref="C470">
    <cfRule type="expression" dxfId="10316" priority="2084">
      <formula>B470=""</formula>
    </cfRule>
  </conditionalFormatting>
  <conditionalFormatting sqref="C471">
    <cfRule type="expression" dxfId="10315" priority="2083">
      <formula>B471=""</formula>
    </cfRule>
  </conditionalFormatting>
  <conditionalFormatting sqref="C472">
    <cfRule type="expression" dxfId="10314" priority="2082">
      <formula>B472=""</formula>
    </cfRule>
  </conditionalFormatting>
  <conditionalFormatting sqref="C474:C494">
    <cfRule type="expression" dxfId="10313" priority="2081">
      <formula>B474=""</formula>
    </cfRule>
  </conditionalFormatting>
  <conditionalFormatting sqref="C475 C477 C479 C481 C483 C485 C487 C489 C491 C493">
    <cfRule type="expression" dxfId="10312" priority="2080">
      <formula>B475=""</formula>
    </cfRule>
  </conditionalFormatting>
  <conditionalFormatting sqref="C476:C486">
    <cfRule type="expression" dxfId="10311" priority="2079">
      <formula>B476=""</formula>
    </cfRule>
  </conditionalFormatting>
  <conditionalFormatting sqref="C487">
    <cfRule type="expression" dxfId="10310" priority="2078">
      <formula>B487=""</formula>
    </cfRule>
  </conditionalFormatting>
  <conditionalFormatting sqref="C488">
    <cfRule type="expression" dxfId="10309" priority="2077">
      <formula>B488=""</formula>
    </cfRule>
  </conditionalFormatting>
  <conditionalFormatting sqref="C489">
    <cfRule type="expression" dxfId="10308" priority="2076">
      <formula>B489=""</formula>
    </cfRule>
  </conditionalFormatting>
  <conditionalFormatting sqref="C490">
    <cfRule type="expression" dxfId="10307" priority="2075">
      <formula>B490=""</formula>
    </cfRule>
  </conditionalFormatting>
  <conditionalFormatting sqref="C491">
    <cfRule type="expression" dxfId="10306" priority="2074">
      <formula>B491=""</formula>
    </cfRule>
  </conditionalFormatting>
  <conditionalFormatting sqref="C492">
    <cfRule type="expression" dxfId="10305" priority="2073">
      <formula>B492=""</formula>
    </cfRule>
  </conditionalFormatting>
  <conditionalFormatting sqref="C493">
    <cfRule type="expression" dxfId="10304" priority="2072">
      <formula>B493=""</formula>
    </cfRule>
  </conditionalFormatting>
  <conditionalFormatting sqref="C494">
    <cfRule type="expression" dxfId="10303" priority="2071">
      <formula>B494=""</formula>
    </cfRule>
  </conditionalFormatting>
  <conditionalFormatting sqref="C408:C428">
    <cfRule type="expression" dxfId="10302" priority="2070">
      <formula>B408=""</formula>
    </cfRule>
  </conditionalFormatting>
  <conditionalFormatting sqref="C409 C411 C413 C415 C417 C419 C421 C423 C425 C427">
    <cfRule type="expression" dxfId="10301" priority="2069">
      <formula>B409=""</formula>
    </cfRule>
  </conditionalFormatting>
  <conditionalFormatting sqref="C410:C420">
    <cfRule type="expression" dxfId="10300" priority="2068">
      <formula>B410=""</formula>
    </cfRule>
  </conditionalFormatting>
  <conditionalFormatting sqref="C421">
    <cfRule type="expression" dxfId="10299" priority="2067">
      <formula>B421=""</formula>
    </cfRule>
  </conditionalFormatting>
  <conditionalFormatting sqref="C422">
    <cfRule type="expression" dxfId="10298" priority="2066">
      <formula>B422=""</formula>
    </cfRule>
  </conditionalFormatting>
  <conditionalFormatting sqref="C423">
    <cfRule type="expression" dxfId="10297" priority="2065">
      <formula>B423=""</formula>
    </cfRule>
  </conditionalFormatting>
  <conditionalFormatting sqref="C424">
    <cfRule type="expression" dxfId="10296" priority="2064">
      <formula>B424=""</formula>
    </cfRule>
  </conditionalFormatting>
  <conditionalFormatting sqref="C425">
    <cfRule type="expression" dxfId="10295" priority="2063">
      <formula>B425=""</formula>
    </cfRule>
  </conditionalFormatting>
  <conditionalFormatting sqref="C426">
    <cfRule type="expression" dxfId="10294" priority="2062">
      <formula>B426=""</formula>
    </cfRule>
  </conditionalFormatting>
  <conditionalFormatting sqref="C427">
    <cfRule type="expression" dxfId="10293" priority="2061">
      <formula>B427=""</formula>
    </cfRule>
  </conditionalFormatting>
  <conditionalFormatting sqref="D408 D410 D412 D414 D416 D418 D420 D422 D424 D426">
    <cfRule type="expression" dxfId="10292" priority="2060">
      <formula>B408=""</formula>
    </cfRule>
  </conditionalFormatting>
  <conditionalFormatting sqref="D409 D411 D413 D415 D417 D419 D421 D423 D425 D427">
    <cfRule type="expression" dxfId="10291" priority="2059">
      <formula>B409=""</formula>
    </cfRule>
  </conditionalFormatting>
  <conditionalFormatting sqref="D410:D420">
    <cfRule type="expression" dxfId="10290" priority="2058">
      <formula>B410=""</formula>
    </cfRule>
  </conditionalFormatting>
  <conditionalFormatting sqref="D421">
    <cfRule type="expression" dxfId="10289" priority="2057">
      <formula>B421=""</formula>
    </cfRule>
  </conditionalFormatting>
  <conditionalFormatting sqref="D422">
    <cfRule type="expression" dxfId="10288" priority="2056">
      <formula>B422=""</formula>
    </cfRule>
  </conditionalFormatting>
  <conditionalFormatting sqref="D423">
    <cfRule type="expression" dxfId="10287" priority="2055">
      <formula>B423=""</formula>
    </cfRule>
  </conditionalFormatting>
  <conditionalFormatting sqref="D424">
    <cfRule type="expression" dxfId="10286" priority="2054">
      <formula>B424=""</formula>
    </cfRule>
  </conditionalFormatting>
  <conditionalFormatting sqref="D425">
    <cfRule type="expression" dxfId="10285" priority="2053">
      <formula>B425=""</formula>
    </cfRule>
  </conditionalFormatting>
  <conditionalFormatting sqref="D426">
    <cfRule type="expression" dxfId="10284" priority="2052">
      <formula>B426=""</formula>
    </cfRule>
  </conditionalFormatting>
  <conditionalFormatting sqref="D427">
    <cfRule type="expression" dxfId="10283" priority="2051">
      <formula>B427=""</formula>
    </cfRule>
  </conditionalFormatting>
  <conditionalFormatting sqref="E408:E427">
    <cfRule type="expression" dxfId="10282" priority="2050">
      <formula>B408=""</formula>
    </cfRule>
  </conditionalFormatting>
  <conditionalFormatting sqref="E409 E411 E413 E415 E417 E419 E421 E423 E425 E427">
    <cfRule type="expression" dxfId="10281" priority="2049">
      <formula>B409=""</formula>
    </cfRule>
  </conditionalFormatting>
  <conditionalFormatting sqref="E410:E420">
    <cfRule type="expression" dxfId="10280" priority="2048">
      <formula>B410=""</formula>
    </cfRule>
  </conditionalFormatting>
  <conditionalFormatting sqref="E421">
    <cfRule type="expression" dxfId="10279" priority="2047">
      <formula>B421=""</formula>
    </cfRule>
  </conditionalFormatting>
  <conditionalFormatting sqref="E422">
    <cfRule type="expression" dxfId="10278" priority="2046">
      <formula>B422=""</formula>
    </cfRule>
  </conditionalFormatting>
  <conditionalFormatting sqref="E423">
    <cfRule type="expression" dxfId="10277" priority="2045">
      <formula>B423=""</formula>
    </cfRule>
  </conditionalFormatting>
  <conditionalFormatting sqref="E424">
    <cfRule type="expression" dxfId="10276" priority="2044">
      <formula>B424=""</formula>
    </cfRule>
  </conditionalFormatting>
  <conditionalFormatting sqref="E425">
    <cfRule type="expression" dxfId="10275" priority="2043">
      <formula>B425=""</formula>
    </cfRule>
  </conditionalFormatting>
  <conditionalFormatting sqref="E426">
    <cfRule type="expression" dxfId="10274" priority="2042">
      <formula>B426=""</formula>
    </cfRule>
  </conditionalFormatting>
  <conditionalFormatting sqref="E427">
    <cfRule type="expression" dxfId="10273" priority="2041">
      <formula>B427=""</formula>
    </cfRule>
  </conditionalFormatting>
  <conditionalFormatting sqref="F408:F427">
    <cfRule type="expression" dxfId="10272" priority="2040">
      <formula>B408=""</formula>
    </cfRule>
  </conditionalFormatting>
  <conditionalFormatting sqref="F409 F411 F413 F415 F417 F419 F421 F423 F425 F427">
    <cfRule type="expression" dxfId="10271" priority="2039">
      <formula>B409=""</formula>
    </cfRule>
  </conditionalFormatting>
  <conditionalFormatting sqref="F410:F420">
    <cfRule type="expression" dxfId="10270" priority="2038">
      <formula>B410=""</formula>
    </cfRule>
  </conditionalFormatting>
  <conditionalFormatting sqref="F421">
    <cfRule type="expression" dxfId="10269" priority="2037">
      <formula>B421=""</formula>
    </cfRule>
  </conditionalFormatting>
  <conditionalFormatting sqref="F422">
    <cfRule type="expression" dxfId="10268" priority="2036">
      <formula>B422=""</formula>
    </cfRule>
  </conditionalFormatting>
  <conditionalFormatting sqref="F423">
    <cfRule type="expression" dxfId="10267" priority="2035">
      <formula>B423=""</formula>
    </cfRule>
  </conditionalFormatting>
  <conditionalFormatting sqref="F424">
    <cfRule type="expression" dxfId="10266" priority="2034">
      <formula>B424=""</formula>
    </cfRule>
  </conditionalFormatting>
  <conditionalFormatting sqref="F425">
    <cfRule type="expression" dxfId="10265" priority="2033">
      <formula>B425=""</formula>
    </cfRule>
  </conditionalFormatting>
  <conditionalFormatting sqref="F426">
    <cfRule type="expression" dxfId="10264" priority="2032">
      <formula>B426=""</formula>
    </cfRule>
  </conditionalFormatting>
  <conditionalFormatting sqref="F427">
    <cfRule type="expression" dxfId="10263" priority="2031">
      <formula>B427=""</formula>
    </cfRule>
  </conditionalFormatting>
  <conditionalFormatting sqref="E409 E411 E413 E415 E417 E419 E421 E423 E425 E427">
    <cfRule type="expression" dxfId="10262" priority="2030">
      <formula>B409=""</formula>
    </cfRule>
  </conditionalFormatting>
  <conditionalFormatting sqref="E410:E420">
    <cfRule type="expression" dxfId="10261" priority="2029">
      <formula>B410=""</formula>
    </cfRule>
  </conditionalFormatting>
  <conditionalFormatting sqref="E421">
    <cfRule type="expression" dxfId="10260" priority="2028">
      <formula>B421=""</formula>
    </cfRule>
  </conditionalFormatting>
  <conditionalFormatting sqref="E422">
    <cfRule type="expression" dxfId="10259" priority="2027">
      <formula>B422=""</formula>
    </cfRule>
  </conditionalFormatting>
  <conditionalFormatting sqref="E423">
    <cfRule type="expression" dxfId="10258" priority="2026">
      <formula>B423=""</formula>
    </cfRule>
  </conditionalFormatting>
  <conditionalFormatting sqref="E424">
    <cfRule type="expression" dxfId="10257" priority="2025">
      <formula>B424=""</formula>
    </cfRule>
  </conditionalFormatting>
  <conditionalFormatting sqref="E425">
    <cfRule type="expression" dxfId="10256" priority="2024">
      <formula>B425=""</formula>
    </cfRule>
  </conditionalFormatting>
  <conditionalFormatting sqref="E426">
    <cfRule type="expression" dxfId="10255" priority="2023">
      <formula>B426=""</formula>
    </cfRule>
  </conditionalFormatting>
  <conditionalFormatting sqref="E427">
    <cfRule type="expression" dxfId="10254" priority="2022">
      <formula>B427=""</formula>
    </cfRule>
  </conditionalFormatting>
  <conditionalFormatting sqref="G408:G427">
    <cfRule type="expression" dxfId="10253" priority="2021">
      <formula>B408=""</formula>
    </cfRule>
  </conditionalFormatting>
  <conditionalFormatting sqref="G409 G411 G413 G415 G417 G419 G421 G423 G425 G427">
    <cfRule type="expression" dxfId="10252" priority="2020">
      <formula>B409=""</formula>
    </cfRule>
  </conditionalFormatting>
  <conditionalFormatting sqref="G410:G420">
    <cfRule type="expression" dxfId="10251" priority="2019">
      <formula>B410=""</formula>
    </cfRule>
  </conditionalFormatting>
  <conditionalFormatting sqref="G421">
    <cfRule type="expression" dxfId="10250" priority="2018">
      <formula>B421=""</formula>
    </cfRule>
  </conditionalFormatting>
  <conditionalFormatting sqref="G422">
    <cfRule type="expression" dxfId="10249" priority="2017">
      <formula>B422=""</formula>
    </cfRule>
  </conditionalFormatting>
  <conditionalFormatting sqref="G423">
    <cfRule type="expression" dxfId="10248" priority="2016">
      <formula>B423=""</formula>
    </cfRule>
  </conditionalFormatting>
  <conditionalFormatting sqref="G424">
    <cfRule type="expression" dxfId="10247" priority="2015">
      <formula>B424=""</formula>
    </cfRule>
  </conditionalFormatting>
  <conditionalFormatting sqref="G425">
    <cfRule type="expression" dxfId="10246" priority="2014">
      <formula>B425=""</formula>
    </cfRule>
  </conditionalFormatting>
  <conditionalFormatting sqref="G426">
    <cfRule type="expression" dxfId="10245" priority="2013">
      <formula>B426=""</formula>
    </cfRule>
  </conditionalFormatting>
  <conditionalFormatting sqref="G427">
    <cfRule type="expression" dxfId="10244" priority="2012">
      <formula>B427=""</formula>
    </cfRule>
  </conditionalFormatting>
  <conditionalFormatting sqref="H408 H410 H412 H414 H416 H418 H420 H422 H424 H426">
    <cfRule type="expression" dxfId="10243" priority="2011">
      <formula>B408=""</formula>
    </cfRule>
  </conditionalFormatting>
  <conditionalFormatting sqref="H409 H411 H413 H415 H417 H419 H421 H423 H425 H427">
    <cfRule type="expression" dxfId="10242" priority="2010">
      <formula>B409=""</formula>
    </cfRule>
  </conditionalFormatting>
  <conditionalFormatting sqref="H410:H420">
    <cfRule type="expression" dxfId="10241" priority="2009">
      <formula>B410=""</formula>
    </cfRule>
  </conditionalFormatting>
  <conditionalFormatting sqref="H421">
    <cfRule type="expression" dxfId="10240" priority="2008">
      <formula>B421=""</formula>
    </cfRule>
  </conditionalFormatting>
  <conditionalFormatting sqref="H422">
    <cfRule type="expression" dxfId="10239" priority="2007">
      <formula>B422=""</formula>
    </cfRule>
  </conditionalFormatting>
  <conditionalFormatting sqref="H423">
    <cfRule type="expression" dxfId="10238" priority="2006">
      <formula>B423=""</formula>
    </cfRule>
  </conditionalFormatting>
  <conditionalFormatting sqref="H424">
    <cfRule type="expression" dxfId="10237" priority="2005">
      <formula>B424=""</formula>
    </cfRule>
  </conditionalFormatting>
  <conditionalFormatting sqref="H425">
    <cfRule type="expression" dxfId="10236" priority="2004">
      <formula>B425=""</formula>
    </cfRule>
  </conditionalFormatting>
  <conditionalFormatting sqref="H426">
    <cfRule type="expression" dxfId="10235" priority="2003">
      <formula>B426=""</formula>
    </cfRule>
  </conditionalFormatting>
  <conditionalFormatting sqref="H427">
    <cfRule type="expression" dxfId="10234" priority="2002">
      <formula>B427=""</formula>
    </cfRule>
  </conditionalFormatting>
  <conditionalFormatting sqref="F408 F410 F412 F414 F416 F418 F420 F422 F424 F426">
    <cfRule type="expression" dxfId="10233" priority="2001">
      <formula>B408=""</formula>
    </cfRule>
  </conditionalFormatting>
  <conditionalFormatting sqref="F409 F411 F413 F415 F417 F419 F421 F423 F425 F427">
    <cfRule type="expression" dxfId="10232" priority="2000">
      <formula>B409=""</formula>
    </cfRule>
  </conditionalFormatting>
  <conditionalFormatting sqref="F410:F420">
    <cfRule type="expression" dxfId="10231" priority="1999">
      <formula>B410=""</formula>
    </cfRule>
  </conditionalFormatting>
  <conditionalFormatting sqref="F421">
    <cfRule type="expression" dxfId="10230" priority="1998">
      <formula>B421=""</formula>
    </cfRule>
  </conditionalFormatting>
  <conditionalFormatting sqref="F422">
    <cfRule type="expression" dxfId="10229" priority="1997">
      <formula>B422=""</formula>
    </cfRule>
  </conditionalFormatting>
  <conditionalFormatting sqref="F423">
    <cfRule type="expression" dxfId="10228" priority="1996">
      <formula>B423=""</formula>
    </cfRule>
  </conditionalFormatting>
  <conditionalFormatting sqref="F424">
    <cfRule type="expression" dxfId="10227" priority="1995">
      <formula>B424=""</formula>
    </cfRule>
  </conditionalFormatting>
  <conditionalFormatting sqref="F425">
    <cfRule type="expression" dxfId="10226" priority="1994">
      <formula>B425=""</formula>
    </cfRule>
  </conditionalFormatting>
  <conditionalFormatting sqref="F426">
    <cfRule type="expression" dxfId="10225" priority="1993">
      <formula>B426=""</formula>
    </cfRule>
  </conditionalFormatting>
  <conditionalFormatting sqref="F427">
    <cfRule type="expression" dxfId="10224" priority="1992">
      <formula>B427=""</formula>
    </cfRule>
  </conditionalFormatting>
  <conditionalFormatting sqref="C430:C449">
    <cfRule type="expression" dxfId="10223" priority="1991">
      <formula>B430=""</formula>
    </cfRule>
  </conditionalFormatting>
  <conditionalFormatting sqref="C431 C433 C435 C437 C439 C441 C443 C445 C447 C449">
    <cfRule type="expression" dxfId="10222" priority="1990">
      <formula>B431=""</formula>
    </cfRule>
  </conditionalFormatting>
  <conditionalFormatting sqref="C432:C442">
    <cfRule type="expression" dxfId="10221" priority="1989">
      <formula>B432=""</formula>
    </cfRule>
  </conditionalFormatting>
  <conditionalFormatting sqref="C443">
    <cfRule type="expression" dxfId="10220" priority="1988">
      <formula>B443=""</formula>
    </cfRule>
  </conditionalFormatting>
  <conditionalFormatting sqref="C444">
    <cfRule type="expression" dxfId="10219" priority="1987">
      <formula>B444=""</formula>
    </cfRule>
  </conditionalFormatting>
  <conditionalFormatting sqref="C445">
    <cfRule type="expression" dxfId="10218" priority="1986">
      <formula>B445=""</formula>
    </cfRule>
  </conditionalFormatting>
  <conditionalFormatting sqref="C446">
    <cfRule type="expression" dxfId="10217" priority="1985">
      <formula>B446=""</formula>
    </cfRule>
  </conditionalFormatting>
  <conditionalFormatting sqref="C447">
    <cfRule type="expression" dxfId="10216" priority="1984">
      <formula>B447=""</formula>
    </cfRule>
  </conditionalFormatting>
  <conditionalFormatting sqref="C448">
    <cfRule type="expression" dxfId="10215" priority="1983">
      <formula>B448=""</formula>
    </cfRule>
  </conditionalFormatting>
  <conditionalFormatting sqref="C449">
    <cfRule type="expression" dxfId="10214" priority="1982">
      <formula>B449=""</formula>
    </cfRule>
  </conditionalFormatting>
  <conditionalFormatting sqref="D430 D432 D434 D436 D438 D440 D442 D444 D446 D448">
    <cfRule type="expression" dxfId="10213" priority="1981">
      <formula>B430=""</formula>
    </cfRule>
  </conditionalFormatting>
  <conditionalFormatting sqref="D431 D433 D435 D437 D439 D441 D443 D445 D447 D449">
    <cfRule type="expression" dxfId="10212" priority="1980">
      <formula>B431=""</formula>
    </cfRule>
  </conditionalFormatting>
  <conditionalFormatting sqref="D432:D442">
    <cfRule type="expression" dxfId="10211" priority="1979">
      <formula>B432=""</formula>
    </cfRule>
  </conditionalFormatting>
  <conditionalFormatting sqref="D443">
    <cfRule type="expression" dxfId="10210" priority="1978">
      <formula>B443=""</formula>
    </cfRule>
  </conditionalFormatting>
  <conditionalFormatting sqref="D444">
    <cfRule type="expression" dxfId="10209" priority="1977">
      <formula>B444=""</formula>
    </cfRule>
  </conditionalFormatting>
  <conditionalFormatting sqref="D445">
    <cfRule type="expression" dxfId="10208" priority="1976">
      <formula>B445=""</formula>
    </cfRule>
  </conditionalFormatting>
  <conditionalFormatting sqref="D446">
    <cfRule type="expression" dxfId="10207" priority="1975">
      <formula>B446=""</formula>
    </cfRule>
  </conditionalFormatting>
  <conditionalFormatting sqref="D447">
    <cfRule type="expression" dxfId="10206" priority="1974">
      <formula>B447=""</formula>
    </cfRule>
  </conditionalFormatting>
  <conditionalFormatting sqref="D448">
    <cfRule type="expression" dxfId="10205" priority="1973">
      <formula>B448=""</formula>
    </cfRule>
  </conditionalFormatting>
  <conditionalFormatting sqref="D449">
    <cfRule type="expression" dxfId="10204" priority="1972">
      <formula>B449=""</formula>
    </cfRule>
  </conditionalFormatting>
  <conditionalFormatting sqref="E430 E432 E434 E436 E438 E440 E442 E444 E446 E448">
    <cfRule type="expression" dxfId="10203" priority="1971">
      <formula>B430=""</formula>
    </cfRule>
  </conditionalFormatting>
  <conditionalFormatting sqref="E431 E433 E435 E437 E439 E441 E443 E445 E447 E449">
    <cfRule type="expression" dxfId="10202" priority="1970">
      <formula>B431=""</formula>
    </cfRule>
  </conditionalFormatting>
  <conditionalFormatting sqref="E432:E442">
    <cfRule type="expression" dxfId="10201" priority="1969">
      <formula>B432=""</formula>
    </cfRule>
  </conditionalFormatting>
  <conditionalFormatting sqref="E443">
    <cfRule type="expression" dxfId="10200" priority="1968">
      <formula>B443=""</formula>
    </cfRule>
  </conditionalFormatting>
  <conditionalFormatting sqref="E444">
    <cfRule type="expression" dxfId="10199" priority="1967">
      <formula>B444=""</formula>
    </cfRule>
  </conditionalFormatting>
  <conditionalFormatting sqref="E445">
    <cfRule type="expression" dxfId="10198" priority="1966">
      <formula>B445=""</formula>
    </cfRule>
  </conditionalFormatting>
  <conditionalFormatting sqref="E446">
    <cfRule type="expression" dxfId="10197" priority="1965">
      <formula>B446=""</formula>
    </cfRule>
  </conditionalFormatting>
  <conditionalFormatting sqref="E447">
    <cfRule type="expression" dxfId="10196" priority="1964">
      <formula>B447=""</formula>
    </cfRule>
  </conditionalFormatting>
  <conditionalFormatting sqref="E448">
    <cfRule type="expression" dxfId="10195" priority="1963">
      <formula>B448=""</formula>
    </cfRule>
  </conditionalFormatting>
  <conditionalFormatting sqref="E449">
    <cfRule type="expression" dxfId="10194" priority="1962">
      <formula>B449=""</formula>
    </cfRule>
  </conditionalFormatting>
  <conditionalFormatting sqref="F430 F432 F434 F436 F438 F440 F442 F444 F446 F448">
    <cfRule type="expression" dxfId="10193" priority="1961">
      <formula>B430=""</formula>
    </cfRule>
  </conditionalFormatting>
  <conditionalFormatting sqref="F431 F433 F435 F437 F439 F441 F443 F445 F447 F449">
    <cfRule type="expression" dxfId="10192" priority="1960">
      <formula>B431=""</formula>
    </cfRule>
  </conditionalFormatting>
  <conditionalFormatting sqref="F432:F442">
    <cfRule type="expression" dxfId="10191" priority="1959">
      <formula>B432=""</formula>
    </cfRule>
  </conditionalFormatting>
  <conditionalFormatting sqref="F443">
    <cfRule type="expression" dxfId="10190" priority="1958">
      <formula>B443=""</formula>
    </cfRule>
  </conditionalFormatting>
  <conditionalFormatting sqref="F444">
    <cfRule type="expression" dxfId="10189" priority="1957">
      <formula>B444=""</formula>
    </cfRule>
  </conditionalFormatting>
  <conditionalFormatting sqref="F445">
    <cfRule type="expression" dxfId="10188" priority="1956">
      <formula>B445=""</formula>
    </cfRule>
  </conditionalFormatting>
  <conditionalFormatting sqref="F446">
    <cfRule type="expression" dxfId="10187" priority="1955">
      <formula>B446=""</formula>
    </cfRule>
  </conditionalFormatting>
  <conditionalFormatting sqref="F447">
    <cfRule type="expression" dxfId="10186" priority="1954">
      <formula>B447=""</formula>
    </cfRule>
  </conditionalFormatting>
  <conditionalFormatting sqref="F448">
    <cfRule type="expression" dxfId="10185" priority="1953">
      <formula>B448=""</formula>
    </cfRule>
  </conditionalFormatting>
  <conditionalFormatting sqref="F449">
    <cfRule type="expression" dxfId="10184" priority="1952">
      <formula>B449=""</formula>
    </cfRule>
  </conditionalFormatting>
  <conditionalFormatting sqref="E431 E433 E435 E437 E439 E441 E443 E445 E447 E449">
    <cfRule type="expression" dxfId="10183" priority="1951">
      <formula>B431=""</formula>
    </cfRule>
  </conditionalFormatting>
  <conditionalFormatting sqref="E432:E442">
    <cfRule type="expression" dxfId="10182" priority="1950">
      <formula>B432=""</formula>
    </cfRule>
  </conditionalFormatting>
  <conditionalFormatting sqref="E443">
    <cfRule type="expression" dxfId="10181" priority="1949">
      <formula>B443=""</formula>
    </cfRule>
  </conditionalFormatting>
  <conditionalFormatting sqref="E444">
    <cfRule type="expression" dxfId="10180" priority="1948">
      <formula>B444=""</formula>
    </cfRule>
  </conditionalFormatting>
  <conditionalFormatting sqref="E445">
    <cfRule type="expression" dxfId="10179" priority="1947">
      <formula>B445=""</formula>
    </cfRule>
  </conditionalFormatting>
  <conditionalFormatting sqref="E446">
    <cfRule type="expression" dxfId="10178" priority="1946">
      <formula>B446=""</formula>
    </cfRule>
  </conditionalFormatting>
  <conditionalFormatting sqref="E447">
    <cfRule type="expression" dxfId="10177" priority="1945">
      <formula>B447=""</formula>
    </cfRule>
  </conditionalFormatting>
  <conditionalFormatting sqref="E448">
    <cfRule type="expression" dxfId="10176" priority="1944">
      <formula>B448=""</formula>
    </cfRule>
  </conditionalFormatting>
  <conditionalFormatting sqref="E449">
    <cfRule type="expression" dxfId="10175" priority="1943">
      <formula>B449=""</formula>
    </cfRule>
  </conditionalFormatting>
  <conditionalFormatting sqref="G430 G432 G434 G436 G438 G440 G442 G444 G446 G448">
    <cfRule type="expression" dxfId="10174" priority="1942">
      <formula>B430=""</formula>
    </cfRule>
  </conditionalFormatting>
  <conditionalFormatting sqref="G431 G433 G435 G437 G439 G441 G443 G445 G447 G449">
    <cfRule type="expression" dxfId="10173" priority="1941">
      <formula>B431=""</formula>
    </cfRule>
  </conditionalFormatting>
  <conditionalFormatting sqref="G432:G442">
    <cfRule type="expression" dxfId="10172" priority="1940">
      <formula>B432=""</formula>
    </cfRule>
  </conditionalFormatting>
  <conditionalFormatting sqref="G443">
    <cfRule type="expression" dxfId="10171" priority="1939">
      <formula>B443=""</formula>
    </cfRule>
  </conditionalFormatting>
  <conditionalFormatting sqref="G444">
    <cfRule type="expression" dxfId="10170" priority="1938">
      <formula>B444=""</formula>
    </cfRule>
  </conditionalFormatting>
  <conditionalFormatting sqref="G445">
    <cfRule type="expression" dxfId="10169" priority="1937">
      <formula>B445=""</formula>
    </cfRule>
  </conditionalFormatting>
  <conditionalFormatting sqref="G446">
    <cfRule type="expression" dxfId="10168" priority="1936">
      <formula>B446=""</formula>
    </cfRule>
  </conditionalFormatting>
  <conditionalFormatting sqref="G447">
    <cfRule type="expression" dxfId="10167" priority="1935">
      <formula>B447=""</formula>
    </cfRule>
  </conditionalFormatting>
  <conditionalFormatting sqref="G448">
    <cfRule type="expression" dxfId="10166" priority="1934">
      <formula>B448=""</formula>
    </cfRule>
  </conditionalFormatting>
  <conditionalFormatting sqref="G449">
    <cfRule type="expression" dxfId="10165" priority="1933">
      <formula>B449=""</formula>
    </cfRule>
  </conditionalFormatting>
  <conditionalFormatting sqref="H430 H432 H434 H436 H438 H440 H442 H444 H446 H448">
    <cfRule type="expression" dxfId="10164" priority="1932">
      <formula>B430=""</formula>
    </cfRule>
  </conditionalFormatting>
  <conditionalFormatting sqref="H431 H433 H435 H437 H439 H441 H443 H445 H447 H449">
    <cfRule type="expression" dxfId="10163" priority="1931">
      <formula>B431=""</formula>
    </cfRule>
  </conditionalFormatting>
  <conditionalFormatting sqref="H432:H442">
    <cfRule type="expression" dxfId="10162" priority="1930">
      <formula>B432=""</formula>
    </cfRule>
  </conditionalFormatting>
  <conditionalFormatting sqref="H443">
    <cfRule type="expression" dxfId="10161" priority="1929">
      <formula>B443=""</formula>
    </cfRule>
  </conditionalFormatting>
  <conditionalFormatting sqref="H444">
    <cfRule type="expression" dxfId="10160" priority="1928">
      <formula>B444=""</formula>
    </cfRule>
  </conditionalFormatting>
  <conditionalFormatting sqref="H445">
    <cfRule type="expression" dxfId="10159" priority="1927">
      <formula>B445=""</formula>
    </cfRule>
  </conditionalFormatting>
  <conditionalFormatting sqref="H446">
    <cfRule type="expression" dxfId="10158" priority="1926">
      <formula>B446=""</formula>
    </cfRule>
  </conditionalFormatting>
  <conditionalFormatting sqref="H447">
    <cfRule type="expression" dxfId="10157" priority="1925">
      <formula>B447=""</formula>
    </cfRule>
  </conditionalFormatting>
  <conditionalFormatting sqref="H448">
    <cfRule type="expression" dxfId="10156" priority="1924">
      <formula>B448=""</formula>
    </cfRule>
  </conditionalFormatting>
  <conditionalFormatting sqref="H449">
    <cfRule type="expression" dxfId="10155" priority="1923">
      <formula>B449=""</formula>
    </cfRule>
  </conditionalFormatting>
  <conditionalFormatting sqref="C430:C449">
    <cfRule type="expression" dxfId="10154" priority="1922">
      <formula>B430=""</formula>
    </cfRule>
  </conditionalFormatting>
  <conditionalFormatting sqref="C431 C433 C435 C437 C439 C441 C443 C445 C447 C449">
    <cfRule type="expression" dxfId="10153" priority="1921">
      <formula>B431=""</formula>
    </cfRule>
  </conditionalFormatting>
  <conditionalFormatting sqref="C432:C442">
    <cfRule type="expression" dxfId="10152" priority="1920">
      <formula>B432=""</formula>
    </cfRule>
  </conditionalFormatting>
  <conditionalFormatting sqref="C443">
    <cfRule type="expression" dxfId="10151" priority="1919">
      <formula>B443=""</formula>
    </cfRule>
  </conditionalFormatting>
  <conditionalFormatting sqref="C444">
    <cfRule type="expression" dxfId="10150" priority="1918">
      <formula>B444=""</formula>
    </cfRule>
  </conditionalFormatting>
  <conditionalFormatting sqref="C445">
    <cfRule type="expression" dxfId="10149" priority="1917">
      <formula>B445=""</formula>
    </cfRule>
  </conditionalFormatting>
  <conditionalFormatting sqref="C446">
    <cfRule type="expression" dxfId="10148" priority="1916">
      <formula>B446=""</formula>
    </cfRule>
  </conditionalFormatting>
  <conditionalFormatting sqref="C447">
    <cfRule type="expression" dxfId="10147" priority="1915">
      <formula>B447=""</formula>
    </cfRule>
  </conditionalFormatting>
  <conditionalFormatting sqref="C448">
    <cfRule type="expression" dxfId="10146" priority="1914">
      <formula>B448=""</formula>
    </cfRule>
  </conditionalFormatting>
  <conditionalFormatting sqref="C449">
    <cfRule type="expression" dxfId="10145" priority="1913">
      <formula>B449=""</formula>
    </cfRule>
  </conditionalFormatting>
  <conditionalFormatting sqref="C430 C432 C434 C436 C438 C440 C442 C444 C446 C448">
    <cfRule type="expression" dxfId="10144" priority="1912">
      <formula>B430=""</formula>
    </cfRule>
  </conditionalFormatting>
  <conditionalFormatting sqref="C431 C433 C435 C437 C439 C441 C443 C445 C447 C449">
    <cfRule type="expression" dxfId="10143" priority="1911">
      <formula>B431=""</formula>
    </cfRule>
  </conditionalFormatting>
  <conditionalFormatting sqref="C432:C442">
    <cfRule type="expression" dxfId="10142" priority="1910">
      <formula>B432=""</formula>
    </cfRule>
  </conditionalFormatting>
  <conditionalFormatting sqref="C443">
    <cfRule type="expression" dxfId="10141" priority="1909">
      <formula>B443=""</formula>
    </cfRule>
  </conditionalFormatting>
  <conditionalFormatting sqref="C444">
    <cfRule type="expression" dxfId="10140" priority="1908">
      <formula>B444=""</formula>
    </cfRule>
  </conditionalFormatting>
  <conditionalFormatting sqref="C445">
    <cfRule type="expression" dxfId="10139" priority="1907">
      <formula>B445=""</formula>
    </cfRule>
  </conditionalFormatting>
  <conditionalFormatting sqref="C446">
    <cfRule type="expression" dxfId="10138" priority="1906">
      <formula>B446=""</formula>
    </cfRule>
  </conditionalFormatting>
  <conditionalFormatting sqref="C447">
    <cfRule type="expression" dxfId="10137" priority="1905">
      <formula>B447=""</formula>
    </cfRule>
  </conditionalFormatting>
  <conditionalFormatting sqref="C448">
    <cfRule type="expression" dxfId="10136" priority="1904">
      <formula>B448=""</formula>
    </cfRule>
  </conditionalFormatting>
  <conditionalFormatting sqref="C449">
    <cfRule type="expression" dxfId="10135" priority="1903">
      <formula>B449=""</formula>
    </cfRule>
  </conditionalFormatting>
  <conditionalFormatting sqref="D430 D432 D434 D436 D438 D440 D442 D444 D446 D448">
    <cfRule type="expression" dxfId="10134" priority="1902">
      <formula>B430=""</formula>
    </cfRule>
  </conditionalFormatting>
  <conditionalFormatting sqref="D431 D433 D435 D437 D439 D441 D443 D445 D447 D449">
    <cfRule type="expression" dxfId="10133" priority="1901">
      <formula>B431=""</formula>
    </cfRule>
  </conditionalFormatting>
  <conditionalFormatting sqref="D432:D442">
    <cfRule type="expression" dxfId="10132" priority="1900">
      <formula>B432=""</formula>
    </cfRule>
  </conditionalFormatting>
  <conditionalFormatting sqref="D443">
    <cfRule type="expression" dxfId="10131" priority="1899">
      <formula>B443=""</formula>
    </cfRule>
  </conditionalFormatting>
  <conditionalFormatting sqref="D444">
    <cfRule type="expression" dxfId="10130" priority="1898">
      <formula>B444=""</formula>
    </cfRule>
  </conditionalFormatting>
  <conditionalFormatting sqref="D445">
    <cfRule type="expression" dxfId="10129" priority="1897">
      <formula>B445=""</formula>
    </cfRule>
  </conditionalFormatting>
  <conditionalFormatting sqref="D446">
    <cfRule type="expression" dxfId="10128" priority="1896">
      <formula>B446=""</formula>
    </cfRule>
  </conditionalFormatting>
  <conditionalFormatting sqref="D447">
    <cfRule type="expression" dxfId="10127" priority="1895">
      <formula>B447=""</formula>
    </cfRule>
  </conditionalFormatting>
  <conditionalFormatting sqref="D448">
    <cfRule type="expression" dxfId="10126" priority="1894">
      <formula>B448=""</formula>
    </cfRule>
  </conditionalFormatting>
  <conditionalFormatting sqref="D449">
    <cfRule type="expression" dxfId="10125" priority="1893">
      <formula>B449=""</formula>
    </cfRule>
  </conditionalFormatting>
  <conditionalFormatting sqref="E430:E449">
    <cfRule type="expression" dxfId="10124" priority="1892">
      <formula>B430=""</formula>
    </cfRule>
  </conditionalFormatting>
  <conditionalFormatting sqref="E431 E433 E435 E437 E439 E441 E443 E445 E447 E449">
    <cfRule type="expression" dxfId="10123" priority="1891">
      <formula>B431=""</formula>
    </cfRule>
  </conditionalFormatting>
  <conditionalFormatting sqref="E432:E442">
    <cfRule type="expression" dxfId="10122" priority="1890">
      <formula>B432=""</formula>
    </cfRule>
  </conditionalFormatting>
  <conditionalFormatting sqref="E443">
    <cfRule type="expression" dxfId="10121" priority="1889">
      <formula>B443=""</formula>
    </cfRule>
  </conditionalFormatting>
  <conditionalFormatting sqref="E444">
    <cfRule type="expression" dxfId="10120" priority="1888">
      <formula>B444=""</formula>
    </cfRule>
  </conditionalFormatting>
  <conditionalFormatting sqref="E445">
    <cfRule type="expression" dxfId="10119" priority="1887">
      <formula>B445=""</formula>
    </cfRule>
  </conditionalFormatting>
  <conditionalFormatting sqref="E446">
    <cfRule type="expression" dxfId="10118" priority="1886">
      <formula>B446=""</formula>
    </cfRule>
  </conditionalFormatting>
  <conditionalFormatting sqref="E447">
    <cfRule type="expression" dxfId="10117" priority="1885">
      <formula>B447=""</formula>
    </cfRule>
  </conditionalFormatting>
  <conditionalFormatting sqref="E448">
    <cfRule type="expression" dxfId="10116" priority="1884">
      <formula>B448=""</formula>
    </cfRule>
  </conditionalFormatting>
  <conditionalFormatting sqref="E449">
    <cfRule type="expression" dxfId="10115" priority="1883">
      <formula>B449=""</formula>
    </cfRule>
  </conditionalFormatting>
  <conditionalFormatting sqref="F430:F449">
    <cfRule type="expression" dxfId="10114" priority="1882">
      <formula>B430=""</formula>
    </cfRule>
  </conditionalFormatting>
  <conditionalFormatting sqref="F431 F433 F435 F437 F439 F441 F443 F445 F447 F449">
    <cfRule type="expression" dxfId="10113" priority="1881">
      <formula>B431=""</formula>
    </cfRule>
  </conditionalFormatting>
  <conditionalFormatting sqref="F432:F442">
    <cfRule type="expression" dxfId="10112" priority="1880">
      <formula>B432=""</formula>
    </cfRule>
  </conditionalFormatting>
  <conditionalFormatting sqref="F443">
    <cfRule type="expression" dxfId="10111" priority="1879">
      <formula>B443=""</formula>
    </cfRule>
  </conditionalFormatting>
  <conditionalFormatting sqref="F444">
    <cfRule type="expression" dxfId="10110" priority="1878">
      <formula>B444=""</formula>
    </cfRule>
  </conditionalFormatting>
  <conditionalFormatting sqref="F445">
    <cfRule type="expression" dxfId="10109" priority="1877">
      <formula>B445=""</formula>
    </cfRule>
  </conditionalFormatting>
  <conditionalFormatting sqref="F446">
    <cfRule type="expression" dxfId="10108" priority="1876">
      <formula>B446=""</formula>
    </cfRule>
  </conditionalFormatting>
  <conditionalFormatting sqref="F447">
    <cfRule type="expression" dxfId="10107" priority="1875">
      <formula>B447=""</formula>
    </cfRule>
  </conditionalFormatting>
  <conditionalFormatting sqref="F448">
    <cfRule type="expression" dxfId="10106" priority="1874">
      <formula>B448=""</formula>
    </cfRule>
  </conditionalFormatting>
  <conditionalFormatting sqref="F449">
    <cfRule type="expression" dxfId="10105" priority="1873">
      <formula>B449=""</formula>
    </cfRule>
  </conditionalFormatting>
  <conditionalFormatting sqref="E431 E433 E435 E437 E439 E441 E443 E445 E447 E449">
    <cfRule type="expression" dxfId="10104" priority="1872">
      <formula>B431=""</formula>
    </cfRule>
  </conditionalFormatting>
  <conditionalFormatting sqref="E432:E442">
    <cfRule type="expression" dxfId="10103" priority="1871">
      <formula>B432=""</formula>
    </cfRule>
  </conditionalFormatting>
  <conditionalFormatting sqref="E443">
    <cfRule type="expression" dxfId="10102" priority="1870">
      <formula>B443=""</formula>
    </cfRule>
  </conditionalFormatting>
  <conditionalFormatting sqref="E444">
    <cfRule type="expression" dxfId="10101" priority="1869">
      <formula>B444=""</formula>
    </cfRule>
  </conditionalFormatting>
  <conditionalFormatting sqref="E445">
    <cfRule type="expression" dxfId="10100" priority="1868">
      <formula>B445=""</formula>
    </cfRule>
  </conditionalFormatting>
  <conditionalFormatting sqref="E446">
    <cfRule type="expression" dxfId="10099" priority="1867">
      <formula>B446=""</formula>
    </cfRule>
  </conditionalFormatting>
  <conditionalFormatting sqref="E447">
    <cfRule type="expression" dxfId="10098" priority="1866">
      <formula>B447=""</formula>
    </cfRule>
  </conditionalFormatting>
  <conditionalFormatting sqref="E448">
    <cfRule type="expression" dxfId="10097" priority="1865">
      <formula>B448=""</formula>
    </cfRule>
  </conditionalFormatting>
  <conditionalFormatting sqref="E449">
    <cfRule type="expression" dxfId="10096" priority="1864">
      <formula>B449=""</formula>
    </cfRule>
  </conditionalFormatting>
  <conditionalFormatting sqref="G430:G449">
    <cfRule type="expression" dxfId="10095" priority="1863">
      <formula>B430=""</formula>
    </cfRule>
  </conditionalFormatting>
  <conditionalFormatting sqref="G431 G433 G435 G437 G439 G441 G443 G445 G447 G449">
    <cfRule type="expression" dxfId="10094" priority="1862">
      <formula>B431=""</formula>
    </cfRule>
  </conditionalFormatting>
  <conditionalFormatting sqref="G432:G442">
    <cfRule type="expression" dxfId="10093" priority="1861">
      <formula>B432=""</formula>
    </cfRule>
  </conditionalFormatting>
  <conditionalFormatting sqref="G443">
    <cfRule type="expression" dxfId="10092" priority="1860">
      <formula>B443=""</formula>
    </cfRule>
  </conditionalFormatting>
  <conditionalFormatting sqref="G444">
    <cfRule type="expression" dxfId="10091" priority="1859">
      <formula>B444=""</formula>
    </cfRule>
  </conditionalFormatting>
  <conditionalFormatting sqref="G445">
    <cfRule type="expression" dxfId="10090" priority="1858">
      <formula>B445=""</formula>
    </cfRule>
  </conditionalFormatting>
  <conditionalFormatting sqref="G446">
    <cfRule type="expression" dxfId="10089" priority="1857">
      <formula>B446=""</formula>
    </cfRule>
  </conditionalFormatting>
  <conditionalFormatting sqref="G447">
    <cfRule type="expression" dxfId="10088" priority="1856">
      <formula>B447=""</formula>
    </cfRule>
  </conditionalFormatting>
  <conditionalFormatting sqref="G448">
    <cfRule type="expression" dxfId="10087" priority="1855">
      <formula>B448=""</formula>
    </cfRule>
  </conditionalFormatting>
  <conditionalFormatting sqref="G449">
    <cfRule type="expression" dxfId="10086" priority="1854">
      <formula>B449=""</formula>
    </cfRule>
  </conditionalFormatting>
  <conditionalFormatting sqref="H430 H432 H434 H436 H438 H440 H442 H444 H446 H448">
    <cfRule type="expression" dxfId="10085" priority="1853">
      <formula>B430=""</formula>
    </cfRule>
  </conditionalFormatting>
  <conditionalFormatting sqref="H431 H433 H435 H437 H439 H441 H443 H445 H447 H449">
    <cfRule type="expression" dxfId="10084" priority="1852">
      <formula>B431=""</formula>
    </cfRule>
  </conditionalFormatting>
  <conditionalFormatting sqref="H432:H442">
    <cfRule type="expression" dxfId="10083" priority="1851">
      <formula>B432=""</formula>
    </cfRule>
  </conditionalFormatting>
  <conditionalFormatting sqref="H443">
    <cfRule type="expression" dxfId="10082" priority="1850">
      <formula>B443=""</formula>
    </cfRule>
  </conditionalFormatting>
  <conditionalFormatting sqref="H444">
    <cfRule type="expression" dxfId="10081" priority="1849">
      <formula>B444=""</formula>
    </cfRule>
  </conditionalFormatting>
  <conditionalFormatting sqref="H445">
    <cfRule type="expression" dxfId="10080" priority="1848">
      <formula>B445=""</formula>
    </cfRule>
  </conditionalFormatting>
  <conditionalFormatting sqref="H446">
    <cfRule type="expression" dxfId="10079" priority="1847">
      <formula>B446=""</formula>
    </cfRule>
  </conditionalFormatting>
  <conditionalFormatting sqref="H447">
    <cfRule type="expression" dxfId="10078" priority="1846">
      <formula>B447=""</formula>
    </cfRule>
  </conditionalFormatting>
  <conditionalFormatting sqref="H448">
    <cfRule type="expression" dxfId="10077" priority="1845">
      <formula>B448=""</formula>
    </cfRule>
  </conditionalFormatting>
  <conditionalFormatting sqref="H449">
    <cfRule type="expression" dxfId="10076" priority="1844">
      <formula>B449=""</formula>
    </cfRule>
  </conditionalFormatting>
  <conditionalFormatting sqref="F430 F432 F434 F436 F438 F440 F442 F444 F446 F448">
    <cfRule type="expression" dxfId="10075" priority="1843">
      <formula>B430=""</formula>
    </cfRule>
  </conditionalFormatting>
  <conditionalFormatting sqref="F431 F433 F435 F437 F439 F441 F443 F445 F447 F449">
    <cfRule type="expression" dxfId="10074" priority="1842">
      <formula>B431=""</formula>
    </cfRule>
  </conditionalFormatting>
  <conditionalFormatting sqref="F432:F442">
    <cfRule type="expression" dxfId="10073" priority="1841">
      <formula>B432=""</formula>
    </cfRule>
  </conditionalFormatting>
  <conditionalFormatting sqref="F443">
    <cfRule type="expression" dxfId="10072" priority="1840">
      <formula>B443=""</formula>
    </cfRule>
  </conditionalFormatting>
  <conditionalFormatting sqref="F444">
    <cfRule type="expression" dxfId="10071" priority="1839">
      <formula>B444=""</formula>
    </cfRule>
  </conditionalFormatting>
  <conditionalFormatting sqref="F445">
    <cfRule type="expression" dxfId="10070" priority="1838">
      <formula>B445=""</formula>
    </cfRule>
  </conditionalFormatting>
  <conditionalFormatting sqref="F446">
    <cfRule type="expression" dxfId="10069" priority="1837">
      <formula>B446=""</formula>
    </cfRule>
  </conditionalFormatting>
  <conditionalFormatting sqref="F447">
    <cfRule type="expression" dxfId="10068" priority="1836">
      <formula>B447=""</formula>
    </cfRule>
  </conditionalFormatting>
  <conditionalFormatting sqref="F448">
    <cfRule type="expression" dxfId="10067" priority="1835">
      <formula>B448=""</formula>
    </cfRule>
  </conditionalFormatting>
  <conditionalFormatting sqref="F449">
    <cfRule type="expression" dxfId="10066" priority="1834">
      <formula>B449=""</formula>
    </cfRule>
  </conditionalFormatting>
  <conditionalFormatting sqref="C452:C471">
    <cfRule type="expression" dxfId="10065" priority="1833">
      <formula>B452=""</formula>
    </cfRule>
  </conditionalFormatting>
  <conditionalFormatting sqref="C453 C455 C457 C459 C461 C463 C465 C467 C469 C471">
    <cfRule type="expression" dxfId="10064" priority="1832">
      <formula>B453=""</formula>
    </cfRule>
  </conditionalFormatting>
  <conditionalFormatting sqref="C454:C464">
    <cfRule type="expression" dxfId="10063" priority="1831">
      <formula>B454=""</formula>
    </cfRule>
  </conditionalFormatting>
  <conditionalFormatting sqref="C465">
    <cfRule type="expression" dxfId="10062" priority="1830">
      <formula>B465=""</formula>
    </cfRule>
  </conditionalFormatting>
  <conditionalFormatting sqref="C466">
    <cfRule type="expression" dxfId="10061" priority="1829">
      <formula>B466=""</formula>
    </cfRule>
  </conditionalFormatting>
  <conditionalFormatting sqref="C467">
    <cfRule type="expression" dxfId="10060" priority="1828">
      <formula>B467=""</formula>
    </cfRule>
  </conditionalFormatting>
  <conditionalFormatting sqref="C468">
    <cfRule type="expression" dxfId="10059" priority="1827">
      <formula>B468=""</formula>
    </cfRule>
  </conditionalFormatting>
  <conditionalFormatting sqref="C469">
    <cfRule type="expression" dxfId="10058" priority="1826">
      <formula>B469=""</formula>
    </cfRule>
  </conditionalFormatting>
  <conditionalFormatting sqref="C470">
    <cfRule type="expression" dxfId="10057" priority="1825">
      <formula>B470=""</formula>
    </cfRule>
  </conditionalFormatting>
  <conditionalFormatting sqref="C471">
    <cfRule type="expression" dxfId="10056" priority="1824">
      <formula>B471=""</formula>
    </cfRule>
  </conditionalFormatting>
  <conditionalFormatting sqref="C471">
    <cfRule type="expression" dxfId="10055" priority="1823">
      <formula>B471=""</formula>
    </cfRule>
  </conditionalFormatting>
  <conditionalFormatting sqref="C452:C471">
    <cfRule type="expression" dxfId="10054" priority="1822">
      <formula>B452=""</formula>
    </cfRule>
  </conditionalFormatting>
  <conditionalFormatting sqref="C453 C455 C457 C459 C461 C463 C465 C467 C469 C471">
    <cfRule type="expression" dxfId="10053" priority="1821">
      <formula>B453=""</formula>
    </cfRule>
  </conditionalFormatting>
  <conditionalFormatting sqref="C454:C464">
    <cfRule type="expression" dxfId="10052" priority="1820">
      <formula>B454=""</formula>
    </cfRule>
  </conditionalFormatting>
  <conditionalFormatting sqref="C465">
    <cfRule type="expression" dxfId="10051" priority="1819">
      <formula>B465=""</formula>
    </cfRule>
  </conditionalFormatting>
  <conditionalFormatting sqref="C466">
    <cfRule type="expression" dxfId="10050" priority="1818">
      <formula>B466=""</formula>
    </cfRule>
  </conditionalFormatting>
  <conditionalFormatting sqref="C467">
    <cfRule type="expression" dxfId="10049" priority="1817">
      <formula>B467=""</formula>
    </cfRule>
  </conditionalFormatting>
  <conditionalFormatting sqref="C468">
    <cfRule type="expression" dxfId="10048" priority="1816">
      <formula>B468=""</formula>
    </cfRule>
  </conditionalFormatting>
  <conditionalFormatting sqref="C469">
    <cfRule type="expression" dxfId="10047" priority="1815">
      <formula>B469=""</formula>
    </cfRule>
  </conditionalFormatting>
  <conditionalFormatting sqref="C470">
    <cfRule type="expression" dxfId="10046" priority="1814">
      <formula>B470=""</formula>
    </cfRule>
  </conditionalFormatting>
  <conditionalFormatting sqref="C471">
    <cfRule type="expression" dxfId="10045" priority="1813">
      <formula>B471=""</formula>
    </cfRule>
  </conditionalFormatting>
  <conditionalFormatting sqref="C452:C471">
    <cfRule type="expression" dxfId="10044" priority="1812">
      <formula>B452=""</formula>
    </cfRule>
  </conditionalFormatting>
  <conditionalFormatting sqref="C453 C455 C457 C459 C461 C463 C465 C467 C469 C471">
    <cfRule type="expression" dxfId="10043" priority="1811">
      <formula>B453=""</formula>
    </cfRule>
  </conditionalFormatting>
  <conditionalFormatting sqref="C454:C464">
    <cfRule type="expression" dxfId="10042" priority="1810">
      <formula>B454=""</formula>
    </cfRule>
  </conditionalFormatting>
  <conditionalFormatting sqref="C465">
    <cfRule type="expression" dxfId="10041" priority="1809">
      <formula>B465=""</formula>
    </cfRule>
  </conditionalFormatting>
  <conditionalFormatting sqref="C466">
    <cfRule type="expression" dxfId="10040" priority="1808">
      <formula>B466=""</formula>
    </cfRule>
  </conditionalFormatting>
  <conditionalFormatting sqref="C467">
    <cfRule type="expression" dxfId="10039" priority="1807">
      <formula>B467=""</formula>
    </cfRule>
  </conditionalFormatting>
  <conditionalFormatting sqref="C468">
    <cfRule type="expression" dxfId="10038" priority="1806">
      <formula>B468=""</formula>
    </cfRule>
  </conditionalFormatting>
  <conditionalFormatting sqref="C469">
    <cfRule type="expression" dxfId="10037" priority="1805">
      <formula>B469=""</formula>
    </cfRule>
  </conditionalFormatting>
  <conditionalFormatting sqref="C470">
    <cfRule type="expression" dxfId="10036" priority="1804">
      <formula>B470=""</formula>
    </cfRule>
  </conditionalFormatting>
  <conditionalFormatting sqref="C471">
    <cfRule type="expression" dxfId="10035" priority="1803">
      <formula>B471=""</formula>
    </cfRule>
  </conditionalFormatting>
  <conditionalFormatting sqref="C452:C471">
    <cfRule type="expression" dxfId="10034" priority="1802">
      <formula>B452=""</formula>
    </cfRule>
  </conditionalFormatting>
  <conditionalFormatting sqref="C453 C455 C457 C459 C461 C463 C465 C467 C469 C471">
    <cfRule type="expression" dxfId="10033" priority="1801">
      <formula>B453=""</formula>
    </cfRule>
  </conditionalFormatting>
  <conditionalFormatting sqref="C454:C464">
    <cfRule type="expression" dxfId="10032" priority="1800">
      <formula>B454=""</formula>
    </cfRule>
  </conditionalFormatting>
  <conditionalFormatting sqref="C465">
    <cfRule type="expression" dxfId="10031" priority="1799">
      <formula>B465=""</formula>
    </cfRule>
  </conditionalFormatting>
  <conditionalFormatting sqref="C466">
    <cfRule type="expression" dxfId="10030" priority="1798">
      <formula>B466=""</formula>
    </cfRule>
  </conditionalFormatting>
  <conditionalFormatting sqref="C467">
    <cfRule type="expression" dxfId="10029" priority="1797">
      <formula>B467=""</formula>
    </cfRule>
  </conditionalFormatting>
  <conditionalFormatting sqref="C468">
    <cfRule type="expression" dxfId="10028" priority="1796">
      <formula>B468=""</formula>
    </cfRule>
  </conditionalFormatting>
  <conditionalFormatting sqref="C469">
    <cfRule type="expression" dxfId="10027" priority="1795">
      <formula>B469=""</formula>
    </cfRule>
  </conditionalFormatting>
  <conditionalFormatting sqref="C470">
    <cfRule type="expression" dxfId="10026" priority="1794">
      <formula>B470=""</formula>
    </cfRule>
  </conditionalFormatting>
  <conditionalFormatting sqref="C471">
    <cfRule type="expression" dxfId="10025" priority="1793">
      <formula>B471=""</formula>
    </cfRule>
  </conditionalFormatting>
  <conditionalFormatting sqref="C452 C454 C456 C458 C460 C462 C464 C466 C468 C470">
    <cfRule type="expression" dxfId="10024" priority="1792">
      <formula>B452=""</formula>
    </cfRule>
  </conditionalFormatting>
  <conditionalFormatting sqref="C453 C455 C457 C459 C461 C463 C465 C467 C469 C471">
    <cfRule type="expression" dxfId="10023" priority="1791">
      <formula>B453=""</formula>
    </cfRule>
  </conditionalFormatting>
  <conditionalFormatting sqref="C454:C464">
    <cfRule type="expression" dxfId="10022" priority="1790">
      <formula>B454=""</formula>
    </cfRule>
  </conditionalFormatting>
  <conditionalFormatting sqref="C465">
    <cfRule type="expression" dxfId="10021" priority="1789">
      <formula>B465=""</formula>
    </cfRule>
  </conditionalFormatting>
  <conditionalFormatting sqref="C466">
    <cfRule type="expression" dxfId="10020" priority="1788">
      <formula>B466=""</formula>
    </cfRule>
  </conditionalFormatting>
  <conditionalFormatting sqref="C467">
    <cfRule type="expression" dxfId="10019" priority="1787">
      <formula>B467=""</formula>
    </cfRule>
  </conditionalFormatting>
  <conditionalFormatting sqref="C468">
    <cfRule type="expression" dxfId="10018" priority="1786">
      <formula>B468=""</formula>
    </cfRule>
  </conditionalFormatting>
  <conditionalFormatting sqref="C469">
    <cfRule type="expression" dxfId="10017" priority="1785">
      <formula>B469=""</formula>
    </cfRule>
  </conditionalFormatting>
  <conditionalFormatting sqref="C470">
    <cfRule type="expression" dxfId="10016" priority="1784">
      <formula>B470=""</formula>
    </cfRule>
  </conditionalFormatting>
  <conditionalFormatting sqref="C471">
    <cfRule type="expression" dxfId="10015" priority="1783">
      <formula>B471=""</formula>
    </cfRule>
  </conditionalFormatting>
  <conditionalFormatting sqref="C474:C493">
    <cfRule type="expression" dxfId="10014" priority="1782">
      <formula>B474=""</formula>
    </cfRule>
  </conditionalFormatting>
  <conditionalFormatting sqref="C475 C477 C479 C481 C483 C485 C487 C489 C491 C493">
    <cfRule type="expression" dxfId="10013" priority="1781">
      <formula>B475=""</formula>
    </cfRule>
  </conditionalFormatting>
  <conditionalFormatting sqref="C476:C486">
    <cfRule type="expression" dxfId="10012" priority="1780">
      <formula>B476=""</formula>
    </cfRule>
  </conditionalFormatting>
  <conditionalFormatting sqref="C487">
    <cfRule type="expression" dxfId="10011" priority="1779">
      <formula>B487=""</formula>
    </cfRule>
  </conditionalFormatting>
  <conditionalFormatting sqref="C488">
    <cfRule type="expression" dxfId="10010" priority="1778">
      <formula>B488=""</formula>
    </cfRule>
  </conditionalFormatting>
  <conditionalFormatting sqref="C489">
    <cfRule type="expression" dxfId="10009" priority="1777">
      <formula>B489=""</formula>
    </cfRule>
  </conditionalFormatting>
  <conditionalFormatting sqref="C490">
    <cfRule type="expression" dxfId="10008" priority="1776">
      <formula>B490=""</formula>
    </cfRule>
  </conditionalFormatting>
  <conditionalFormatting sqref="C491">
    <cfRule type="expression" dxfId="10007" priority="1775">
      <formula>B491=""</formula>
    </cfRule>
  </conditionalFormatting>
  <conditionalFormatting sqref="C492">
    <cfRule type="expression" dxfId="10006" priority="1774">
      <formula>B492=""</formula>
    </cfRule>
  </conditionalFormatting>
  <conditionalFormatting sqref="C493">
    <cfRule type="expression" dxfId="10005" priority="1773">
      <formula>B493=""</formula>
    </cfRule>
  </conditionalFormatting>
  <conditionalFormatting sqref="C493">
    <cfRule type="expression" dxfId="10004" priority="1772">
      <formula>B493=""</formula>
    </cfRule>
  </conditionalFormatting>
  <conditionalFormatting sqref="C474:C493">
    <cfRule type="expression" dxfId="10003" priority="1771">
      <formula>B474=""</formula>
    </cfRule>
  </conditionalFormatting>
  <conditionalFormatting sqref="C475 C477 C479 C481 C483 C485 C487 C489 C491 C493">
    <cfRule type="expression" dxfId="10002" priority="1770">
      <formula>B475=""</formula>
    </cfRule>
  </conditionalFormatting>
  <conditionalFormatting sqref="C476:C486">
    <cfRule type="expression" dxfId="10001" priority="1769">
      <formula>B476=""</formula>
    </cfRule>
  </conditionalFormatting>
  <conditionalFormatting sqref="C487">
    <cfRule type="expression" dxfId="10000" priority="1768">
      <formula>B487=""</formula>
    </cfRule>
  </conditionalFormatting>
  <conditionalFormatting sqref="C488">
    <cfRule type="expression" dxfId="9999" priority="1767">
      <formula>B488=""</formula>
    </cfRule>
  </conditionalFormatting>
  <conditionalFormatting sqref="C489">
    <cfRule type="expression" dxfId="9998" priority="1766">
      <formula>B489=""</formula>
    </cfRule>
  </conditionalFormatting>
  <conditionalFormatting sqref="C490">
    <cfRule type="expression" dxfId="9997" priority="1765">
      <formula>B490=""</formula>
    </cfRule>
  </conditionalFormatting>
  <conditionalFormatting sqref="C491">
    <cfRule type="expression" dxfId="9996" priority="1764">
      <formula>B491=""</formula>
    </cfRule>
  </conditionalFormatting>
  <conditionalFormatting sqref="C492">
    <cfRule type="expression" dxfId="9995" priority="1763">
      <formula>B492=""</formula>
    </cfRule>
  </conditionalFormatting>
  <conditionalFormatting sqref="C493">
    <cfRule type="expression" dxfId="9994" priority="1762">
      <formula>B493=""</formula>
    </cfRule>
  </conditionalFormatting>
  <conditionalFormatting sqref="C474:C493">
    <cfRule type="expression" dxfId="9993" priority="1761">
      <formula>B474=""</formula>
    </cfRule>
  </conditionalFormatting>
  <conditionalFormatting sqref="C475 C477 C479 C481 C483 C485 C487 C489 C491 C493">
    <cfRule type="expression" dxfId="9992" priority="1760">
      <formula>B475=""</formula>
    </cfRule>
  </conditionalFormatting>
  <conditionalFormatting sqref="C476:C486">
    <cfRule type="expression" dxfId="9991" priority="1759">
      <formula>B476=""</formula>
    </cfRule>
  </conditionalFormatting>
  <conditionalFormatting sqref="C487">
    <cfRule type="expression" dxfId="9990" priority="1758">
      <formula>B487=""</formula>
    </cfRule>
  </conditionalFormatting>
  <conditionalFormatting sqref="C488">
    <cfRule type="expression" dxfId="9989" priority="1757">
      <formula>B488=""</formula>
    </cfRule>
  </conditionalFormatting>
  <conditionalFormatting sqref="C489">
    <cfRule type="expression" dxfId="9988" priority="1756">
      <formula>B489=""</formula>
    </cfRule>
  </conditionalFormatting>
  <conditionalFormatting sqref="C490">
    <cfRule type="expression" dxfId="9987" priority="1755">
      <formula>B490=""</formula>
    </cfRule>
  </conditionalFormatting>
  <conditionalFormatting sqref="C491">
    <cfRule type="expression" dxfId="9986" priority="1754">
      <formula>B491=""</formula>
    </cfRule>
  </conditionalFormatting>
  <conditionalFormatting sqref="C492">
    <cfRule type="expression" dxfId="9985" priority="1753">
      <formula>B492=""</formula>
    </cfRule>
  </conditionalFormatting>
  <conditionalFormatting sqref="C493">
    <cfRule type="expression" dxfId="9984" priority="1752">
      <formula>B493=""</formula>
    </cfRule>
  </conditionalFormatting>
  <conditionalFormatting sqref="C493">
    <cfRule type="expression" dxfId="9983" priority="1751">
      <formula>B493=""</formula>
    </cfRule>
  </conditionalFormatting>
  <conditionalFormatting sqref="C474:C493">
    <cfRule type="expression" dxfId="9982" priority="1750">
      <formula>B474=""</formula>
    </cfRule>
  </conditionalFormatting>
  <conditionalFormatting sqref="C475 C477 C479 C481 C483 C485 C487 C489 C491 C493">
    <cfRule type="expression" dxfId="9981" priority="1749">
      <formula>B475=""</formula>
    </cfRule>
  </conditionalFormatting>
  <conditionalFormatting sqref="C476:C486">
    <cfRule type="expression" dxfId="9980" priority="1748">
      <formula>B476=""</formula>
    </cfRule>
  </conditionalFormatting>
  <conditionalFormatting sqref="C487">
    <cfRule type="expression" dxfId="9979" priority="1747">
      <formula>B487=""</formula>
    </cfRule>
  </conditionalFormatting>
  <conditionalFormatting sqref="C488">
    <cfRule type="expression" dxfId="9978" priority="1746">
      <formula>B488=""</formula>
    </cfRule>
  </conditionalFormatting>
  <conditionalFormatting sqref="C489">
    <cfRule type="expression" dxfId="9977" priority="1745">
      <formula>B489=""</formula>
    </cfRule>
  </conditionalFormatting>
  <conditionalFormatting sqref="C490">
    <cfRule type="expression" dxfId="9976" priority="1744">
      <formula>B490=""</formula>
    </cfRule>
  </conditionalFormatting>
  <conditionalFormatting sqref="C491">
    <cfRule type="expression" dxfId="9975" priority="1743">
      <formula>B491=""</formula>
    </cfRule>
  </conditionalFormatting>
  <conditionalFormatting sqref="C492">
    <cfRule type="expression" dxfId="9974" priority="1742">
      <formula>B492=""</formula>
    </cfRule>
  </conditionalFormatting>
  <conditionalFormatting sqref="C493">
    <cfRule type="expression" dxfId="9973" priority="1741">
      <formula>B493=""</formula>
    </cfRule>
  </conditionalFormatting>
  <conditionalFormatting sqref="C474:C493">
    <cfRule type="expression" dxfId="9972" priority="1740">
      <formula>B474=""</formula>
    </cfRule>
  </conditionalFormatting>
  <conditionalFormatting sqref="C475 C477 C479 C481 C483 C485 C487 C489 C491 C493">
    <cfRule type="expression" dxfId="9971" priority="1739">
      <formula>B475=""</formula>
    </cfRule>
  </conditionalFormatting>
  <conditionalFormatting sqref="C476:C486">
    <cfRule type="expression" dxfId="9970" priority="1738">
      <formula>B476=""</formula>
    </cfRule>
  </conditionalFormatting>
  <conditionalFormatting sqref="C487">
    <cfRule type="expression" dxfId="9969" priority="1737">
      <formula>B487=""</formula>
    </cfRule>
  </conditionalFormatting>
  <conditionalFormatting sqref="C488">
    <cfRule type="expression" dxfId="9968" priority="1736">
      <formula>B488=""</formula>
    </cfRule>
  </conditionalFormatting>
  <conditionalFormatting sqref="C489">
    <cfRule type="expression" dxfId="9967" priority="1735">
      <formula>B489=""</formula>
    </cfRule>
  </conditionalFormatting>
  <conditionalFormatting sqref="C490">
    <cfRule type="expression" dxfId="9966" priority="1734">
      <formula>B490=""</formula>
    </cfRule>
  </conditionalFormatting>
  <conditionalFormatting sqref="C491">
    <cfRule type="expression" dxfId="9965" priority="1733">
      <formula>B491=""</formula>
    </cfRule>
  </conditionalFormatting>
  <conditionalFormatting sqref="C492">
    <cfRule type="expression" dxfId="9964" priority="1732">
      <formula>B492=""</formula>
    </cfRule>
  </conditionalFormatting>
  <conditionalFormatting sqref="C493">
    <cfRule type="expression" dxfId="9963" priority="1731">
      <formula>B493=""</formula>
    </cfRule>
  </conditionalFormatting>
  <conditionalFormatting sqref="C474:C493">
    <cfRule type="expression" dxfId="9962" priority="1730">
      <formula>B474=""</formula>
    </cfRule>
  </conditionalFormatting>
  <conditionalFormatting sqref="C475 C477 C479 C481 C483 C485 C487 C489 C491 C493">
    <cfRule type="expression" dxfId="9961" priority="1729">
      <formula>B475=""</formula>
    </cfRule>
  </conditionalFormatting>
  <conditionalFormatting sqref="C476:C486">
    <cfRule type="expression" dxfId="9960" priority="1728">
      <formula>B476=""</formula>
    </cfRule>
  </conditionalFormatting>
  <conditionalFormatting sqref="C487">
    <cfRule type="expression" dxfId="9959" priority="1727">
      <formula>B487=""</formula>
    </cfRule>
  </conditionalFormatting>
  <conditionalFormatting sqref="C488">
    <cfRule type="expression" dxfId="9958" priority="1726">
      <formula>B488=""</formula>
    </cfRule>
  </conditionalFormatting>
  <conditionalFormatting sqref="C489">
    <cfRule type="expression" dxfId="9957" priority="1725">
      <formula>B489=""</formula>
    </cfRule>
  </conditionalFormatting>
  <conditionalFormatting sqref="C490">
    <cfRule type="expression" dxfId="9956" priority="1724">
      <formula>B490=""</formula>
    </cfRule>
  </conditionalFormatting>
  <conditionalFormatting sqref="C491">
    <cfRule type="expression" dxfId="9955" priority="1723">
      <formula>B491=""</formula>
    </cfRule>
  </conditionalFormatting>
  <conditionalFormatting sqref="C492">
    <cfRule type="expression" dxfId="9954" priority="1722">
      <formula>B492=""</formula>
    </cfRule>
  </conditionalFormatting>
  <conditionalFormatting sqref="C493">
    <cfRule type="expression" dxfId="9953" priority="1721">
      <formula>B493=""</formula>
    </cfRule>
  </conditionalFormatting>
  <conditionalFormatting sqref="C474 C476 C478 C480 C482 C484 C486 C488 C490 C492">
    <cfRule type="expression" dxfId="9952" priority="1720">
      <formula>B474=""</formula>
    </cfRule>
  </conditionalFormatting>
  <conditionalFormatting sqref="C475 C477 C479 C481 C483 C485 C487 C489 C491 C493">
    <cfRule type="expression" dxfId="9951" priority="1719">
      <formula>B475=""</formula>
    </cfRule>
  </conditionalFormatting>
  <conditionalFormatting sqref="C476:C486">
    <cfRule type="expression" dxfId="9950" priority="1718">
      <formula>B476=""</formula>
    </cfRule>
  </conditionalFormatting>
  <conditionalFormatting sqref="C487">
    <cfRule type="expression" dxfId="9949" priority="1717">
      <formula>B487=""</formula>
    </cfRule>
  </conditionalFormatting>
  <conditionalFormatting sqref="C488">
    <cfRule type="expression" dxfId="9948" priority="1716">
      <formula>B488=""</formula>
    </cfRule>
  </conditionalFormatting>
  <conditionalFormatting sqref="C489">
    <cfRule type="expression" dxfId="9947" priority="1715">
      <formula>B489=""</formula>
    </cfRule>
  </conditionalFormatting>
  <conditionalFormatting sqref="C490">
    <cfRule type="expression" dxfId="9946" priority="1714">
      <formula>B490=""</formula>
    </cfRule>
  </conditionalFormatting>
  <conditionalFormatting sqref="C491">
    <cfRule type="expression" dxfId="9945" priority="1713">
      <formula>B491=""</formula>
    </cfRule>
  </conditionalFormatting>
  <conditionalFormatting sqref="C492">
    <cfRule type="expression" dxfId="9944" priority="1712">
      <formula>B492=""</formula>
    </cfRule>
  </conditionalFormatting>
  <conditionalFormatting sqref="C493">
    <cfRule type="expression" dxfId="9943" priority="1711">
      <formula>B493=""</formula>
    </cfRule>
  </conditionalFormatting>
  <conditionalFormatting sqref="E52:E72">
    <cfRule type="expression" dxfId="9942" priority="1710">
      <formula>B52=""</formula>
    </cfRule>
  </conditionalFormatting>
  <conditionalFormatting sqref="E52:E72">
    <cfRule type="expression" dxfId="9941" priority="1709">
      <formula>B52=""</formula>
    </cfRule>
  </conditionalFormatting>
  <conditionalFormatting sqref="E52:E72">
    <cfRule type="expression" dxfId="9940" priority="1708">
      <formula>B52=""</formula>
    </cfRule>
  </conditionalFormatting>
  <conditionalFormatting sqref="E74:E94">
    <cfRule type="expression" dxfId="9939" priority="1707">
      <formula>B74=""</formula>
    </cfRule>
  </conditionalFormatting>
  <conditionalFormatting sqref="E75 E77 E79 E81 E83 E85 E87 E89 E91 E93">
    <cfRule type="expression" dxfId="9938" priority="1706">
      <formula>B75=""</formula>
    </cfRule>
  </conditionalFormatting>
  <conditionalFormatting sqref="E76 E78 E80 E82 E84 E86 E88 E90 E92">
    <cfRule type="expression" dxfId="9937" priority="1705">
      <formula>B76=""</formula>
    </cfRule>
  </conditionalFormatting>
  <conditionalFormatting sqref="E77:E87">
    <cfRule type="expression" dxfId="9936" priority="1704">
      <formula>B77=""</formula>
    </cfRule>
  </conditionalFormatting>
  <conditionalFormatting sqref="E88">
    <cfRule type="expression" dxfId="9935" priority="1703">
      <formula>B88=""</formula>
    </cfRule>
  </conditionalFormatting>
  <conditionalFormatting sqref="E89">
    <cfRule type="expression" dxfId="9934" priority="1702">
      <formula>B89=""</formula>
    </cfRule>
  </conditionalFormatting>
  <conditionalFormatting sqref="E90">
    <cfRule type="expression" dxfId="9933" priority="1701">
      <formula>B90=""</formula>
    </cfRule>
  </conditionalFormatting>
  <conditionalFormatting sqref="E91">
    <cfRule type="expression" dxfId="9932" priority="1700">
      <formula>B91=""</formula>
    </cfRule>
  </conditionalFormatting>
  <conditionalFormatting sqref="E92">
    <cfRule type="expression" dxfId="9931" priority="1699">
      <formula>B92=""</formula>
    </cfRule>
  </conditionalFormatting>
  <conditionalFormatting sqref="E93">
    <cfRule type="expression" dxfId="9930" priority="1698">
      <formula>B93=""</formula>
    </cfRule>
  </conditionalFormatting>
  <conditionalFormatting sqref="E94">
    <cfRule type="expression" dxfId="9929" priority="1697">
      <formula>B94=""</formula>
    </cfRule>
  </conditionalFormatting>
  <conditionalFormatting sqref="E75 E77 E79 E81 E83 E85 E87 E89 E91 E93">
    <cfRule type="expression" dxfId="9928" priority="1696">
      <formula>B75=""</formula>
    </cfRule>
  </conditionalFormatting>
  <conditionalFormatting sqref="E76 E78 E80 E82 E84 E86 E88 E90 E92">
    <cfRule type="expression" dxfId="9927" priority="1695">
      <formula>B76=""</formula>
    </cfRule>
  </conditionalFormatting>
  <conditionalFormatting sqref="E77:E87">
    <cfRule type="expression" dxfId="9926" priority="1694">
      <formula>B77=""</formula>
    </cfRule>
  </conditionalFormatting>
  <conditionalFormatting sqref="E88">
    <cfRule type="expression" dxfId="9925" priority="1693">
      <formula>B88=""</formula>
    </cfRule>
  </conditionalFormatting>
  <conditionalFormatting sqref="E89">
    <cfRule type="expression" dxfId="9924" priority="1692">
      <formula>B89=""</formula>
    </cfRule>
  </conditionalFormatting>
  <conditionalFormatting sqref="E90">
    <cfRule type="expression" dxfId="9923" priority="1691">
      <formula>B90=""</formula>
    </cfRule>
  </conditionalFormatting>
  <conditionalFormatting sqref="E91">
    <cfRule type="expression" dxfId="9922" priority="1690">
      <formula>B91=""</formula>
    </cfRule>
  </conditionalFormatting>
  <conditionalFormatting sqref="E92">
    <cfRule type="expression" dxfId="9921" priority="1689">
      <formula>B92=""</formula>
    </cfRule>
  </conditionalFormatting>
  <conditionalFormatting sqref="E93">
    <cfRule type="expression" dxfId="9920" priority="1688">
      <formula>B93=""</formula>
    </cfRule>
  </conditionalFormatting>
  <conditionalFormatting sqref="E94">
    <cfRule type="expression" dxfId="9919" priority="1687">
      <formula>B94=""</formula>
    </cfRule>
  </conditionalFormatting>
  <conditionalFormatting sqref="E74:E94">
    <cfRule type="expression" dxfId="9918" priority="1686">
      <formula>B74=""</formula>
    </cfRule>
  </conditionalFormatting>
  <conditionalFormatting sqref="E74:E94">
    <cfRule type="expression" dxfId="9917" priority="1685">
      <formula>B74=""</formula>
    </cfRule>
  </conditionalFormatting>
  <conditionalFormatting sqref="E74:E94">
    <cfRule type="expression" dxfId="9916" priority="1684">
      <formula>B74=""</formula>
    </cfRule>
  </conditionalFormatting>
  <conditionalFormatting sqref="E108">
    <cfRule type="expression" dxfId="9915" priority="1683">
      <formula>B108=""</formula>
    </cfRule>
  </conditionalFormatting>
  <conditionalFormatting sqref="E109 E111 E113 E115 E117 E119 E121 E123 E125 E127">
    <cfRule type="expression" dxfId="9914" priority="1682">
      <formula>B109=""</formula>
    </cfRule>
  </conditionalFormatting>
  <conditionalFormatting sqref="E122">
    <cfRule type="expression" dxfId="9913" priority="1679">
      <formula>B122=""</formula>
    </cfRule>
  </conditionalFormatting>
  <conditionalFormatting sqref="E123">
    <cfRule type="expression" dxfId="9912" priority="1678">
      <formula>B123=""</formula>
    </cfRule>
  </conditionalFormatting>
  <conditionalFormatting sqref="E124">
    <cfRule type="expression" dxfId="9911" priority="1677">
      <formula>B124=""</formula>
    </cfRule>
  </conditionalFormatting>
  <conditionalFormatting sqref="E125">
    <cfRule type="expression" dxfId="9910" priority="1676">
      <formula>B125=""</formula>
    </cfRule>
  </conditionalFormatting>
  <conditionalFormatting sqref="E126">
    <cfRule type="expression" dxfId="9909" priority="1675">
      <formula>B126=""</formula>
    </cfRule>
  </conditionalFormatting>
  <conditionalFormatting sqref="E127:E128">
    <cfRule type="expression" dxfId="9908" priority="1674">
      <formula>B127=""</formula>
    </cfRule>
  </conditionalFormatting>
  <conditionalFormatting sqref="E128">
    <cfRule type="expression" dxfId="9907" priority="1673">
      <formula>B128=""</formula>
    </cfRule>
  </conditionalFormatting>
  <conditionalFormatting sqref="E109 E111 E113 E115 E117 E119 E121 E123 E125 E127">
    <cfRule type="expression" dxfId="9906" priority="1672">
      <formula>B109=""</formula>
    </cfRule>
  </conditionalFormatting>
  <conditionalFormatting sqref="E122">
    <cfRule type="expression" dxfId="9905" priority="1669">
      <formula>B122=""</formula>
    </cfRule>
  </conditionalFormatting>
  <conditionalFormatting sqref="E123">
    <cfRule type="expression" dxfId="9904" priority="1668">
      <formula>B123=""</formula>
    </cfRule>
  </conditionalFormatting>
  <conditionalFormatting sqref="E124">
    <cfRule type="expression" dxfId="9903" priority="1667">
      <formula>B124=""</formula>
    </cfRule>
  </conditionalFormatting>
  <conditionalFormatting sqref="E125">
    <cfRule type="expression" dxfId="9902" priority="1666">
      <formula>B125=""</formula>
    </cfRule>
  </conditionalFormatting>
  <conditionalFormatting sqref="E126">
    <cfRule type="expression" dxfId="9901" priority="1665">
      <formula>B126=""</formula>
    </cfRule>
  </conditionalFormatting>
  <conditionalFormatting sqref="E127:E128">
    <cfRule type="expression" dxfId="9900" priority="1664">
      <formula>B127=""</formula>
    </cfRule>
  </conditionalFormatting>
  <conditionalFormatting sqref="E128">
    <cfRule type="expression" dxfId="9899" priority="1663">
      <formula>B128=""</formula>
    </cfRule>
  </conditionalFormatting>
  <conditionalFormatting sqref="E130 E132 E134 E136 E138 E140 E142 E144 E146 E148">
    <cfRule type="expression" dxfId="9898" priority="1662">
      <formula>B130=""</formula>
    </cfRule>
  </conditionalFormatting>
  <conditionalFormatting sqref="E131 E133 E135 E137 E139 E141 E143 E145 E147 E149">
    <cfRule type="expression" dxfId="9897" priority="1661">
      <formula>B131=""</formula>
    </cfRule>
  </conditionalFormatting>
  <conditionalFormatting sqref="E132:E142">
    <cfRule type="expression" dxfId="9896" priority="1660">
      <formula>B132=""</formula>
    </cfRule>
  </conditionalFormatting>
  <conditionalFormatting sqref="E143">
    <cfRule type="expression" dxfId="9895" priority="1659">
      <formula>B143=""</formula>
    </cfRule>
  </conditionalFormatting>
  <conditionalFormatting sqref="E144">
    <cfRule type="expression" dxfId="9894" priority="1658">
      <formula>B144=""</formula>
    </cfRule>
  </conditionalFormatting>
  <conditionalFormatting sqref="E145">
    <cfRule type="expression" dxfId="9893" priority="1657">
      <formula>B145=""</formula>
    </cfRule>
  </conditionalFormatting>
  <conditionalFormatting sqref="E146">
    <cfRule type="expression" dxfId="9892" priority="1656">
      <formula>B146=""</formula>
    </cfRule>
  </conditionalFormatting>
  <conditionalFormatting sqref="E147">
    <cfRule type="expression" dxfId="9891" priority="1655">
      <formula>B147=""</formula>
    </cfRule>
  </conditionalFormatting>
  <conditionalFormatting sqref="E148">
    <cfRule type="expression" dxfId="9890" priority="1654">
      <formula>B148=""</formula>
    </cfRule>
  </conditionalFormatting>
  <conditionalFormatting sqref="E149:E150">
    <cfRule type="expression" dxfId="9889" priority="1653">
      <formula>B149=""</formula>
    </cfRule>
  </conditionalFormatting>
  <conditionalFormatting sqref="E150">
    <cfRule type="expression" dxfId="9888" priority="1652">
      <formula>B150=""</formula>
    </cfRule>
  </conditionalFormatting>
  <conditionalFormatting sqref="E131 E133 E135 E137 E139 E141 E143 E145 E147 E149">
    <cfRule type="expression" dxfId="9887" priority="1651">
      <formula>B131=""</formula>
    </cfRule>
  </conditionalFormatting>
  <conditionalFormatting sqref="E132:E142">
    <cfRule type="expression" dxfId="9886" priority="1650">
      <formula>B132=""</formula>
    </cfRule>
  </conditionalFormatting>
  <conditionalFormatting sqref="E143">
    <cfRule type="expression" dxfId="9885" priority="1649">
      <formula>B143=""</formula>
    </cfRule>
  </conditionalFormatting>
  <conditionalFormatting sqref="E144">
    <cfRule type="expression" dxfId="9884" priority="1648">
      <formula>B144=""</formula>
    </cfRule>
  </conditionalFormatting>
  <conditionalFormatting sqref="E145">
    <cfRule type="expression" dxfId="9883" priority="1647">
      <formula>B145=""</formula>
    </cfRule>
  </conditionalFormatting>
  <conditionalFormatting sqref="E146">
    <cfRule type="expression" dxfId="9882" priority="1646">
      <formula>B146=""</formula>
    </cfRule>
  </conditionalFormatting>
  <conditionalFormatting sqref="E147">
    <cfRule type="expression" dxfId="9881" priority="1645">
      <formula>B147=""</formula>
    </cfRule>
  </conditionalFormatting>
  <conditionalFormatting sqref="E148">
    <cfRule type="expression" dxfId="9880" priority="1644">
      <formula>B148=""</formula>
    </cfRule>
  </conditionalFormatting>
  <conditionalFormatting sqref="E149:E150">
    <cfRule type="expression" dxfId="9879" priority="1643">
      <formula>B149=""</formula>
    </cfRule>
  </conditionalFormatting>
  <conditionalFormatting sqref="E150">
    <cfRule type="expression" dxfId="9878" priority="1642">
      <formula>B150=""</formula>
    </cfRule>
  </conditionalFormatting>
  <conditionalFormatting sqref="E152:E172">
    <cfRule type="expression" dxfId="9877" priority="1641">
      <formula>B152=""</formula>
    </cfRule>
  </conditionalFormatting>
  <conditionalFormatting sqref="E153 E155 E157 E159 E161 E163 E165 E167 E169">
    <cfRule type="expression" dxfId="9876" priority="1640">
      <formula>B153=""</formula>
    </cfRule>
  </conditionalFormatting>
  <conditionalFormatting sqref="E154:E164">
    <cfRule type="expression" dxfId="9875" priority="1639">
      <formula>B154=""</formula>
    </cfRule>
  </conditionalFormatting>
  <conditionalFormatting sqref="E165">
    <cfRule type="expression" dxfId="9874" priority="1638">
      <formula>B165=""</formula>
    </cfRule>
  </conditionalFormatting>
  <conditionalFormatting sqref="E166">
    <cfRule type="expression" dxfId="9873" priority="1637">
      <formula>B166=""</formula>
    </cfRule>
  </conditionalFormatting>
  <conditionalFormatting sqref="E167">
    <cfRule type="expression" dxfId="9872" priority="1636">
      <formula>B167=""</formula>
    </cfRule>
  </conditionalFormatting>
  <conditionalFormatting sqref="E168">
    <cfRule type="expression" dxfId="9871" priority="1635">
      <formula>B168=""</formula>
    </cfRule>
  </conditionalFormatting>
  <conditionalFormatting sqref="E169">
    <cfRule type="expression" dxfId="9870" priority="1634">
      <formula>B169=""</formula>
    </cfRule>
  </conditionalFormatting>
  <conditionalFormatting sqref="E170">
    <cfRule type="expression" dxfId="9869" priority="1633">
      <formula>B170=""</formula>
    </cfRule>
  </conditionalFormatting>
  <conditionalFormatting sqref="E171">
    <cfRule type="expression" dxfId="9868" priority="1632">
      <formula>B171=""</formula>
    </cfRule>
  </conditionalFormatting>
  <conditionalFormatting sqref="E172">
    <cfRule type="expression" dxfId="9867" priority="1631">
      <formula>B172=""</formula>
    </cfRule>
  </conditionalFormatting>
  <conditionalFormatting sqref="E153 E155 E157 E159 E161 E163 E165 E167 E169">
    <cfRule type="expression" dxfId="9866" priority="1630">
      <formula>B153=""</formula>
    </cfRule>
  </conditionalFormatting>
  <conditionalFormatting sqref="E154:E164">
    <cfRule type="expression" dxfId="9865" priority="1629">
      <formula>B154=""</formula>
    </cfRule>
  </conditionalFormatting>
  <conditionalFormatting sqref="E165">
    <cfRule type="expression" dxfId="9864" priority="1628">
      <formula>B165=""</formula>
    </cfRule>
  </conditionalFormatting>
  <conditionalFormatting sqref="E166">
    <cfRule type="expression" dxfId="9863" priority="1627">
      <formula>B166=""</formula>
    </cfRule>
  </conditionalFormatting>
  <conditionalFormatting sqref="E167">
    <cfRule type="expression" dxfId="9862" priority="1626">
      <formula>B167=""</formula>
    </cfRule>
  </conditionalFormatting>
  <conditionalFormatting sqref="E168">
    <cfRule type="expression" dxfId="9861" priority="1625">
      <formula>B168=""</formula>
    </cfRule>
  </conditionalFormatting>
  <conditionalFormatting sqref="E169">
    <cfRule type="expression" dxfId="9860" priority="1624">
      <formula>B169=""</formula>
    </cfRule>
  </conditionalFormatting>
  <conditionalFormatting sqref="E170">
    <cfRule type="expression" dxfId="9859" priority="1623">
      <formula>B170=""</formula>
    </cfRule>
  </conditionalFormatting>
  <conditionalFormatting sqref="E171">
    <cfRule type="expression" dxfId="9858" priority="1622">
      <formula>B171=""</formula>
    </cfRule>
  </conditionalFormatting>
  <conditionalFormatting sqref="E172">
    <cfRule type="expression" dxfId="9857" priority="1621">
      <formula>B172=""</formula>
    </cfRule>
  </conditionalFormatting>
  <conditionalFormatting sqref="E174 E176 E178 E180 E182 E184 E186 E188 E190 E192">
    <cfRule type="expression" dxfId="9856" priority="1620">
      <formula>B174=""</formula>
    </cfRule>
  </conditionalFormatting>
  <conditionalFormatting sqref="E175 E177 E179 E181 E183 E185 E187 E189 E191 E193">
    <cfRule type="expression" dxfId="9855" priority="1619">
      <formula>B175=""</formula>
    </cfRule>
  </conditionalFormatting>
  <conditionalFormatting sqref="E176:E186">
    <cfRule type="expression" dxfId="9854" priority="1618">
      <formula>B176=""</formula>
    </cfRule>
  </conditionalFormatting>
  <conditionalFormatting sqref="E187">
    <cfRule type="expression" dxfId="9853" priority="1617">
      <formula>B187=""</formula>
    </cfRule>
  </conditionalFormatting>
  <conditionalFormatting sqref="E188">
    <cfRule type="expression" dxfId="9852" priority="1616">
      <formula>B188=""</formula>
    </cfRule>
  </conditionalFormatting>
  <conditionalFormatting sqref="E189">
    <cfRule type="expression" dxfId="9851" priority="1615">
      <formula>B189=""</formula>
    </cfRule>
  </conditionalFormatting>
  <conditionalFormatting sqref="E190">
    <cfRule type="expression" dxfId="9850" priority="1614">
      <formula>B190=""</formula>
    </cfRule>
  </conditionalFormatting>
  <conditionalFormatting sqref="E191">
    <cfRule type="expression" dxfId="9849" priority="1613">
      <formula>B191=""</formula>
    </cfRule>
  </conditionalFormatting>
  <conditionalFormatting sqref="E192">
    <cfRule type="expression" dxfId="9848" priority="1612">
      <formula>B192=""</formula>
    </cfRule>
  </conditionalFormatting>
  <conditionalFormatting sqref="E193">
    <cfRule type="expression" dxfId="9847" priority="1611">
      <formula>B193=""</formula>
    </cfRule>
  </conditionalFormatting>
  <conditionalFormatting sqref="E194">
    <cfRule type="expression" dxfId="9846" priority="1610">
      <formula>B194=""</formula>
    </cfRule>
  </conditionalFormatting>
  <conditionalFormatting sqref="E175 E177 E179 E181 E183 E185 E187 E189 E191 E193">
    <cfRule type="expression" dxfId="9845" priority="1609">
      <formula>B175=""</formula>
    </cfRule>
  </conditionalFormatting>
  <conditionalFormatting sqref="E176:E186">
    <cfRule type="expression" dxfId="9844" priority="1608">
      <formula>B176=""</formula>
    </cfRule>
  </conditionalFormatting>
  <conditionalFormatting sqref="E187">
    <cfRule type="expression" dxfId="9843" priority="1607">
      <formula>B187=""</formula>
    </cfRule>
  </conditionalFormatting>
  <conditionalFormatting sqref="E188">
    <cfRule type="expression" dxfId="9842" priority="1606">
      <formula>B188=""</formula>
    </cfRule>
  </conditionalFormatting>
  <conditionalFormatting sqref="E189">
    <cfRule type="expression" dxfId="9841" priority="1605">
      <formula>B189=""</formula>
    </cfRule>
  </conditionalFormatting>
  <conditionalFormatting sqref="E190">
    <cfRule type="expression" dxfId="9840" priority="1604">
      <formula>B190=""</formula>
    </cfRule>
  </conditionalFormatting>
  <conditionalFormatting sqref="E191">
    <cfRule type="expression" dxfId="9839" priority="1603">
      <formula>B191=""</formula>
    </cfRule>
  </conditionalFormatting>
  <conditionalFormatting sqref="E192">
    <cfRule type="expression" dxfId="9838" priority="1602">
      <formula>B192=""</formula>
    </cfRule>
  </conditionalFormatting>
  <conditionalFormatting sqref="E193">
    <cfRule type="expression" dxfId="9837" priority="1601">
      <formula>B193=""</formula>
    </cfRule>
  </conditionalFormatting>
  <conditionalFormatting sqref="E194">
    <cfRule type="expression" dxfId="9836" priority="1600">
      <formula>B194=""</formula>
    </cfRule>
  </conditionalFormatting>
  <conditionalFormatting sqref="E109 E111 E113 E115 E117 E119 E121 E123 E125 E127">
    <cfRule type="expression" dxfId="9835" priority="1598">
      <formula>B109=""</formula>
    </cfRule>
  </conditionalFormatting>
  <conditionalFormatting sqref="E122">
    <cfRule type="expression" dxfId="9834" priority="1595">
      <formula>B122=""</formula>
    </cfRule>
  </conditionalFormatting>
  <conditionalFormatting sqref="E123">
    <cfRule type="expression" dxfId="9833" priority="1594">
      <formula>B123=""</formula>
    </cfRule>
  </conditionalFormatting>
  <conditionalFormatting sqref="E124">
    <cfRule type="expression" dxfId="9832" priority="1593">
      <formula>B124=""</formula>
    </cfRule>
  </conditionalFormatting>
  <conditionalFormatting sqref="E125">
    <cfRule type="expression" dxfId="9831" priority="1592">
      <formula>B125=""</formula>
    </cfRule>
  </conditionalFormatting>
  <conditionalFormatting sqref="E126">
    <cfRule type="expression" dxfId="9830" priority="1591">
      <formula>B126=""</formula>
    </cfRule>
  </conditionalFormatting>
  <conditionalFormatting sqref="E127:E128">
    <cfRule type="expression" dxfId="9829" priority="1590">
      <formula>B127=""</formula>
    </cfRule>
  </conditionalFormatting>
  <conditionalFormatting sqref="E109 E111 E113 E115 E117 E119 E121 E123 E125 E127">
    <cfRule type="expression" dxfId="9828" priority="1589">
      <formula>B109=""</formula>
    </cfRule>
  </conditionalFormatting>
  <conditionalFormatting sqref="E122">
    <cfRule type="expression" dxfId="9827" priority="1586">
      <formula>B122=""</formula>
    </cfRule>
  </conditionalFormatting>
  <conditionalFormatting sqref="E123">
    <cfRule type="expression" dxfId="9826" priority="1585">
      <formula>B123=""</formula>
    </cfRule>
  </conditionalFormatting>
  <conditionalFormatting sqref="E124">
    <cfRule type="expression" dxfId="9825" priority="1584">
      <formula>B124=""</formula>
    </cfRule>
  </conditionalFormatting>
  <conditionalFormatting sqref="E125">
    <cfRule type="expression" dxfId="9824" priority="1583">
      <formula>B125=""</formula>
    </cfRule>
  </conditionalFormatting>
  <conditionalFormatting sqref="E126">
    <cfRule type="expression" dxfId="9823" priority="1582">
      <formula>B126=""</formula>
    </cfRule>
  </conditionalFormatting>
  <conditionalFormatting sqref="E127:E128">
    <cfRule type="expression" dxfId="9822" priority="1581">
      <formula>B127=""</formula>
    </cfRule>
  </conditionalFormatting>
  <conditionalFormatting sqref="E130 E132 E134 E136 E138 E140 E142 E144 E146 E148">
    <cfRule type="expression" dxfId="9821" priority="1580">
      <formula>B130=""</formula>
    </cfRule>
  </conditionalFormatting>
  <conditionalFormatting sqref="E131 E133 E135 E137 E139 E141 E143 E145 E147 E149">
    <cfRule type="expression" dxfId="9820" priority="1579">
      <formula>B131=""</formula>
    </cfRule>
  </conditionalFormatting>
  <conditionalFormatting sqref="E132:E142">
    <cfRule type="expression" dxfId="9819" priority="1578">
      <formula>B132=""</formula>
    </cfRule>
  </conditionalFormatting>
  <conditionalFormatting sqref="E143">
    <cfRule type="expression" dxfId="9818" priority="1577">
      <formula>B143=""</formula>
    </cfRule>
  </conditionalFormatting>
  <conditionalFormatting sqref="E144">
    <cfRule type="expression" dxfId="9817" priority="1576">
      <formula>B144=""</formula>
    </cfRule>
  </conditionalFormatting>
  <conditionalFormatting sqref="E145">
    <cfRule type="expression" dxfId="9816" priority="1575">
      <formula>B145=""</formula>
    </cfRule>
  </conditionalFormatting>
  <conditionalFormatting sqref="E146">
    <cfRule type="expression" dxfId="9815" priority="1574">
      <formula>B146=""</formula>
    </cfRule>
  </conditionalFormatting>
  <conditionalFormatting sqref="E147">
    <cfRule type="expression" dxfId="9814" priority="1573">
      <formula>B147=""</formula>
    </cfRule>
  </conditionalFormatting>
  <conditionalFormatting sqref="E148">
    <cfRule type="expression" dxfId="9813" priority="1572">
      <formula>B148=""</formula>
    </cfRule>
  </conditionalFormatting>
  <conditionalFormatting sqref="E149:E150">
    <cfRule type="expression" dxfId="9812" priority="1571">
      <formula>B149=""</formula>
    </cfRule>
  </conditionalFormatting>
  <conditionalFormatting sqref="E131 E133 E135 E137 E139 E141 E143 E145 E147 E149">
    <cfRule type="expression" dxfId="9811" priority="1570">
      <formula>B131=""</formula>
    </cfRule>
  </conditionalFormatting>
  <conditionalFormatting sqref="E132:E142">
    <cfRule type="expression" dxfId="9810" priority="1569">
      <formula>B132=""</formula>
    </cfRule>
  </conditionalFormatting>
  <conditionalFormatting sqref="E143">
    <cfRule type="expression" dxfId="9809" priority="1568">
      <formula>B143=""</formula>
    </cfRule>
  </conditionalFormatting>
  <conditionalFormatting sqref="E144">
    <cfRule type="expression" dxfId="9808" priority="1567">
      <formula>B144=""</formula>
    </cfRule>
  </conditionalFormatting>
  <conditionalFormatting sqref="E145">
    <cfRule type="expression" dxfId="9807" priority="1566">
      <formula>B145=""</formula>
    </cfRule>
  </conditionalFormatting>
  <conditionalFormatting sqref="E146">
    <cfRule type="expression" dxfId="9806" priority="1565">
      <formula>B146=""</formula>
    </cfRule>
  </conditionalFormatting>
  <conditionalFormatting sqref="E147">
    <cfRule type="expression" dxfId="9805" priority="1564">
      <formula>B147=""</formula>
    </cfRule>
  </conditionalFormatting>
  <conditionalFormatting sqref="E148">
    <cfRule type="expression" dxfId="9804" priority="1563">
      <formula>B148=""</formula>
    </cfRule>
  </conditionalFormatting>
  <conditionalFormatting sqref="E149:E150">
    <cfRule type="expression" dxfId="9803" priority="1562">
      <formula>B149=""</formula>
    </cfRule>
  </conditionalFormatting>
  <conditionalFormatting sqref="E130:E150">
    <cfRule type="expression" dxfId="9802" priority="1561">
      <formula>B130=""</formula>
    </cfRule>
  </conditionalFormatting>
  <conditionalFormatting sqref="E131 E133 E135 E137 E139 E141 E143 E145 E147 E149">
    <cfRule type="expression" dxfId="9801" priority="1560">
      <formula>B131=""</formula>
    </cfRule>
  </conditionalFormatting>
  <conditionalFormatting sqref="E132:E142">
    <cfRule type="expression" dxfId="9800" priority="1559">
      <formula>B132=""</formula>
    </cfRule>
  </conditionalFormatting>
  <conditionalFormatting sqref="E143">
    <cfRule type="expression" dxfId="9799" priority="1558">
      <formula>B143=""</formula>
    </cfRule>
  </conditionalFormatting>
  <conditionalFormatting sqref="E144">
    <cfRule type="expression" dxfId="9798" priority="1557">
      <formula>B144=""</formula>
    </cfRule>
  </conditionalFormatting>
  <conditionalFormatting sqref="E145">
    <cfRule type="expression" dxfId="9797" priority="1556">
      <formula>B145=""</formula>
    </cfRule>
  </conditionalFormatting>
  <conditionalFormatting sqref="E146">
    <cfRule type="expression" dxfId="9796" priority="1555">
      <formula>B146=""</formula>
    </cfRule>
  </conditionalFormatting>
  <conditionalFormatting sqref="E147">
    <cfRule type="expression" dxfId="9795" priority="1554">
      <formula>B147=""</formula>
    </cfRule>
  </conditionalFormatting>
  <conditionalFormatting sqref="E148">
    <cfRule type="expression" dxfId="9794" priority="1553">
      <formula>B148=""</formula>
    </cfRule>
  </conditionalFormatting>
  <conditionalFormatting sqref="E149:E150">
    <cfRule type="expression" dxfId="9793" priority="1552">
      <formula>B149=""</formula>
    </cfRule>
  </conditionalFormatting>
  <conditionalFormatting sqref="E131 E133 E135 E137 E139 E141 E143 E145 E147 E149">
    <cfRule type="expression" dxfId="9792" priority="1551">
      <formula>B131=""</formula>
    </cfRule>
  </conditionalFormatting>
  <conditionalFormatting sqref="E132:E142">
    <cfRule type="expression" dxfId="9791" priority="1550">
      <formula>B132=""</formula>
    </cfRule>
  </conditionalFormatting>
  <conditionalFormatting sqref="E143">
    <cfRule type="expression" dxfId="9790" priority="1549">
      <formula>B143=""</formula>
    </cfRule>
  </conditionalFormatting>
  <conditionalFormatting sqref="E144">
    <cfRule type="expression" dxfId="9789" priority="1548">
      <formula>B144=""</formula>
    </cfRule>
  </conditionalFormatting>
  <conditionalFormatting sqref="E145">
    <cfRule type="expression" dxfId="9788" priority="1547">
      <formula>B145=""</formula>
    </cfRule>
  </conditionalFormatting>
  <conditionalFormatting sqref="E146">
    <cfRule type="expression" dxfId="9787" priority="1546">
      <formula>B146=""</formula>
    </cfRule>
  </conditionalFormatting>
  <conditionalFormatting sqref="E147">
    <cfRule type="expression" dxfId="9786" priority="1545">
      <formula>B147=""</formula>
    </cfRule>
  </conditionalFormatting>
  <conditionalFormatting sqref="E148">
    <cfRule type="expression" dxfId="9785" priority="1544">
      <formula>B148=""</formula>
    </cfRule>
  </conditionalFormatting>
  <conditionalFormatting sqref="E149:E150">
    <cfRule type="expression" dxfId="9784" priority="1543">
      <formula>B149=""</formula>
    </cfRule>
  </conditionalFormatting>
  <conditionalFormatting sqref="E152:E172">
    <cfRule type="expression" dxfId="9783" priority="1542">
      <formula>B152=""</formula>
    </cfRule>
  </conditionalFormatting>
  <conditionalFormatting sqref="E152:E172">
    <cfRule type="expression" dxfId="9782" priority="1541">
      <formula>B152=""</formula>
    </cfRule>
  </conditionalFormatting>
  <conditionalFormatting sqref="E152:E172">
    <cfRule type="expression" dxfId="9781" priority="1540">
      <formula>B152=""</formula>
    </cfRule>
  </conditionalFormatting>
  <conditionalFormatting sqref="E174:E194">
    <cfRule type="expression" dxfId="9780" priority="1539">
      <formula>B174=""</formula>
    </cfRule>
  </conditionalFormatting>
  <conditionalFormatting sqref="E175 E177 E179 E181 E183 E185 E187 E189 E191 E193">
    <cfRule type="expression" dxfId="9779" priority="1538">
      <formula>B175=""</formula>
    </cfRule>
  </conditionalFormatting>
  <conditionalFormatting sqref="E176:E186">
    <cfRule type="expression" dxfId="9778" priority="1537">
      <formula>B176=""</formula>
    </cfRule>
  </conditionalFormatting>
  <conditionalFormatting sqref="E187">
    <cfRule type="expression" dxfId="9777" priority="1536">
      <formula>B187=""</formula>
    </cfRule>
  </conditionalFormatting>
  <conditionalFormatting sqref="E188">
    <cfRule type="expression" dxfId="9776" priority="1535">
      <formula>B188=""</formula>
    </cfRule>
  </conditionalFormatting>
  <conditionalFormatting sqref="E189">
    <cfRule type="expression" dxfId="9775" priority="1534">
      <formula>B189=""</formula>
    </cfRule>
  </conditionalFormatting>
  <conditionalFormatting sqref="E190">
    <cfRule type="expression" dxfId="9774" priority="1533">
      <formula>B190=""</formula>
    </cfRule>
  </conditionalFormatting>
  <conditionalFormatting sqref="E191">
    <cfRule type="expression" dxfId="9773" priority="1532">
      <formula>B191=""</formula>
    </cfRule>
  </conditionalFormatting>
  <conditionalFormatting sqref="E192">
    <cfRule type="expression" dxfId="9772" priority="1531">
      <formula>B192=""</formula>
    </cfRule>
  </conditionalFormatting>
  <conditionalFormatting sqref="E193">
    <cfRule type="expression" dxfId="9771" priority="1530">
      <formula>B193=""</formula>
    </cfRule>
  </conditionalFormatting>
  <conditionalFormatting sqref="E194">
    <cfRule type="expression" dxfId="9770" priority="1529">
      <formula>B194=""</formula>
    </cfRule>
  </conditionalFormatting>
  <conditionalFormatting sqref="E175 E177 E179 E181 E183 E185 E187 E189 E191 E193">
    <cfRule type="expression" dxfId="9769" priority="1528">
      <formula>B175=""</formula>
    </cfRule>
  </conditionalFormatting>
  <conditionalFormatting sqref="E176:E186">
    <cfRule type="expression" dxfId="9768" priority="1527">
      <formula>B176=""</formula>
    </cfRule>
  </conditionalFormatting>
  <conditionalFormatting sqref="E187">
    <cfRule type="expression" dxfId="9767" priority="1526">
      <formula>B187=""</formula>
    </cfRule>
  </conditionalFormatting>
  <conditionalFormatting sqref="E188">
    <cfRule type="expression" dxfId="9766" priority="1525">
      <formula>B188=""</formula>
    </cfRule>
  </conditionalFormatting>
  <conditionalFormatting sqref="E189">
    <cfRule type="expression" dxfId="9765" priority="1524">
      <formula>B189=""</formula>
    </cfRule>
  </conditionalFormatting>
  <conditionalFormatting sqref="E190">
    <cfRule type="expression" dxfId="9764" priority="1523">
      <formula>B190=""</formula>
    </cfRule>
  </conditionalFormatting>
  <conditionalFormatting sqref="E191">
    <cfRule type="expression" dxfId="9763" priority="1522">
      <formula>B191=""</formula>
    </cfRule>
  </conditionalFormatting>
  <conditionalFormatting sqref="E192">
    <cfRule type="expression" dxfId="9762" priority="1521">
      <formula>B192=""</formula>
    </cfRule>
  </conditionalFormatting>
  <conditionalFormatting sqref="E193">
    <cfRule type="expression" dxfId="9761" priority="1520">
      <formula>B193=""</formula>
    </cfRule>
  </conditionalFormatting>
  <conditionalFormatting sqref="E194">
    <cfRule type="expression" dxfId="9760" priority="1519">
      <formula>B194=""</formula>
    </cfRule>
  </conditionalFormatting>
  <conditionalFormatting sqref="E174:E194">
    <cfRule type="expression" dxfId="9759" priority="1518">
      <formula>B174=""</formula>
    </cfRule>
  </conditionalFormatting>
  <conditionalFormatting sqref="E174:E194">
    <cfRule type="expression" dxfId="9758" priority="1517">
      <formula>B174=""</formula>
    </cfRule>
  </conditionalFormatting>
  <conditionalFormatting sqref="E174:E194">
    <cfRule type="expression" dxfId="9757" priority="1516">
      <formula>B174=""</formula>
    </cfRule>
  </conditionalFormatting>
  <conditionalFormatting sqref="E208 E210 E212 E214 E216 E218 E220 E222 E224 E226">
    <cfRule type="expression" dxfId="9756" priority="1515">
      <formula>B208=""</formula>
    </cfRule>
  </conditionalFormatting>
  <conditionalFormatting sqref="E209 E211 E213 E215 E217 E219 E221 E223 E225 E227">
    <cfRule type="expression" dxfId="9755" priority="1514">
      <formula>B209=""</formula>
    </cfRule>
  </conditionalFormatting>
  <conditionalFormatting sqref="E210:E220">
    <cfRule type="expression" dxfId="9754" priority="1513">
      <formula>B210=""</formula>
    </cfRule>
  </conditionalFormatting>
  <conditionalFormatting sqref="E221">
    <cfRule type="expression" dxfId="9753" priority="1512">
      <formula>B221=""</formula>
    </cfRule>
  </conditionalFormatting>
  <conditionalFormatting sqref="E222">
    <cfRule type="expression" dxfId="9752" priority="1511">
      <formula>B222=""</formula>
    </cfRule>
  </conditionalFormatting>
  <conditionalFormatting sqref="E223">
    <cfRule type="expression" dxfId="9751" priority="1510">
      <formula>B223=""</formula>
    </cfRule>
  </conditionalFormatting>
  <conditionalFormatting sqref="E224">
    <cfRule type="expression" dxfId="9750" priority="1509">
      <formula>B224=""</formula>
    </cfRule>
  </conditionalFormatting>
  <conditionalFormatting sqref="E225">
    <cfRule type="expression" dxfId="9749" priority="1508">
      <formula>B225=""</formula>
    </cfRule>
  </conditionalFormatting>
  <conditionalFormatting sqref="E226">
    <cfRule type="expression" dxfId="9748" priority="1507">
      <formula>B226=""</formula>
    </cfRule>
  </conditionalFormatting>
  <conditionalFormatting sqref="E227">
    <cfRule type="expression" dxfId="9747" priority="1506">
      <formula>B227=""</formula>
    </cfRule>
  </conditionalFormatting>
  <conditionalFormatting sqref="E228">
    <cfRule type="expression" dxfId="9746" priority="1505">
      <formula>B228=""</formula>
    </cfRule>
  </conditionalFormatting>
  <conditionalFormatting sqref="E209 E211 E213 E215 E217 E219 E221 E223 E225 E227">
    <cfRule type="expression" dxfId="9745" priority="1504">
      <formula>B209=""</formula>
    </cfRule>
  </conditionalFormatting>
  <conditionalFormatting sqref="E210:E220">
    <cfRule type="expression" dxfId="9744" priority="1503">
      <formula>B210=""</formula>
    </cfRule>
  </conditionalFormatting>
  <conditionalFormatting sqref="E221">
    <cfRule type="expression" dxfId="9743" priority="1502">
      <formula>B221=""</formula>
    </cfRule>
  </conditionalFormatting>
  <conditionalFormatting sqref="E222">
    <cfRule type="expression" dxfId="9742" priority="1501">
      <formula>B222=""</formula>
    </cfRule>
  </conditionalFormatting>
  <conditionalFormatting sqref="E223">
    <cfRule type="expression" dxfId="9741" priority="1500">
      <formula>B223=""</formula>
    </cfRule>
  </conditionalFormatting>
  <conditionalFormatting sqref="E224">
    <cfRule type="expression" dxfId="9740" priority="1499">
      <formula>B224=""</formula>
    </cfRule>
  </conditionalFormatting>
  <conditionalFormatting sqref="E225">
    <cfRule type="expression" dxfId="9739" priority="1498">
      <formula>B225=""</formula>
    </cfRule>
  </conditionalFormatting>
  <conditionalFormatting sqref="E226">
    <cfRule type="expression" dxfId="9738" priority="1497">
      <formula>B226=""</formula>
    </cfRule>
  </conditionalFormatting>
  <conditionalFormatting sqref="E227">
    <cfRule type="expression" dxfId="9737" priority="1496">
      <formula>B227=""</formula>
    </cfRule>
  </conditionalFormatting>
  <conditionalFormatting sqref="E228">
    <cfRule type="expression" dxfId="9736" priority="1495">
      <formula>B228=""</formula>
    </cfRule>
  </conditionalFormatting>
  <conditionalFormatting sqref="E230 E232 E234 E236 E238 E240 E242 E244 E246 E248">
    <cfRule type="expression" dxfId="9735" priority="1494">
      <formula>B230=""</formula>
    </cfRule>
  </conditionalFormatting>
  <conditionalFormatting sqref="E231 E233 E235 E237 E239 E241 E243 E245 E247 E249">
    <cfRule type="expression" dxfId="9734" priority="1493">
      <formula>B231=""</formula>
    </cfRule>
  </conditionalFormatting>
  <conditionalFormatting sqref="E232:E242">
    <cfRule type="expression" dxfId="9733" priority="1492">
      <formula>B232=""</formula>
    </cfRule>
  </conditionalFormatting>
  <conditionalFormatting sqref="E243">
    <cfRule type="expression" dxfId="9732" priority="1491">
      <formula>B243=""</formula>
    </cfRule>
  </conditionalFormatting>
  <conditionalFormatting sqref="E244">
    <cfRule type="expression" dxfId="9731" priority="1490">
      <formula>B244=""</formula>
    </cfRule>
  </conditionalFormatting>
  <conditionalFormatting sqref="E245">
    <cfRule type="expression" dxfId="9730" priority="1489">
      <formula>B245=""</formula>
    </cfRule>
  </conditionalFormatting>
  <conditionalFormatting sqref="E246">
    <cfRule type="expression" dxfId="9729" priority="1488">
      <formula>B246=""</formula>
    </cfRule>
  </conditionalFormatting>
  <conditionalFormatting sqref="E247">
    <cfRule type="expression" dxfId="9728" priority="1487">
      <formula>B247=""</formula>
    </cfRule>
  </conditionalFormatting>
  <conditionalFormatting sqref="E248">
    <cfRule type="expression" dxfId="9727" priority="1486">
      <formula>B248=""</formula>
    </cfRule>
  </conditionalFormatting>
  <conditionalFormatting sqref="E249">
    <cfRule type="expression" dxfId="9726" priority="1485">
      <formula>B249=""</formula>
    </cfRule>
  </conditionalFormatting>
  <conditionalFormatting sqref="E250">
    <cfRule type="expression" dxfId="9725" priority="1484">
      <formula>B250=""</formula>
    </cfRule>
  </conditionalFormatting>
  <conditionalFormatting sqref="E231 E233 E235 E237 E239 E241 E243 E245 E247 E249">
    <cfRule type="expression" dxfId="9724" priority="1483">
      <formula>B231=""</formula>
    </cfRule>
  </conditionalFormatting>
  <conditionalFormatting sqref="E232:E242">
    <cfRule type="expression" dxfId="9723" priority="1482">
      <formula>B232=""</formula>
    </cfRule>
  </conditionalFormatting>
  <conditionalFormatting sqref="E243">
    <cfRule type="expression" dxfId="9722" priority="1481">
      <formula>B243=""</formula>
    </cfRule>
  </conditionalFormatting>
  <conditionalFormatting sqref="E244">
    <cfRule type="expression" dxfId="9721" priority="1480">
      <formula>B244=""</formula>
    </cfRule>
  </conditionalFormatting>
  <conditionalFormatting sqref="E245">
    <cfRule type="expression" dxfId="9720" priority="1479">
      <formula>B245=""</formula>
    </cfRule>
  </conditionalFormatting>
  <conditionalFormatting sqref="E246">
    <cfRule type="expression" dxfId="9719" priority="1478">
      <formula>B246=""</formula>
    </cfRule>
  </conditionalFormatting>
  <conditionalFormatting sqref="E247">
    <cfRule type="expression" dxfId="9718" priority="1477">
      <formula>B247=""</formula>
    </cfRule>
  </conditionalFormatting>
  <conditionalFormatting sqref="E248">
    <cfRule type="expression" dxfId="9717" priority="1476">
      <formula>B248=""</formula>
    </cfRule>
  </conditionalFormatting>
  <conditionalFormatting sqref="E249">
    <cfRule type="expression" dxfId="9716" priority="1475">
      <formula>B249=""</formula>
    </cfRule>
  </conditionalFormatting>
  <conditionalFormatting sqref="E250">
    <cfRule type="expression" dxfId="9715" priority="1474">
      <formula>B250=""</formula>
    </cfRule>
  </conditionalFormatting>
  <conditionalFormatting sqref="E252 E254 E256 E258 E260 E262 E264 E266 E268 E270">
    <cfRule type="expression" dxfId="9714" priority="1473">
      <formula>B252=""</formula>
    </cfRule>
  </conditionalFormatting>
  <conditionalFormatting sqref="E253 E255 E257 E259 E261 E263 E265 E267 E269 E271">
    <cfRule type="expression" dxfId="9713" priority="1472">
      <formula>B253=""</formula>
    </cfRule>
  </conditionalFormatting>
  <conditionalFormatting sqref="E254:E264">
    <cfRule type="expression" dxfId="9712" priority="1471">
      <formula>B254=""</formula>
    </cfRule>
  </conditionalFormatting>
  <conditionalFormatting sqref="E265">
    <cfRule type="expression" dxfId="9711" priority="1470">
      <formula>B265=""</formula>
    </cfRule>
  </conditionalFormatting>
  <conditionalFormatting sqref="E266">
    <cfRule type="expression" dxfId="9710" priority="1469">
      <formula>B266=""</formula>
    </cfRule>
  </conditionalFormatting>
  <conditionalFormatting sqref="E267">
    <cfRule type="expression" dxfId="9709" priority="1468">
      <formula>B267=""</formula>
    </cfRule>
  </conditionalFormatting>
  <conditionalFormatting sqref="E268">
    <cfRule type="expression" dxfId="9708" priority="1467">
      <formula>B268=""</formula>
    </cfRule>
  </conditionalFormatting>
  <conditionalFormatting sqref="E269">
    <cfRule type="expression" dxfId="9707" priority="1466">
      <formula>B269=""</formula>
    </cfRule>
  </conditionalFormatting>
  <conditionalFormatting sqref="E270">
    <cfRule type="expression" dxfId="9706" priority="1465">
      <formula>B270=""</formula>
    </cfRule>
  </conditionalFormatting>
  <conditionalFormatting sqref="E271">
    <cfRule type="expression" dxfId="9705" priority="1464">
      <formula>B271=""</formula>
    </cfRule>
  </conditionalFormatting>
  <conditionalFormatting sqref="E272">
    <cfRule type="expression" dxfId="9704" priority="1463">
      <formula>B272=""</formula>
    </cfRule>
  </conditionalFormatting>
  <conditionalFormatting sqref="E253 E255 E257 E259 E261 E263 E265 E267 E269 E271">
    <cfRule type="expression" dxfId="9703" priority="1462">
      <formula>B253=""</formula>
    </cfRule>
  </conditionalFormatting>
  <conditionalFormatting sqref="E254:E264">
    <cfRule type="expression" dxfId="9702" priority="1461">
      <formula>B254=""</formula>
    </cfRule>
  </conditionalFormatting>
  <conditionalFormatting sqref="E265">
    <cfRule type="expression" dxfId="9701" priority="1460">
      <formula>B265=""</formula>
    </cfRule>
  </conditionalFormatting>
  <conditionalFormatting sqref="E266">
    <cfRule type="expression" dxfId="9700" priority="1459">
      <formula>B266=""</formula>
    </cfRule>
  </conditionalFormatting>
  <conditionalFormatting sqref="E267">
    <cfRule type="expression" dxfId="9699" priority="1458">
      <formula>B267=""</formula>
    </cfRule>
  </conditionalFormatting>
  <conditionalFormatting sqref="E268">
    <cfRule type="expression" dxfId="9698" priority="1457">
      <formula>B268=""</formula>
    </cfRule>
  </conditionalFormatting>
  <conditionalFormatting sqref="E269">
    <cfRule type="expression" dxfId="9697" priority="1456">
      <formula>B269=""</formula>
    </cfRule>
  </conditionalFormatting>
  <conditionalFormatting sqref="E270">
    <cfRule type="expression" dxfId="9696" priority="1455">
      <formula>B270=""</formula>
    </cfRule>
  </conditionalFormatting>
  <conditionalFormatting sqref="E271">
    <cfRule type="expression" dxfId="9695" priority="1454">
      <formula>B271=""</formula>
    </cfRule>
  </conditionalFormatting>
  <conditionalFormatting sqref="E272">
    <cfRule type="expression" dxfId="9694" priority="1453">
      <formula>B272=""</formula>
    </cfRule>
  </conditionalFormatting>
  <conditionalFormatting sqref="E274 E276 E278 E280 E282 E284 E286 E288 E290 E292">
    <cfRule type="expression" dxfId="9693" priority="1452">
      <formula>B274=""</formula>
    </cfRule>
  </conditionalFormatting>
  <conditionalFormatting sqref="E275 E277 E279 E281 E283 E285 E287 E289 E291 E293">
    <cfRule type="expression" dxfId="9692" priority="1451">
      <formula>B275=""</formula>
    </cfRule>
  </conditionalFormatting>
  <conditionalFormatting sqref="E276:E286">
    <cfRule type="expression" dxfId="9691" priority="1450">
      <formula>B276=""</formula>
    </cfRule>
  </conditionalFormatting>
  <conditionalFormatting sqref="E287">
    <cfRule type="expression" dxfId="9690" priority="1449">
      <formula>B287=""</formula>
    </cfRule>
  </conditionalFormatting>
  <conditionalFormatting sqref="E288">
    <cfRule type="expression" dxfId="9689" priority="1448">
      <formula>B288=""</formula>
    </cfRule>
  </conditionalFormatting>
  <conditionalFormatting sqref="E289">
    <cfRule type="expression" dxfId="9688" priority="1447">
      <formula>B289=""</formula>
    </cfRule>
  </conditionalFormatting>
  <conditionalFormatting sqref="E290">
    <cfRule type="expression" dxfId="9687" priority="1446">
      <formula>B290=""</formula>
    </cfRule>
  </conditionalFormatting>
  <conditionalFormatting sqref="E291">
    <cfRule type="expression" dxfId="9686" priority="1445">
      <formula>B291=""</formula>
    </cfRule>
  </conditionalFormatting>
  <conditionalFormatting sqref="E292">
    <cfRule type="expression" dxfId="9685" priority="1444">
      <formula>B292=""</formula>
    </cfRule>
  </conditionalFormatting>
  <conditionalFormatting sqref="E293">
    <cfRule type="expression" dxfId="9684" priority="1443">
      <formula>B293=""</formula>
    </cfRule>
  </conditionalFormatting>
  <conditionalFormatting sqref="E294">
    <cfRule type="expression" dxfId="9683" priority="1442">
      <formula>B294=""</formula>
    </cfRule>
  </conditionalFormatting>
  <conditionalFormatting sqref="E275 E277 E279 E281 E283 E285 E287 E289 E291 E293">
    <cfRule type="expression" dxfId="9682" priority="1441">
      <formula>B275=""</formula>
    </cfRule>
  </conditionalFormatting>
  <conditionalFormatting sqref="E276:E286">
    <cfRule type="expression" dxfId="9681" priority="1440">
      <formula>B276=""</formula>
    </cfRule>
  </conditionalFormatting>
  <conditionalFormatting sqref="E287">
    <cfRule type="expression" dxfId="9680" priority="1439">
      <formula>B287=""</formula>
    </cfRule>
  </conditionalFormatting>
  <conditionalFormatting sqref="E288">
    <cfRule type="expression" dxfId="9679" priority="1438">
      <formula>B288=""</formula>
    </cfRule>
  </conditionalFormatting>
  <conditionalFormatting sqref="E289">
    <cfRule type="expression" dxfId="9678" priority="1437">
      <formula>B289=""</formula>
    </cfRule>
  </conditionalFormatting>
  <conditionalFormatting sqref="E290">
    <cfRule type="expression" dxfId="9677" priority="1436">
      <formula>B290=""</formula>
    </cfRule>
  </conditionalFormatting>
  <conditionalFormatting sqref="E291">
    <cfRule type="expression" dxfId="9676" priority="1435">
      <formula>B291=""</formula>
    </cfRule>
  </conditionalFormatting>
  <conditionalFormatting sqref="E292">
    <cfRule type="expression" dxfId="9675" priority="1434">
      <formula>B292=""</formula>
    </cfRule>
  </conditionalFormatting>
  <conditionalFormatting sqref="E293">
    <cfRule type="expression" dxfId="9674" priority="1433">
      <formula>B293=""</formula>
    </cfRule>
  </conditionalFormatting>
  <conditionalFormatting sqref="E294">
    <cfRule type="expression" dxfId="9673" priority="1432">
      <formula>B294=""</formula>
    </cfRule>
  </conditionalFormatting>
  <conditionalFormatting sqref="E208:E227">
    <cfRule type="expression" dxfId="9672" priority="1431">
      <formula>B208=""</formula>
    </cfRule>
  </conditionalFormatting>
  <conditionalFormatting sqref="E209 E211 E213 E215 E217 E219 E221 E223 E225 E227">
    <cfRule type="expression" dxfId="9671" priority="1430">
      <formula>B209=""</formula>
    </cfRule>
  </conditionalFormatting>
  <conditionalFormatting sqref="E210:E220">
    <cfRule type="expression" dxfId="9670" priority="1429">
      <formula>B210=""</formula>
    </cfRule>
  </conditionalFormatting>
  <conditionalFormatting sqref="E221">
    <cfRule type="expression" dxfId="9669" priority="1428">
      <formula>B221=""</formula>
    </cfRule>
  </conditionalFormatting>
  <conditionalFormatting sqref="E222">
    <cfRule type="expression" dxfId="9668" priority="1427">
      <formula>B222=""</formula>
    </cfRule>
  </conditionalFormatting>
  <conditionalFormatting sqref="E223">
    <cfRule type="expression" dxfId="9667" priority="1426">
      <formula>B223=""</formula>
    </cfRule>
  </conditionalFormatting>
  <conditionalFormatting sqref="E224">
    <cfRule type="expression" dxfId="9666" priority="1425">
      <formula>B224=""</formula>
    </cfRule>
  </conditionalFormatting>
  <conditionalFormatting sqref="E225">
    <cfRule type="expression" dxfId="9665" priority="1424">
      <formula>B225=""</formula>
    </cfRule>
  </conditionalFormatting>
  <conditionalFormatting sqref="E226">
    <cfRule type="expression" dxfId="9664" priority="1423">
      <formula>B226=""</formula>
    </cfRule>
  </conditionalFormatting>
  <conditionalFormatting sqref="E227">
    <cfRule type="expression" dxfId="9663" priority="1422">
      <formula>B227=""</formula>
    </cfRule>
  </conditionalFormatting>
  <conditionalFormatting sqref="E209 E211 E213 E215 E217 E219 E221 E223 E225 E227">
    <cfRule type="expression" dxfId="9662" priority="1421">
      <formula>B209=""</formula>
    </cfRule>
  </conditionalFormatting>
  <conditionalFormatting sqref="E210:E220">
    <cfRule type="expression" dxfId="9661" priority="1420">
      <formula>B210=""</formula>
    </cfRule>
  </conditionalFormatting>
  <conditionalFormatting sqref="E221">
    <cfRule type="expression" dxfId="9660" priority="1419">
      <formula>B221=""</formula>
    </cfRule>
  </conditionalFormatting>
  <conditionalFormatting sqref="E222">
    <cfRule type="expression" dxfId="9659" priority="1418">
      <formula>B222=""</formula>
    </cfRule>
  </conditionalFormatting>
  <conditionalFormatting sqref="E223">
    <cfRule type="expression" dxfId="9658" priority="1417">
      <formula>B223=""</formula>
    </cfRule>
  </conditionalFormatting>
  <conditionalFormatting sqref="E224">
    <cfRule type="expression" dxfId="9657" priority="1416">
      <formula>B224=""</formula>
    </cfRule>
  </conditionalFormatting>
  <conditionalFormatting sqref="E225">
    <cfRule type="expression" dxfId="9656" priority="1415">
      <formula>B225=""</formula>
    </cfRule>
  </conditionalFormatting>
  <conditionalFormatting sqref="E226">
    <cfRule type="expression" dxfId="9655" priority="1414">
      <formula>B226=""</formula>
    </cfRule>
  </conditionalFormatting>
  <conditionalFormatting sqref="E227">
    <cfRule type="expression" dxfId="9654" priority="1413">
      <formula>B227=""</formula>
    </cfRule>
  </conditionalFormatting>
  <conditionalFormatting sqref="E230 E232 E234 E236 E238 E240 E242 E244 E246 E248">
    <cfRule type="expression" dxfId="9653" priority="1412">
      <formula>B230=""</formula>
    </cfRule>
  </conditionalFormatting>
  <conditionalFormatting sqref="E231 E233 E235 E237 E239 E241 E243 E245 E247 E249">
    <cfRule type="expression" dxfId="9652" priority="1411">
      <formula>B231=""</formula>
    </cfRule>
  </conditionalFormatting>
  <conditionalFormatting sqref="E232:E242">
    <cfRule type="expression" dxfId="9651" priority="1410">
      <formula>B232=""</formula>
    </cfRule>
  </conditionalFormatting>
  <conditionalFormatting sqref="E243">
    <cfRule type="expression" dxfId="9650" priority="1409">
      <formula>B243=""</formula>
    </cfRule>
  </conditionalFormatting>
  <conditionalFormatting sqref="E244">
    <cfRule type="expression" dxfId="9649" priority="1408">
      <formula>B244=""</formula>
    </cfRule>
  </conditionalFormatting>
  <conditionalFormatting sqref="E245">
    <cfRule type="expression" dxfId="9648" priority="1407">
      <formula>B245=""</formula>
    </cfRule>
  </conditionalFormatting>
  <conditionalFormatting sqref="E246">
    <cfRule type="expression" dxfId="9647" priority="1406">
      <formula>B246=""</formula>
    </cfRule>
  </conditionalFormatting>
  <conditionalFormatting sqref="E247">
    <cfRule type="expression" dxfId="9646" priority="1405">
      <formula>B247=""</formula>
    </cfRule>
  </conditionalFormatting>
  <conditionalFormatting sqref="E248">
    <cfRule type="expression" dxfId="9645" priority="1404">
      <formula>B248=""</formula>
    </cfRule>
  </conditionalFormatting>
  <conditionalFormatting sqref="E249">
    <cfRule type="expression" dxfId="9644" priority="1403">
      <formula>B249=""</formula>
    </cfRule>
  </conditionalFormatting>
  <conditionalFormatting sqref="E231 E233 E235 E237 E239 E241 E243 E245 E247 E249">
    <cfRule type="expression" dxfId="9643" priority="1402">
      <formula>B231=""</formula>
    </cfRule>
  </conditionalFormatting>
  <conditionalFormatting sqref="E232:E242">
    <cfRule type="expression" dxfId="9642" priority="1401">
      <formula>B232=""</formula>
    </cfRule>
  </conditionalFormatting>
  <conditionalFormatting sqref="E243">
    <cfRule type="expression" dxfId="9641" priority="1400">
      <formula>B243=""</formula>
    </cfRule>
  </conditionalFormatting>
  <conditionalFormatting sqref="E244">
    <cfRule type="expression" dxfId="9640" priority="1399">
      <formula>B244=""</formula>
    </cfRule>
  </conditionalFormatting>
  <conditionalFormatting sqref="E245">
    <cfRule type="expression" dxfId="9639" priority="1398">
      <formula>B245=""</formula>
    </cfRule>
  </conditionalFormatting>
  <conditionalFormatting sqref="E246">
    <cfRule type="expression" dxfId="9638" priority="1397">
      <formula>B246=""</formula>
    </cfRule>
  </conditionalFormatting>
  <conditionalFormatting sqref="E247">
    <cfRule type="expression" dxfId="9637" priority="1396">
      <formula>B247=""</formula>
    </cfRule>
  </conditionalFormatting>
  <conditionalFormatting sqref="E248">
    <cfRule type="expression" dxfId="9636" priority="1395">
      <formula>B248=""</formula>
    </cfRule>
  </conditionalFormatting>
  <conditionalFormatting sqref="E249">
    <cfRule type="expression" dxfId="9635" priority="1394">
      <formula>B249=""</formula>
    </cfRule>
  </conditionalFormatting>
  <conditionalFormatting sqref="E230:E249">
    <cfRule type="expression" dxfId="9634" priority="1393">
      <formula>B230=""</formula>
    </cfRule>
  </conditionalFormatting>
  <conditionalFormatting sqref="E231 E233 E235 E237 E239 E241 E243 E245 E247 E249">
    <cfRule type="expression" dxfId="9633" priority="1392">
      <formula>B231=""</formula>
    </cfRule>
  </conditionalFormatting>
  <conditionalFormatting sqref="E232:E242">
    <cfRule type="expression" dxfId="9632" priority="1391">
      <formula>B232=""</formula>
    </cfRule>
  </conditionalFormatting>
  <conditionalFormatting sqref="E243">
    <cfRule type="expression" dxfId="9631" priority="1390">
      <formula>B243=""</formula>
    </cfRule>
  </conditionalFormatting>
  <conditionalFormatting sqref="E244">
    <cfRule type="expression" dxfId="9630" priority="1389">
      <formula>B244=""</formula>
    </cfRule>
  </conditionalFormatting>
  <conditionalFormatting sqref="E245">
    <cfRule type="expression" dxfId="9629" priority="1388">
      <formula>B245=""</formula>
    </cfRule>
  </conditionalFormatting>
  <conditionalFormatting sqref="E246">
    <cfRule type="expression" dxfId="9628" priority="1387">
      <formula>B246=""</formula>
    </cfRule>
  </conditionalFormatting>
  <conditionalFormatting sqref="E247">
    <cfRule type="expression" dxfId="9627" priority="1386">
      <formula>B247=""</formula>
    </cfRule>
  </conditionalFormatting>
  <conditionalFormatting sqref="E248">
    <cfRule type="expression" dxfId="9626" priority="1385">
      <formula>B248=""</formula>
    </cfRule>
  </conditionalFormatting>
  <conditionalFormatting sqref="E249">
    <cfRule type="expression" dxfId="9625" priority="1384">
      <formula>B249=""</formula>
    </cfRule>
  </conditionalFormatting>
  <conditionalFormatting sqref="E231 E233 E235 E237 E239 E241 E243 E245 E247 E249">
    <cfRule type="expression" dxfId="9624" priority="1383">
      <formula>B231=""</formula>
    </cfRule>
  </conditionalFormatting>
  <conditionalFormatting sqref="E232:E242">
    <cfRule type="expression" dxfId="9623" priority="1382">
      <formula>B232=""</formula>
    </cfRule>
  </conditionalFormatting>
  <conditionalFormatting sqref="E243">
    <cfRule type="expression" dxfId="9622" priority="1381">
      <formula>B243=""</formula>
    </cfRule>
  </conditionalFormatting>
  <conditionalFormatting sqref="E244">
    <cfRule type="expression" dxfId="9621" priority="1380">
      <formula>B244=""</formula>
    </cfRule>
  </conditionalFormatting>
  <conditionalFormatting sqref="E245">
    <cfRule type="expression" dxfId="9620" priority="1379">
      <formula>B245=""</formula>
    </cfRule>
  </conditionalFormatting>
  <conditionalFormatting sqref="E246">
    <cfRule type="expression" dxfId="9619" priority="1378">
      <formula>B246=""</formula>
    </cfRule>
  </conditionalFormatting>
  <conditionalFormatting sqref="E247">
    <cfRule type="expression" dxfId="9618" priority="1377">
      <formula>B247=""</formula>
    </cfRule>
  </conditionalFormatting>
  <conditionalFormatting sqref="E248">
    <cfRule type="expression" dxfId="9617" priority="1376">
      <formula>B248=""</formula>
    </cfRule>
  </conditionalFormatting>
  <conditionalFormatting sqref="E249">
    <cfRule type="expression" dxfId="9616" priority="1375">
      <formula>B249=""</formula>
    </cfRule>
  </conditionalFormatting>
  <conditionalFormatting sqref="E208 E210 E212 E214 E216 E218 E220 E222 E224 E226">
    <cfRule type="expression" dxfId="9615" priority="1374">
      <formula>B208=""</formula>
    </cfRule>
  </conditionalFormatting>
  <conditionalFormatting sqref="E209 E211 E213 E215 E217 E219 E221 E223 E225 E227">
    <cfRule type="expression" dxfId="9614" priority="1373">
      <formula>B209=""</formula>
    </cfRule>
  </conditionalFormatting>
  <conditionalFormatting sqref="E210:E220">
    <cfRule type="expression" dxfId="9613" priority="1372">
      <formula>B210=""</formula>
    </cfRule>
  </conditionalFormatting>
  <conditionalFormatting sqref="E221:E223">
    <cfRule type="expression" dxfId="9612" priority="1371">
      <formula>B221=""</formula>
    </cfRule>
  </conditionalFormatting>
  <conditionalFormatting sqref="E222">
    <cfRule type="expression" dxfId="9611" priority="1370">
      <formula>B222=""</formula>
    </cfRule>
  </conditionalFormatting>
  <conditionalFormatting sqref="E223">
    <cfRule type="expression" dxfId="9610" priority="1369">
      <formula>B223=""</formula>
    </cfRule>
  </conditionalFormatting>
  <conditionalFormatting sqref="E224">
    <cfRule type="expression" dxfId="9609" priority="1368">
      <formula>B224=""</formula>
    </cfRule>
  </conditionalFormatting>
  <conditionalFormatting sqref="E225">
    <cfRule type="expression" dxfId="9608" priority="1367">
      <formula>B225=""</formula>
    </cfRule>
  </conditionalFormatting>
  <conditionalFormatting sqref="E226">
    <cfRule type="expression" dxfId="9607" priority="1366">
      <formula>B226=""</formula>
    </cfRule>
  </conditionalFormatting>
  <conditionalFormatting sqref="E227:E228">
    <cfRule type="expression" dxfId="9606" priority="1365">
      <formula>B227=""</formula>
    </cfRule>
  </conditionalFormatting>
  <conditionalFormatting sqref="E228">
    <cfRule type="expression" dxfId="9605" priority="1364">
      <formula>B228=""</formula>
    </cfRule>
  </conditionalFormatting>
  <conditionalFormatting sqref="E209 E211 E213 E215 E217 E219 E221 E223 E225 E227">
    <cfRule type="expression" dxfId="9604" priority="1363">
      <formula>B209=""</formula>
    </cfRule>
  </conditionalFormatting>
  <conditionalFormatting sqref="E210:E220">
    <cfRule type="expression" dxfId="9603" priority="1362">
      <formula>B210=""</formula>
    </cfRule>
  </conditionalFormatting>
  <conditionalFormatting sqref="E221:E223">
    <cfRule type="expression" dxfId="9602" priority="1361">
      <formula>B221=""</formula>
    </cfRule>
  </conditionalFormatting>
  <conditionalFormatting sqref="E222">
    <cfRule type="expression" dxfId="9601" priority="1360">
      <formula>B222=""</formula>
    </cfRule>
  </conditionalFormatting>
  <conditionalFormatting sqref="E223">
    <cfRule type="expression" dxfId="9600" priority="1359">
      <formula>B223=""</formula>
    </cfRule>
  </conditionalFormatting>
  <conditionalFormatting sqref="E224">
    <cfRule type="expression" dxfId="9599" priority="1358">
      <formula>B224=""</formula>
    </cfRule>
  </conditionalFormatting>
  <conditionalFormatting sqref="E225">
    <cfRule type="expression" dxfId="9598" priority="1357">
      <formula>B225=""</formula>
    </cfRule>
  </conditionalFormatting>
  <conditionalFormatting sqref="E226">
    <cfRule type="expression" dxfId="9597" priority="1356">
      <formula>B226=""</formula>
    </cfRule>
  </conditionalFormatting>
  <conditionalFormatting sqref="E227:E228">
    <cfRule type="expression" dxfId="9596" priority="1355">
      <formula>B227=""</formula>
    </cfRule>
  </conditionalFormatting>
  <conditionalFormatting sqref="E228">
    <cfRule type="expression" dxfId="9595" priority="1354">
      <formula>B228=""</formula>
    </cfRule>
  </conditionalFormatting>
  <conditionalFormatting sqref="E230 E232 E234 E236 E238 E240 E242 E244 E246 E248">
    <cfRule type="expression" dxfId="9594" priority="1353">
      <formula>B230=""</formula>
    </cfRule>
  </conditionalFormatting>
  <conditionalFormatting sqref="E231 E233 E235 E237 E239 E241 E243 E245 E247 E249">
    <cfRule type="expression" dxfId="9593" priority="1352">
      <formula>B231=""</formula>
    </cfRule>
  </conditionalFormatting>
  <conditionalFormatting sqref="E232:E242">
    <cfRule type="expression" dxfId="9592" priority="1351">
      <formula>B232=""</formula>
    </cfRule>
  </conditionalFormatting>
  <conditionalFormatting sqref="E243">
    <cfRule type="expression" dxfId="9591" priority="1350">
      <formula>B243=""</formula>
    </cfRule>
  </conditionalFormatting>
  <conditionalFormatting sqref="E244">
    <cfRule type="expression" dxfId="9590" priority="1349">
      <formula>B244=""</formula>
    </cfRule>
  </conditionalFormatting>
  <conditionalFormatting sqref="E245">
    <cfRule type="expression" dxfId="9589" priority="1348">
      <formula>B245=""</formula>
    </cfRule>
  </conditionalFormatting>
  <conditionalFormatting sqref="E246">
    <cfRule type="expression" dxfId="9588" priority="1347">
      <formula>B246=""</formula>
    </cfRule>
  </conditionalFormatting>
  <conditionalFormatting sqref="E247">
    <cfRule type="expression" dxfId="9587" priority="1346">
      <formula>B247=""</formula>
    </cfRule>
  </conditionalFormatting>
  <conditionalFormatting sqref="E248">
    <cfRule type="expression" dxfId="9586" priority="1345">
      <formula>B248=""</formula>
    </cfRule>
  </conditionalFormatting>
  <conditionalFormatting sqref="E249:E250">
    <cfRule type="expression" dxfId="9585" priority="1344">
      <formula>B249=""</formula>
    </cfRule>
  </conditionalFormatting>
  <conditionalFormatting sqref="E250">
    <cfRule type="expression" dxfId="9584" priority="1343">
      <formula>B250=""</formula>
    </cfRule>
  </conditionalFormatting>
  <conditionalFormatting sqref="E231 E233 E235 E237 E239 E241 E243 E245 E247 E249">
    <cfRule type="expression" dxfId="9583" priority="1342">
      <formula>B231=""</formula>
    </cfRule>
  </conditionalFormatting>
  <conditionalFormatting sqref="E232:E242">
    <cfRule type="expression" dxfId="9582" priority="1341">
      <formula>B232=""</formula>
    </cfRule>
  </conditionalFormatting>
  <conditionalFormatting sqref="E243">
    <cfRule type="expression" dxfId="9581" priority="1340">
      <formula>B243=""</formula>
    </cfRule>
  </conditionalFormatting>
  <conditionalFormatting sqref="E244">
    <cfRule type="expression" dxfId="9580" priority="1339">
      <formula>B244=""</formula>
    </cfRule>
  </conditionalFormatting>
  <conditionalFormatting sqref="E245">
    <cfRule type="expression" dxfId="9579" priority="1338">
      <formula>B245=""</formula>
    </cfRule>
  </conditionalFormatting>
  <conditionalFormatting sqref="E246">
    <cfRule type="expression" dxfId="9578" priority="1337">
      <formula>B246=""</formula>
    </cfRule>
  </conditionalFormatting>
  <conditionalFormatting sqref="E247">
    <cfRule type="expression" dxfId="9577" priority="1336">
      <formula>B247=""</formula>
    </cfRule>
  </conditionalFormatting>
  <conditionalFormatting sqref="E248">
    <cfRule type="expression" dxfId="9576" priority="1335">
      <formula>B248=""</formula>
    </cfRule>
  </conditionalFormatting>
  <conditionalFormatting sqref="E249:E250">
    <cfRule type="expression" dxfId="9575" priority="1334">
      <formula>B249=""</formula>
    </cfRule>
  </conditionalFormatting>
  <conditionalFormatting sqref="E250">
    <cfRule type="expression" dxfId="9574" priority="1333">
      <formula>B250=""</formula>
    </cfRule>
  </conditionalFormatting>
  <conditionalFormatting sqref="E252:E272">
    <cfRule type="expression" dxfId="9573" priority="1332">
      <formula>B252=""</formula>
    </cfRule>
  </conditionalFormatting>
  <conditionalFormatting sqref="E253 E255 E257 E259 E261 E263 E265 E267 E269 E271">
    <cfRule type="expression" dxfId="9572" priority="1331">
      <formula>B253=""</formula>
    </cfRule>
  </conditionalFormatting>
  <conditionalFormatting sqref="E254:E264">
    <cfRule type="expression" dxfId="9571" priority="1330">
      <formula>B254=""</formula>
    </cfRule>
  </conditionalFormatting>
  <conditionalFormatting sqref="E265">
    <cfRule type="expression" dxfId="9570" priority="1329">
      <formula>B265=""</formula>
    </cfRule>
  </conditionalFormatting>
  <conditionalFormatting sqref="E266">
    <cfRule type="expression" dxfId="9569" priority="1328">
      <formula>B266=""</formula>
    </cfRule>
  </conditionalFormatting>
  <conditionalFormatting sqref="E267">
    <cfRule type="expression" dxfId="9568" priority="1327">
      <formula>B267=""</formula>
    </cfRule>
  </conditionalFormatting>
  <conditionalFormatting sqref="E268">
    <cfRule type="expression" dxfId="9567" priority="1326">
      <formula>B268=""</formula>
    </cfRule>
  </conditionalFormatting>
  <conditionalFormatting sqref="E269">
    <cfRule type="expression" dxfId="9566" priority="1325">
      <formula>B269=""</formula>
    </cfRule>
  </conditionalFormatting>
  <conditionalFormatting sqref="E270">
    <cfRule type="expression" dxfId="9565" priority="1324">
      <formula>B270=""</formula>
    </cfRule>
  </conditionalFormatting>
  <conditionalFormatting sqref="E271">
    <cfRule type="expression" dxfId="9564" priority="1323">
      <formula>B271=""</formula>
    </cfRule>
  </conditionalFormatting>
  <conditionalFormatting sqref="E272">
    <cfRule type="expression" dxfId="9563" priority="1322">
      <formula>B272=""</formula>
    </cfRule>
  </conditionalFormatting>
  <conditionalFormatting sqref="E253 E255 E257 E259 E261 E263 E265 E267 E269 E271">
    <cfRule type="expression" dxfId="9562" priority="1321">
      <formula>B253=""</formula>
    </cfRule>
  </conditionalFormatting>
  <conditionalFormatting sqref="E254:E264">
    <cfRule type="expression" dxfId="9561" priority="1320">
      <formula>B254=""</formula>
    </cfRule>
  </conditionalFormatting>
  <conditionalFormatting sqref="E265">
    <cfRule type="expression" dxfId="9560" priority="1319">
      <formula>B265=""</formula>
    </cfRule>
  </conditionalFormatting>
  <conditionalFormatting sqref="E266">
    <cfRule type="expression" dxfId="9559" priority="1318">
      <formula>B266=""</formula>
    </cfRule>
  </conditionalFormatting>
  <conditionalFormatting sqref="E267">
    <cfRule type="expression" dxfId="9558" priority="1317">
      <formula>B267=""</formula>
    </cfRule>
  </conditionalFormatting>
  <conditionalFormatting sqref="E268">
    <cfRule type="expression" dxfId="9557" priority="1316">
      <formula>B268=""</formula>
    </cfRule>
  </conditionalFormatting>
  <conditionalFormatting sqref="E269">
    <cfRule type="expression" dxfId="9556" priority="1315">
      <formula>B269=""</formula>
    </cfRule>
  </conditionalFormatting>
  <conditionalFormatting sqref="E270">
    <cfRule type="expression" dxfId="9555" priority="1314">
      <formula>B270=""</formula>
    </cfRule>
  </conditionalFormatting>
  <conditionalFormatting sqref="E271">
    <cfRule type="expression" dxfId="9554" priority="1313">
      <formula>B271=""</formula>
    </cfRule>
  </conditionalFormatting>
  <conditionalFormatting sqref="E272">
    <cfRule type="expression" dxfId="9553" priority="1312">
      <formula>B272=""</formula>
    </cfRule>
  </conditionalFormatting>
  <conditionalFormatting sqref="E274 E276 E278 E280 E282 E284 E286 E288 E290 E292">
    <cfRule type="expression" dxfId="9552" priority="1311">
      <formula>B274=""</formula>
    </cfRule>
  </conditionalFormatting>
  <conditionalFormatting sqref="E275 E277 E279 E281 E283 E285 E287 E289 E291 E293">
    <cfRule type="expression" dxfId="9551" priority="1310">
      <formula>B275=""</formula>
    </cfRule>
  </conditionalFormatting>
  <conditionalFormatting sqref="E276:E286">
    <cfRule type="expression" dxfId="9550" priority="1309">
      <formula>B276=""</formula>
    </cfRule>
  </conditionalFormatting>
  <conditionalFormatting sqref="E287">
    <cfRule type="expression" dxfId="9549" priority="1308">
      <formula>B287=""</formula>
    </cfRule>
  </conditionalFormatting>
  <conditionalFormatting sqref="E288">
    <cfRule type="expression" dxfId="9548" priority="1307">
      <formula>B288=""</formula>
    </cfRule>
  </conditionalFormatting>
  <conditionalFormatting sqref="E289">
    <cfRule type="expression" dxfId="9547" priority="1306">
      <formula>B289=""</formula>
    </cfRule>
  </conditionalFormatting>
  <conditionalFormatting sqref="E290">
    <cfRule type="expression" dxfId="9546" priority="1305">
      <formula>B290=""</formula>
    </cfRule>
  </conditionalFormatting>
  <conditionalFormatting sqref="E291">
    <cfRule type="expression" dxfId="9545" priority="1304">
      <formula>B291=""</formula>
    </cfRule>
  </conditionalFormatting>
  <conditionalFormatting sqref="E292">
    <cfRule type="expression" dxfId="9544" priority="1303">
      <formula>B292=""</formula>
    </cfRule>
  </conditionalFormatting>
  <conditionalFormatting sqref="E293">
    <cfRule type="expression" dxfId="9543" priority="1302">
      <formula>B293=""</formula>
    </cfRule>
  </conditionalFormatting>
  <conditionalFormatting sqref="E294">
    <cfRule type="expression" dxfId="9542" priority="1301">
      <formula>B294=""</formula>
    </cfRule>
  </conditionalFormatting>
  <conditionalFormatting sqref="E275 E277 E279 E281 E283 E285 E287 E289 E291 E293">
    <cfRule type="expression" dxfId="9541" priority="1300">
      <formula>B275=""</formula>
    </cfRule>
  </conditionalFormatting>
  <conditionalFormatting sqref="E276:E286">
    <cfRule type="expression" dxfId="9540" priority="1299">
      <formula>B276=""</formula>
    </cfRule>
  </conditionalFormatting>
  <conditionalFormatting sqref="E287">
    <cfRule type="expression" dxfId="9539" priority="1298">
      <formula>B287=""</formula>
    </cfRule>
  </conditionalFormatting>
  <conditionalFormatting sqref="E288">
    <cfRule type="expression" dxfId="9538" priority="1297">
      <formula>B288=""</formula>
    </cfRule>
  </conditionalFormatting>
  <conditionalFormatting sqref="E289">
    <cfRule type="expression" dxfId="9537" priority="1296">
      <formula>B289=""</formula>
    </cfRule>
  </conditionalFormatting>
  <conditionalFormatting sqref="E290">
    <cfRule type="expression" dxfId="9536" priority="1295">
      <formula>B290=""</formula>
    </cfRule>
  </conditionalFormatting>
  <conditionalFormatting sqref="E291">
    <cfRule type="expression" dxfId="9535" priority="1294">
      <formula>B291=""</formula>
    </cfRule>
  </conditionalFormatting>
  <conditionalFormatting sqref="E292">
    <cfRule type="expression" dxfId="9534" priority="1293">
      <formula>B292=""</formula>
    </cfRule>
  </conditionalFormatting>
  <conditionalFormatting sqref="E293">
    <cfRule type="expression" dxfId="9533" priority="1292">
      <formula>B293=""</formula>
    </cfRule>
  </conditionalFormatting>
  <conditionalFormatting sqref="E294">
    <cfRule type="expression" dxfId="9532" priority="1291">
      <formula>B294=""</formula>
    </cfRule>
  </conditionalFormatting>
  <conditionalFormatting sqref="E208:E228">
    <cfRule type="expression" dxfId="9531" priority="1290">
      <formula>B208=""</formula>
    </cfRule>
  </conditionalFormatting>
  <conditionalFormatting sqref="E209 E211 E213 E215 E217 E219 E221 E223 E225 E227">
    <cfRule type="expression" dxfId="9530" priority="1289">
      <formula>B209=""</formula>
    </cfRule>
  </conditionalFormatting>
  <conditionalFormatting sqref="E210:E220">
    <cfRule type="expression" dxfId="9529" priority="1288">
      <formula>B210=""</formula>
    </cfRule>
  </conditionalFormatting>
  <conditionalFormatting sqref="E221:E223">
    <cfRule type="expression" dxfId="9528" priority="1287">
      <formula>B221=""</formula>
    </cfRule>
  </conditionalFormatting>
  <conditionalFormatting sqref="E222">
    <cfRule type="expression" dxfId="9527" priority="1286">
      <formula>B222=""</formula>
    </cfRule>
  </conditionalFormatting>
  <conditionalFormatting sqref="E223">
    <cfRule type="expression" dxfId="9526" priority="1285">
      <formula>B223=""</formula>
    </cfRule>
  </conditionalFormatting>
  <conditionalFormatting sqref="E224">
    <cfRule type="expression" dxfId="9525" priority="1284">
      <formula>B224=""</formula>
    </cfRule>
  </conditionalFormatting>
  <conditionalFormatting sqref="E225">
    <cfRule type="expression" dxfId="9524" priority="1283">
      <formula>B225=""</formula>
    </cfRule>
  </conditionalFormatting>
  <conditionalFormatting sqref="E226">
    <cfRule type="expression" dxfId="9523" priority="1282">
      <formula>B226=""</formula>
    </cfRule>
  </conditionalFormatting>
  <conditionalFormatting sqref="E227:E228">
    <cfRule type="expression" dxfId="9522" priority="1281">
      <formula>B227=""</formula>
    </cfRule>
  </conditionalFormatting>
  <conditionalFormatting sqref="E209 E211 E213 E215 E217 E219 E221 E223 E225 E227">
    <cfRule type="expression" dxfId="9521" priority="1280">
      <formula>B209=""</formula>
    </cfRule>
  </conditionalFormatting>
  <conditionalFormatting sqref="E210:E220">
    <cfRule type="expression" dxfId="9520" priority="1279">
      <formula>B210=""</formula>
    </cfRule>
  </conditionalFormatting>
  <conditionalFormatting sqref="E221:E223">
    <cfRule type="expression" dxfId="9519" priority="1278">
      <formula>B221=""</formula>
    </cfRule>
  </conditionalFormatting>
  <conditionalFormatting sqref="E222">
    <cfRule type="expression" dxfId="9518" priority="1277">
      <formula>B222=""</formula>
    </cfRule>
  </conditionalFormatting>
  <conditionalFormatting sqref="E223">
    <cfRule type="expression" dxfId="9517" priority="1276">
      <formula>B223=""</formula>
    </cfRule>
  </conditionalFormatting>
  <conditionalFormatting sqref="E224">
    <cfRule type="expression" dxfId="9516" priority="1275">
      <formula>B224=""</formula>
    </cfRule>
  </conditionalFormatting>
  <conditionalFormatting sqref="E225">
    <cfRule type="expression" dxfId="9515" priority="1274">
      <formula>B225=""</formula>
    </cfRule>
  </conditionalFormatting>
  <conditionalFormatting sqref="E226">
    <cfRule type="expression" dxfId="9514" priority="1273">
      <formula>B226=""</formula>
    </cfRule>
  </conditionalFormatting>
  <conditionalFormatting sqref="E227:E228">
    <cfRule type="expression" dxfId="9513" priority="1272">
      <formula>B227=""</formula>
    </cfRule>
  </conditionalFormatting>
  <conditionalFormatting sqref="E230 E232 E234 E236 E238 E240 E242 E244 E246 E248">
    <cfRule type="expression" dxfId="9512" priority="1271">
      <formula>B230=""</formula>
    </cfRule>
  </conditionalFormatting>
  <conditionalFormatting sqref="E231 E233 E235 E237 E239 E241 E243 E245 E247 E249">
    <cfRule type="expression" dxfId="9511" priority="1270">
      <formula>B231=""</formula>
    </cfRule>
  </conditionalFormatting>
  <conditionalFormatting sqref="E232:E242">
    <cfRule type="expression" dxfId="9510" priority="1269">
      <formula>B232=""</formula>
    </cfRule>
  </conditionalFormatting>
  <conditionalFormatting sqref="E243">
    <cfRule type="expression" dxfId="9509" priority="1268">
      <formula>B243=""</formula>
    </cfRule>
  </conditionalFormatting>
  <conditionalFormatting sqref="E244">
    <cfRule type="expression" dxfId="9508" priority="1267">
      <formula>B244=""</formula>
    </cfRule>
  </conditionalFormatting>
  <conditionalFormatting sqref="E245">
    <cfRule type="expression" dxfId="9507" priority="1266">
      <formula>B245=""</formula>
    </cfRule>
  </conditionalFormatting>
  <conditionalFormatting sqref="E246">
    <cfRule type="expression" dxfId="9506" priority="1265">
      <formula>B246=""</formula>
    </cfRule>
  </conditionalFormatting>
  <conditionalFormatting sqref="E247">
    <cfRule type="expression" dxfId="9505" priority="1264">
      <formula>B247=""</formula>
    </cfRule>
  </conditionalFormatting>
  <conditionalFormatting sqref="E248">
    <cfRule type="expression" dxfId="9504" priority="1263">
      <formula>B248=""</formula>
    </cfRule>
  </conditionalFormatting>
  <conditionalFormatting sqref="E249:E250">
    <cfRule type="expression" dxfId="9503" priority="1262">
      <formula>B249=""</formula>
    </cfRule>
  </conditionalFormatting>
  <conditionalFormatting sqref="E231 E233 E235 E237 E239 E241 E243 E245 E247 E249">
    <cfRule type="expression" dxfId="9502" priority="1261">
      <formula>B231=""</formula>
    </cfRule>
  </conditionalFormatting>
  <conditionalFormatting sqref="E232:E242">
    <cfRule type="expression" dxfId="9501" priority="1260">
      <formula>B232=""</formula>
    </cfRule>
  </conditionalFormatting>
  <conditionalFormatting sqref="E243">
    <cfRule type="expression" dxfId="9500" priority="1259">
      <formula>B243=""</formula>
    </cfRule>
  </conditionalFormatting>
  <conditionalFormatting sqref="E244">
    <cfRule type="expression" dxfId="9499" priority="1258">
      <formula>B244=""</formula>
    </cfRule>
  </conditionalFormatting>
  <conditionalFormatting sqref="E245">
    <cfRule type="expression" dxfId="9498" priority="1257">
      <formula>B245=""</formula>
    </cfRule>
  </conditionalFormatting>
  <conditionalFormatting sqref="E246">
    <cfRule type="expression" dxfId="9497" priority="1256">
      <formula>B246=""</formula>
    </cfRule>
  </conditionalFormatting>
  <conditionalFormatting sqref="E247">
    <cfRule type="expression" dxfId="9496" priority="1255">
      <formula>B247=""</formula>
    </cfRule>
  </conditionalFormatting>
  <conditionalFormatting sqref="E248">
    <cfRule type="expression" dxfId="9495" priority="1254">
      <formula>B248=""</formula>
    </cfRule>
  </conditionalFormatting>
  <conditionalFormatting sqref="E249:E250">
    <cfRule type="expression" dxfId="9494" priority="1253">
      <formula>B249=""</formula>
    </cfRule>
  </conditionalFormatting>
  <conditionalFormatting sqref="E230:E250">
    <cfRule type="expression" dxfId="9493" priority="1252">
      <formula>B230=""</formula>
    </cfRule>
  </conditionalFormatting>
  <conditionalFormatting sqref="E231 E233 E235 E237 E239 E241 E243 E245 E247 E249">
    <cfRule type="expression" dxfId="9492" priority="1251">
      <formula>B231=""</formula>
    </cfRule>
  </conditionalFormatting>
  <conditionalFormatting sqref="E232:E242">
    <cfRule type="expression" dxfId="9491" priority="1250">
      <formula>B232=""</formula>
    </cfRule>
  </conditionalFormatting>
  <conditionalFormatting sqref="E243">
    <cfRule type="expression" dxfId="9490" priority="1249">
      <formula>B243=""</formula>
    </cfRule>
  </conditionalFormatting>
  <conditionalFormatting sqref="E244">
    <cfRule type="expression" dxfId="9489" priority="1248">
      <formula>B244=""</formula>
    </cfRule>
  </conditionalFormatting>
  <conditionalFormatting sqref="E245">
    <cfRule type="expression" dxfId="9488" priority="1247">
      <formula>B245=""</formula>
    </cfRule>
  </conditionalFormatting>
  <conditionalFormatting sqref="E246">
    <cfRule type="expression" dxfId="9487" priority="1246">
      <formula>B246=""</formula>
    </cfRule>
  </conditionalFormatting>
  <conditionalFormatting sqref="E247">
    <cfRule type="expression" dxfId="9486" priority="1245">
      <formula>B247=""</formula>
    </cfRule>
  </conditionalFormatting>
  <conditionalFormatting sqref="E248">
    <cfRule type="expression" dxfId="9485" priority="1244">
      <formula>B248=""</formula>
    </cfRule>
  </conditionalFormatting>
  <conditionalFormatting sqref="E249:E250">
    <cfRule type="expression" dxfId="9484" priority="1243">
      <formula>B249=""</formula>
    </cfRule>
  </conditionalFormatting>
  <conditionalFormatting sqref="E231 E233 E235 E237 E239 E241 E243 E245 E247 E249">
    <cfRule type="expression" dxfId="9483" priority="1242">
      <formula>B231=""</formula>
    </cfRule>
  </conditionalFormatting>
  <conditionalFormatting sqref="E232:E242">
    <cfRule type="expression" dxfId="9482" priority="1241">
      <formula>B232=""</formula>
    </cfRule>
  </conditionalFormatting>
  <conditionalFormatting sqref="E243">
    <cfRule type="expression" dxfId="9481" priority="1240">
      <formula>B243=""</formula>
    </cfRule>
  </conditionalFormatting>
  <conditionalFormatting sqref="E244">
    <cfRule type="expression" dxfId="9480" priority="1239">
      <formula>B244=""</formula>
    </cfRule>
  </conditionalFormatting>
  <conditionalFormatting sqref="E245">
    <cfRule type="expression" dxfId="9479" priority="1238">
      <formula>B245=""</formula>
    </cfRule>
  </conditionalFormatting>
  <conditionalFormatting sqref="E246">
    <cfRule type="expression" dxfId="9478" priority="1237">
      <formula>B246=""</formula>
    </cfRule>
  </conditionalFormatting>
  <conditionalFormatting sqref="E247">
    <cfRule type="expression" dxfId="9477" priority="1236">
      <formula>B247=""</formula>
    </cfRule>
  </conditionalFormatting>
  <conditionalFormatting sqref="E248">
    <cfRule type="expression" dxfId="9476" priority="1235">
      <formula>B248=""</formula>
    </cfRule>
  </conditionalFormatting>
  <conditionalFormatting sqref="E249:E250">
    <cfRule type="expression" dxfId="9475" priority="1234">
      <formula>B249=""</formula>
    </cfRule>
  </conditionalFormatting>
  <conditionalFormatting sqref="E252:E272">
    <cfRule type="expression" dxfId="9474" priority="1233">
      <formula>B252=""</formula>
    </cfRule>
  </conditionalFormatting>
  <conditionalFormatting sqref="E252:E272">
    <cfRule type="expression" dxfId="9473" priority="1232">
      <formula>B252=""</formula>
    </cfRule>
  </conditionalFormatting>
  <conditionalFormatting sqref="E252:E272">
    <cfRule type="expression" dxfId="9472" priority="1231">
      <formula>B252=""</formula>
    </cfRule>
  </conditionalFormatting>
  <conditionalFormatting sqref="E274:E294">
    <cfRule type="expression" dxfId="9471" priority="1230">
      <formula>B274=""</formula>
    </cfRule>
  </conditionalFormatting>
  <conditionalFormatting sqref="E275 E277 E279 E281 E283 E285 E287 E289 E291 E293">
    <cfRule type="expression" dxfId="9470" priority="1229">
      <formula>B275=""</formula>
    </cfRule>
  </conditionalFormatting>
  <conditionalFormatting sqref="E276:E286">
    <cfRule type="expression" dxfId="9469" priority="1228">
      <formula>B276=""</formula>
    </cfRule>
  </conditionalFormatting>
  <conditionalFormatting sqref="E287">
    <cfRule type="expression" dxfId="9468" priority="1227">
      <formula>B287=""</formula>
    </cfRule>
  </conditionalFormatting>
  <conditionalFormatting sqref="E288">
    <cfRule type="expression" dxfId="9467" priority="1226">
      <formula>B288=""</formula>
    </cfRule>
  </conditionalFormatting>
  <conditionalFormatting sqref="E289">
    <cfRule type="expression" dxfId="9466" priority="1225">
      <formula>B289=""</formula>
    </cfRule>
  </conditionalFormatting>
  <conditionalFormatting sqref="E290">
    <cfRule type="expression" dxfId="9465" priority="1224">
      <formula>B290=""</formula>
    </cfRule>
  </conditionalFormatting>
  <conditionalFormatting sqref="E291">
    <cfRule type="expression" dxfId="9464" priority="1223">
      <formula>B291=""</formula>
    </cfRule>
  </conditionalFormatting>
  <conditionalFormatting sqref="E292">
    <cfRule type="expression" dxfId="9463" priority="1222">
      <formula>B292=""</formula>
    </cfRule>
  </conditionalFormatting>
  <conditionalFormatting sqref="E293">
    <cfRule type="expression" dxfId="9462" priority="1221">
      <formula>B293=""</formula>
    </cfRule>
  </conditionalFormatting>
  <conditionalFormatting sqref="E294">
    <cfRule type="expression" dxfId="9461" priority="1220">
      <formula>B294=""</formula>
    </cfRule>
  </conditionalFormatting>
  <conditionalFormatting sqref="E275 E277 E279 E281 E283 E285 E287 E289 E291 E293">
    <cfRule type="expression" dxfId="9460" priority="1219">
      <formula>B275=""</formula>
    </cfRule>
  </conditionalFormatting>
  <conditionalFormatting sqref="E276:E286">
    <cfRule type="expression" dxfId="9459" priority="1218">
      <formula>B276=""</formula>
    </cfRule>
  </conditionalFormatting>
  <conditionalFormatting sqref="E287">
    <cfRule type="expression" dxfId="9458" priority="1217">
      <formula>B287=""</formula>
    </cfRule>
  </conditionalFormatting>
  <conditionalFormatting sqref="E288">
    <cfRule type="expression" dxfId="9457" priority="1216">
      <formula>B288=""</formula>
    </cfRule>
  </conditionalFormatting>
  <conditionalFormatting sqref="E289">
    <cfRule type="expression" dxfId="9456" priority="1215">
      <formula>B289=""</formula>
    </cfRule>
  </conditionalFormatting>
  <conditionalFormatting sqref="E290">
    <cfRule type="expression" dxfId="9455" priority="1214">
      <formula>B290=""</formula>
    </cfRule>
  </conditionalFormatting>
  <conditionalFormatting sqref="E291">
    <cfRule type="expression" dxfId="9454" priority="1213">
      <formula>B291=""</formula>
    </cfRule>
  </conditionalFormatting>
  <conditionalFormatting sqref="E292">
    <cfRule type="expression" dxfId="9453" priority="1212">
      <formula>B292=""</formula>
    </cfRule>
  </conditionalFormatting>
  <conditionalFormatting sqref="E293">
    <cfRule type="expression" dxfId="9452" priority="1211">
      <formula>B293=""</formula>
    </cfRule>
  </conditionalFormatting>
  <conditionalFormatting sqref="E294">
    <cfRule type="expression" dxfId="9451" priority="1210">
      <formula>B294=""</formula>
    </cfRule>
  </conditionalFormatting>
  <conditionalFormatting sqref="E274:E294">
    <cfRule type="expression" dxfId="9450" priority="1209">
      <formula>B274=""</formula>
    </cfRule>
  </conditionalFormatting>
  <conditionalFormatting sqref="E274:E294">
    <cfRule type="expression" dxfId="9449" priority="1208">
      <formula>B274=""</formula>
    </cfRule>
  </conditionalFormatting>
  <conditionalFormatting sqref="E274:E294">
    <cfRule type="expression" dxfId="9448" priority="1207">
      <formula>B274=""</formula>
    </cfRule>
  </conditionalFormatting>
  <conditionalFormatting sqref="E308 E310 E312 E314 E316 E318 E320 E322 E324 E326">
    <cfRule type="expression" dxfId="9447" priority="1206">
      <formula>B308=""</formula>
    </cfRule>
  </conditionalFormatting>
  <conditionalFormatting sqref="E309 E311 E313 E315 E317 E319 E321 E323 E325 E327">
    <cfRule type="expression" dxfId="9446" priority="1205">
      <formula>B309=""</formula>
    </cfRule>
  </conditionalFormatting>
  <conditionalFormatting sqref="E310:E320">
    <cfRule type="expression" dxfId="9445" priority="1204">
      <formula>B310=""</formula>
    </cfRule>
  </conditionalFormatting>
  <conditionalFormatting sqref="E321">
    <cfRule type="expression" dxfId="9444" priority="1203">
      <formula>B321=""</formula>
    </cfRule>
  </conditionalFormatting>
  <conditionalFormatting sqref="E322">
    <cfRule type="expression" dxfId="9443" priority="1202">
      <formula>B322=""</formula>
    </cfRule>
  </conditionalFormatting>
  <conditionalFormatting sqref="E323">
    <cfRule type="expression" dxfId="9442" priority="1201">
      <formula>B323=""</formula>
    </cfRule>
  </conditionalFormatting>
  <conditionalFormatting sqref="E324">
    <cfRule type="expression" dxfId="9441" priority="1200">
      <formula>B324=""</formula>
    </cfRule>
  </conditionalFormatting>
  <conditionalFormatting sqref="E325">
    <cfRule type="expression" dxfId="9440" priority="1199">
      <formula>B325=""</formula>
    </cfRule>
  </conditionalFormatting>
  <conditionalFormatting sqref="E326">
    <cfRule type="expression" dxfId="9439" priority="1198">
      <formula>B326=""</formula>
    </cfRule>
  </conditionalFormatting>
  <conditionalFormatting sqref="E327">
    <cfRule type="expression" dxfId="9438" priority="1197">
      <formula>B327=""</formula>
    </cfRule>
  </conditionalFormatting>
  <conditionalFormatting sqref="E328">
    <cfRule type="expression" dxfId="9437" priority="1196">
      <formula>B328=""</formula>
    </cfRule>
  </conditionalFormatting>
  <conditionalFormatting sqref="E309 E311 E313 E315 E317 E319 E321 E323 E325 E327">
    <cfRule type="expression" dxfId="9436" priority="1195">
      <formula>B309=""</formula>
    </cfRule>
  </conditionalFormatting>
  <conditionalFormatting sqref="E310:E320">
    <cfRule type="expression" dxfId="9435" priority="1194">
      <formula>B310=""</formula>
    </cfRule>
  </conditionalFormatting>
  <conditionalFormatting sqref="E321">
    <cfRule type="expression" dxfId="9434" priority="1193">
      <formula>B321=""</formula>
    </cfRule>
  </conditionalFormatting>
  <conditionalFormatting sqref="E322">
    <cfRule type="expression" dxfId="9433" priority="1192">
      <formula>B322=""</formula>
    </cfRule>
  </conditionalFormatting>
  <conditionalFormatting sqref="E323">
    <cfRule type="expression" dxfId="9432" priority="1191">
      <formula>B323=""</formula>
    </cfRule>
  </conditionalFormatting>
  <conditionalFormatting sqref="E324">
    <cfRule type="expression" dxfId="9431" priority="1190">
      <formula>B324=""</formula>
    </cfRule>
  </conditionalFormatting>
  <conditionalFormatting sqref="E325">
    <cfRule type="expression" dxfId="9430" priority="1189">
      <formula>B325=""</formula>
    </cfRule>
  </conditionalFormatting>
  <conditionalFormatting sqref="E326">
    <cfRule type="expression" dxfId="9429" priority="1188">
      <formula>B326=""</formula>
    </cfRule>
  </conditionalFormatting>
  <conditionalFormatting sqref="E327">
    <cfRule type="expression" dxfId="9428" priority="1187">
      <formula>B327=""</formula>
    </cfRule>
  </conditionalFormatting>
  <conditionalFormatting sqref="E328">
    <cfRule type="expression" dxfId="9427" priority="1186">
      <formula>B328=""</formula>
    </cfRule>
  </conditionalFormatting>
  <conditionalFormatting sqref="E330 E332 E334 E336 E338 E340 E342 E344 E346 E348">
    <cfRule type="expression" dxfId="9426" priority="1185">
      <formula>B330=""</formula>
    </cfRule>
  </conditionalFormatting>
  <conditionalFormatting sqref="E331 E333 E335 E337 E339 E341 E343 E345 E347 E349">
    <cfRule type="expression" dxfId="9425" priority="1184">
      <formula>B331=""</formula>
    </cfRule>
  </conditionalFormatting>
  <conditionalFormatting sqref="E332:E342">
    <cfRule type="expression" dxfId="9424" priority="1183">
      <formula>B332=""</formula>
    </cfRule>
  </conditionalFormatting>
  <conditionalFormatting sqref="E343">
    <cfRule type="expression" dxfId="9423" priority="1182">
      <formula>B343=""</formula>
    </cfRule>
  </conditionalFormatting>
  <conditionalFormatting sqref="E344">
    <cfRule type="expression" dxfId="9422" priority="1181">
      <formula>B344=""</formula>
    </cfRule>
  </conditionalFormatting>
  <conditionalFormatting sqref="E345">
    <cfRule type="expression" dxfId="9421" priority="1180">
      <formula>B345=""</formula>
    </cfRule>
  </conditionalFormatting>
  <conditionalFormatting sqref="E346">
    <cfRule type="expression" dxfId="9420" priority="1179">
      <formula>B346=""</formula>
    </cfRule>
  </conditionalFormatting>
  <conditionalFormatting sqref="E347">
    <cfRule type="expression" dxfId="9419" priority="1178">
      <formula>B347=""</formula>
    </cfRule>
  </conditionalFormatting>
  <conditionalFormatting sqref="E348">
    <cfRule type="expression" dxfId="9418" priority="1177">
      <formula>B348=""</formula>
    </cfRule>
  </conditionalFormatting>
  <conditionalFormatting sqref="E349">
    <cfRule type="expression" dxfId="9417" priority="1176">
      <formula>B349=""</formula>
    </cfRule>
  </conditionalFormatting>
  <conditionalFormatting sqref="E350">
    <cfRule type="expression" dxfId="9416" priority="1175">
      <formula>B350=""</formula>
    </cfRule>
  </conditionalFormatting>
  <conditionalFormatting sqref="E331 E333 E335 E337 E339 E341 E343 E345 E347 E349">
    <cfRule type="expression" dxfId="9415" priority="1174">
      <formula>B331=""</formula>
    </cfRule>
  </conditionalFormatting>
  <conditionalFormatting sqref="E332:E342">
    <cfRule type="expression" dxfId="9414" priority="1173">
      <formula>B332=""</formula>
    </cfRule>
  </conditionalFormatting>
  <conditionalFormatting sqref="E343">
    <cfRule type="expression" dxfId="9413" priority="1172">
      <formula>B343=""</formula>
    </cfRule>
  </conditionalFormatting>
  <conditionalFormatting sqref="E344">
    <cfRule type="expression" dxfId="9412" priority="1171">
      <formula>B344=""</formula>
    </cfRule>
  </conditionalFormatting>
  <conditionalFormatting sqref="E345">
    <cfRule type="expression" dxfId="9411" priority="1170">
      <formula>B345=""</formula>
    </cfRule>
  </conditionalFormatting>
  <conditionalFormatting sqref="E346">
    <cfRule type="expression" dxfId="9410" priority="1169">
      <formula>B346=""</formula>
    </cfRule>
  </conditionalFormatting>
  <conditionalFormatting sqref="E347">
    <cfRule type="expression" dxfId="9409" priority="1168">
      <formula>B347=""</formula>
    </cfRule>
  </conditionalFormatting>
  <conditionalFormatting sqref="E348">
    <cfRule type="expression" dxfId="9408" priority="1167">
      <formula>B348=""</formula>
    </cfRule>
  </conditionalFormatting>
  <conditionalFormatting sqref="E349">
    <cfRule type="expression" dxfId="9407" priority="1166">
      <formula>B349=""</formula>
    </cfRule>
  </conditionalFormatting>
  <conditionalFormatting sqref="E350">
    <cfRule type="expression" dxfId="9406" priority="1165">
      <formula>B350=""</formula>
    </cfRule>
  </conditionalFormatting>
  <conditionalFormatting sqref="E352 E354 E356 E358 E360 E362 E364 E366 E368 E370">
    <cfRule type="expression" dxfId="9405" priority="1164">
      <formula>B352=""</formula>
    </cfRule>
  </conditionalFormatting>
  <conditionalFormatting sqref="E353 E355 E357 E359 E361 E363 E365 E367 E369 E371">
    <cfRule type="expression" dxfId="9404" priority="1163">
      <formula>B353=""</formula>
    </cfRule>
  </conditionalFormatting>
  <conditionalFormatting sqref="E354:E364">
    <cfRule type="expression" dxfId="9403" priority="1162">
      <formula>B354=""</formula>
    </cfRule>
  </conditionalFormatting>
  <conditionalFormatting sqref="E365">
    <cfRule type="expression" dxfId="9402" priority="1161">
      <formula>B365=""</formula>
    </cfRule>
  </conditionalFormatting>
  <conditionalFormatting sqref="E366">
    <cfRule type="expression" dxfId="9401" priority="1160">
      <formula>B366=""</formula>
    </cfRule>
  </conditionalFormatting>
  <conditionalFormatting sqref="E367">
    <cfRule type="expression" dxfId="9400" priority="1159">
      <formula>B367=""</formula>
    </cfRule>
  </conditionalFormatting>
  <conditionalFormatting sqref="E368">
    <cfRule type="expression" dxfId="9399" priority="1158">
      <formula>B368=""</formula>
    </cfRule>
  </conditionalFormatting>
  <conditionalFormatting sqref="E369">
    <cfRule type="expression" dxfId="9398" priority="1157">
      <formula>B369=""</formula>
    </cfRule>
  </conditionalFormatting>
  <conditionalFormatting sqref="E370">
    <cfRule type="expression" dxfId="9397" priority="1156">
      <formula>B370=""</formula>
    </cfRule>
  </conditionalFormatting>
  <conditionalFormatting sqref="E371">
    <cfRule type="expression" dxfId="9396" priority="1155">
      <formula>B371=""</formula>
    </cfRule>
  </conditionalFormatting>
  <conditionalFormatting sqref="E372">
    <cfRule type="expression" dxfId="9395" priority="1154">
      <formula>B372=""</formula>
    </cfRule>
  </conditionalFormatting>
  <conditionalFormatting sqref="E353 E355 E357 E359 E361 E363 E365 E367 E369 E371">
    <cfRule type="expression" dxfId="9394" priority="1153">
      <formula>B353=""</formula>
    </cfRule>
  </conditionalFormatting>
  <conditionalFormatting sqref="E354:E364">
    <cfRule type="expression" dxfId="9393" priority="1152">
      <formula>B354=""</formula>
    </cfRule>
  </conditionalFormatting>
  <conditionalFormatting sqref="E365">
    <cfRule type="expression" dxfId="9392" priority="1151">
      <formula>B365=""</formula>
    </cfRule>
  </conditionalFormatting>
  <conditionalFormatting sqref="E366">
    <cfRule type="expression" dxfId="9391" priority="1150">
      <formula>B366=""</formula>
    </cfRule>
  </conditionalFormatting>
  <conditionalFormatting sqref="E367">
    <cfRule type="expression" dxfId="9390" priority="1149">
      <formula>B367=""</formula>
    </cfRule>
  </conditionalFormatting>
  <conditionalFormatting sqref="E368">
    <cfRule type="expression" dxfId="9389" priority="1148">
      <formula>B368=""</formula>
    </cfRule>
  </conditionalFormatting>
  <conditionalFormatting sqref="E369">
    <cfRule type="expression" dxfId="9388" priority="1147">
      <formula>B369=""</formula>
    </cfRule>
  </conditionalFormatting>
  <conditionalFormatting sqref="E370">
    <cfRule type="expression" dxfId="9387" priority="1146">
      <formula>B370=""</formula>
    </cfRule>
  </conditionalFormatting>
  <conditionalFormatting sqref="E371">
    <cfRule type="expression" dxfId="9386" priority="1145">
      <formula>B371=""</formula>
    </cfRule>
  </conditionalFormatting>
  <conditionalFormatting sqref="E372">
    <cfRule type="expression" dxfId="9385" priority="1144">
      <formula>B372=""</formula>
    </cfRule>
  </conditionalFormatting>
  <conditionalFormatting sqref="E374 E376 E378 E380 E382 E384 E386 E388 E390 E392">
    <cfRule type="expression" dxfId="9384" priority="1143">
      <formula>B374=""</formula>
    </cfRule>
  </conditionalFormatting>
  <conditionalFormatting sqref="E375 E377 E379 E381 E383 E385 E387 E389 E391 E393">
    <cfRule type="expression" dxfId="9383" priority="1142">
      <formula>B375=""</formula>
    </cfRule>
  </conditionalFormatting>
  <conditionalFormatting sqref="E376:E386">
    <cfRule type="expression" dxfId="9382" priority="1141">
      <formula>B376=""</formula>
    </cfRule>
  </conditionalFormatting>
  <conditionalFormatting sqref="E387">
    <cfRule type="expression" dxfId="9381" priority="1140">
      <formula>B387=""</formula>
    </cfRule>
  </conditionalFormatting>
  <conditionalFormatting sqref="E388">
    <cfRule type="expression" dxfId="9380" priority="1139">
      <formula>B388=""</formula>
    </cfRule>
  </conditionalFormatting>
  <conditionalFormatting sqref="E389">
    <cfRule type="expression" dxfId="9379" priority="1138">
      <formula>B389=""</formula>
    </cfRule>
  </conditionalFormatting>
  <conditionalFormatting sqref="E390">
    <cfRule type="expression" dxfId="9378" priority="1137">
      <formula>B390=""</formula>
    </cfRule>
  </conditionalFormatting>
  <conditionalFormatting sqref="E391">
    <cfRule type="expression" dxfId="9377" priority="1136">
      <formula>B391=""</formula>
    </cfRule>
  </conditionalFormatting>
  <conditionalFormatting sqref="E392">
    <cfRule type="expression" dxfId="9376" priority="1135">
      <formula>B392=""</formula>
    </cfRule>
  </conditionalFormatting>
  <conditionalFormatting sqref="E393">
    <cfRule type="expression" dxfId="9375" priority="1134">
      <formula>B393=""</formula>
    </cfRule>
  </conditionalFormatting>
  <conditionalFormatting sqref="E394">
    <cfRule type="expression" dxfId="9374" priority="1133">
      <formula>B394=""</formula>
    </cfRule>
  </conditionalFormatting>
  <conditionalFormatting sqref="E375 E377 E379 E381 E383 E385 E387 E389 E391 E393">
    <cfRule type="expression" dxfId="9373" priority="1132">
      <formula>B375=""</formula>
    </cfRule>
  </conditionalFormatting>
  <conditionalFormatting sqref="E376:E386">
    <cfRule type="expression" dxfId="9372" priority="1131">
      <formula>B376=""</formula>
    </cfRule>
  </conditionalFormatting>
  <conditionalFormatting sqref="E387">
    <cfRule type="expression" dxfId="9371" priority="1130">
      <formula>B387=""</formula>
    </cfRule>
  </conditionalFormatting>
  <conditionalFormatting sqref="E388">
    <cfRule type="expression" dxfId="9370" priority="1129">
      <formula>B388=""</formula>
    </cfRule>
  </conditionalFormatting>
  <conditionalFormatting sqref="E389">
    <cfRule type="expression" dxfId="9369" priority="1128">
      <formula>B389=""</formula>
    </cfRule>
  </conditionalFormatting>
  <conditionalFormatting sqref="E390">
    <cfRule type="expression" dxfId="9368" priority="1127">
      <formula>B390=""</formula>
    </cfRule>
  </conditionalFormatting>
  <conditionalFormatting sqref="E391">
    <cfRule type="expression" dxfId="9367" priority="1126">
      <formula>B391=""</formula>
    </cfRule>
  </conditionalFormatting>
  <conditionalFormatting sqref="E392">
    <cfRule type="expression" dxfId="9366" priority="1125">
      <formula>B392=""</formula>
    </cfRule>
  </conditionalFormatting>
  <conditionalFormatting sqref="E393">
    <cfRule type="expression" dxfId="9365" priority="1124">
      <formula>B393=""</formula>
    </cfRule>
  </conditionalFormatting>
  <conditionalFormatting sqref="E394">
    <cfRule type="expression" dxfId="9364" priority="1123">
      <formula>B394=""</formula>
    </cfRule>
  </conditionalFormatting>
  <conditionalFormatting sqref="E308:E327">
    <cfRule type="expression" dxfId="9363" priority="1122">
      <formula>B308=""</formula>
    </cfRule>
  </conditionalFormatting>
  <conditionalFormatting sqref="E309 E311 E313 E315 E317 E319 E321 E323 E325 E327">
    <cfRule type="expression" dxfId="9362" priority="1121">
      <formula>B309=""</formula>
    </cfRule>
  </conditionalFormatting>
  <conditionalFormatting sqref="E310:E320">
    <cfRule type="expression" dxfId="9361" priority="1120">
      <formula>B310=""</formula>
    </cfRule>
  </conditionalFormatting>
  <conditionalFormatting sqref="E321">
    <cfRule type="expression" dxfId="9360" priority="1119">
      <formula>B321=""</formula>
    </cfRule>
  </conditionalFormatting>
  <conditionalFormatting sqref="E322">
    <cfRule type="expression" dxfId="9359" priority="1118">
      <formula>B322=""</formula>
    </cfRule>
  </conditionalFormatting>
  <conditionalFormatting sqref="E323">
    <cfRule type="expression" dxfId="9358" priority="1117">
      <formula>B323=""</formula>
    </cfRule>
  </conditionalFormatting>
  <conditionalFormatting sqref="E324">
    <cfRule type="expression" dxfId="9357" priority="1116">
      <formula>B324=""</formula>
    </cfRule>
  </conditionalFormatting>
  <conditionalFormatting sqref="E325">
    <cfRule type="expression" dxfId="9356" priority="1115">
      <formula>B325=""</formula>
    </cfRule>
  </conditionalFormatting>
  <conditionalFormatting sqref="E326">
    <cfRule type="expression" dxfId="9355" priority="1114">
      <formula>B326=""</formula>
    </cfRule>
  </conditionalFormatting>
  <conditionalFormatting sqref="E327">
    <cfRule type="expression" dxfId="9354" priority="1113">
      <formula>B327=""</formula>
    </cfRule>
  </conditionalFormatting>
  <conditionalFormatting sqref="E309 E311 E313 E315 E317 E319 E321 E323 E325 E327">
    <cfRule type="expression" dxfId="9353" priority="1112">
      <formula>B309=""</formula>
    </cfRule>
  </conditionalFormatting>
  <conditionalFormatting sqref="E310:E320">
    <cfRule type="expression" dxfId="9352" priority="1111">
      <formula>B310=""</formula>
    </cfRule>
  </conditionalFormatting>
  <conditionalFormatting sqref="E321">
    <cfRule type="expression" dxfId="9351" priority="1110">
      <formula>B321=""</formula>
    </cfRule>
  </conditionalFormatting>
  <conditionalFormatting sqref="E322">
    <cfRule type="expression" dxfId="9350" priority="1109">
      <formula>B322=""</formula>
    </cfRule>
  </conditionalFormatting>
  <conditionalFormatting sqref="E323">
    <cfRule type="expression" dxfId="9349" priority="1108">
      <formula>B323=""</formula>
    </cfRule>
  </conditionalFormatting>
  <conditionalFormatting sqref="E324">
    <cfRule type="expression" dxfId="9348" priority="1107">
      <formula>B324=""</formula>
    </cfRule>
  </conditionalFormatting>
  <conditionalFormatting sqref="E325">
    <cfRule type="expression" dxfId="9347" priority="1106">
      <formula>B325=""</formula>
    </cfRule>
  </conditionalFormatting>
  <conditionalFormatting sqref="E326">
    <cfRule type="expression" dxfId="9346" priority="1105">
      <formula>B326=""</formula>
    </cfRule>
  </conditionalFormatting>
  <conditionalFormatting sqref="E327">
    <cfRule type="expression" dxfId="9345" priority="1104">
      <formula>B327=""</formula>
    </cfRule>
  </conditionalFormatting>
  <conditionalFormatting sqref="E330 E332 E334 E336 E338 E340 E342 E344 E346 E348">
    <cfRule type="expression" dxfId="9344" priority="1103">
      <formula>B330=""</formula>
    </cfRule>
  </conditionalFormatting>
  <conditionalFormatting sqref="E331 E333 E335 E337 E339 E341 E343 E345 E347 E349">
    <cfRule type="expression" dxfId="9343" priority="1102">
      <formula>B331=""</formula>
    </cfRule>
  </conditionalFormatting>
  <conditionalFormatting sqref="E332:E342">
    <cfRule type="expression" dxfId="9342" priority="1101">
      <formula>B332=""</formula>
    </cfRule>
  </conditionalFormatting>
  <conditionalFormatting sqref="E343">
    <cfRule type="expression" dxfId="9341" priority="1100">
      <formula>B343=""</formula>
    </cfRule>
  </conditionalFormatting>
  <conditionalFormatting sqref="E344">
    <cfRule type="expression" dxfId="9340" priority="1099">
      <formula>B344=""</formula>
    </cfRule>
  </conditionalFormatting>
  <conditionalFormatting sqref="E345">
    <cfRule type="expression" dxfId="9339" priority="1098">
      <formula>B345=""</formula>
    </cfRule>
  </conditionalFormatting>
  <conditionalFormatting sqref="E346">
    <cfRule type="expression" dxfId="9338" priority="1097">
      <formula>B346=""</formula>
    </cfRule>
  </conditionalFormatting>
  <conditionalFormatting sqref="E347">
    <cfRule type="expression" dxfId="9337" priority="1096">
      <formula>B347=""</formula>
    </cfRule>
  </conditionalFormatting>
  <conditionalFormatting sqref="E348">
    <cfRule type="expression" dxfId="9336" priority="1095">
      <formula>B348=""</formula>
    </cfRule>
  </conditionalFormatting>
  <conditionalFormatting sqref="E349">
    <cfRule type="expression" dxfId="9335" priority="1094">
      <formula>B349=""</formula>
    </cfRule>
  </conditionalFormatting>
  <conditionalFormatting sqref="E331 E333 E335 E337 E339 E341 E343 E345 E347 E349">
    <cfRule type="expression" dxfId="9334" priority="1093">
      <formula>B331=""</formula>
    </cfRule>
  </conditionalFormatting>
  <conditionalFormatting sqref="E332:E342">
    <cfRule type="expression" dxfId="9333" priority="1092">
      <formula>B332=""</formula>
    </cfRule>
  </conditionalFormatting>
  <conditionalFormatting sqref="E343">
    <cfRule type="expression" dxfId="9332" priority="1091">
      <formula>B343=""</formula>
    </cfRule>
  </conditionalFormatting>
  <conditionalFormatting sqref="E344">
    <cfRule type="expression" dxfId="9331" priority="1090">
      <formula>B344=""</formula>
    </cfRule>
  </conditionalFormatting>
  <conditionalFormatting sqref="E345">
    <cfRule type="expression" dxfId="9330" priority="1089">
      <formula>B345=""</formula>
    </cfRule>
  </conditionalFormatting>
  <conditionalFormatting sqref="E346">
    <cfRule type="expression" dxfId="9329" priority="1088">
      <formula>B346=""</formula>
    </cfRule>
  </conditionalFormatting>
  <conditionalFormatting sqref="E347">
    <cfRule type="expression" dxfId="9328" priority="1087">
      <formula>B347=""</formula>
    </cfRule>
  </conditionalFormatting>
  <conditionalFormatting sqref="E348">
    <cfRule type="expression" dxfId="9327" priority="1086">
      <formula>B348=""</formula>
    </cfRule>
  </conditionalFormatting>
  <conditionalFormatting sqref="E349">
    <cfRule type="expression" dxfId="9326" priority="1085">
      <formula>B349=""</formula>
    </cfRule>
  </conditionalFormatting>
  <conditionalFormatting sqref="E330:E349">
    <cfRule type="expression" dxfId="9325" priority="1084">
      <formula>B330=""</formula>
    </cfRule>
  </conditionalFormatting>
  <conditionalFormatting sqref="E331 E333 E335 E337 E339 E341 E343 E345 E347 E349">
    <cfRule type="expression" dxfId="9324" priority="1083">
      <formula>B331=""</formula>
    </cfRule>
  </conditionalFormatting>
  <conditionalFormatting sqref="E332:E342">
    <cfRule type="expression" dxfId="9323" priority="1082">
      <formula>B332=""</formula>
    </cfRule>
  </conditionalFormatting>
  <conditionalFormatting sqref="E343">
    <cfRule type="expression" dxfId="9322" priority="1081">
      <formula>B343=""</formula>
    </cfRule>
  </conditionalFormatting>
  <conditionalFormatting sqref="E344">
    <cfRule type="expression" dxfId="9321" priority="1080">
      <formula>B344=""</formula>
    </cfRule>
  </conditionalFormatting>
  <conditionalFormatting sqref="E345">
    <cfRule type="expression" dxfId="9320" priority="1079">
      <formula>B345=""</formula>
    </cfRule>
  </conditionalFormatting>
  <conditionalFormatting sqref="E346">
    <cfRule type="expression" dxfId="9319" priority="1078">
      <formula>B346=""</formula>
    </cfRule>
  </conditionalFormatting>
  <conditionalFormatting sqref="E347">
    <cfRule type="expression" dxfId="9318" priority="1077">
      <formula>B347=""</formula>
    </cfRule>
  </conditionalFormatting>
  <conditionalFormatting sqref="E348">
    <cfRule type="expression" dxfId="9317" priority="1076">
      <formula>B348=""</formula>
    </cfRule>
  </conditionalFormatting>
  <conditionalFormatting sqref="E349">
    <cfRule type="expression" dxfId="9316" priority="1075">
      <formula>B349=""</formula>
    </cfRule>
  </conditionalFormatting>
  <conditionalFormatting sqref="E331 E333 E335 E337 E339 E341 E343 E345 E347 E349">
    <cfRule type="expression" dxfId="9315" priority="1074">
      <formula>B331=""</formula>
    </cfRule>
  </conditionalFormatting>
  <conditionalFormatting sqref="E332:E342">
    <cfRule type="expression" dxfId="9314" priority="1073">
      <formula>B332=""</formula>
    </cfRule>
  </conditionalFormatting>
  <conditionalFormatting sqref="E343">
    <cfRule type="expression" dxfId="9313" priority="1072">
      <formula>B343=""</formula>
    </cfRule>
  </conditionalFormatting>
  <conditionalFormatting sqref="E344">
    <cfRule type="expression" dxfId="9312" priority="1071">
      <formula>B344=""</formula>
    </cfRule>
  </conditionalFormatting>
  <conditionalFormatting sqref="E345">
    <cfRule type="expression" dxfId="9311" priority="1070">
      <formula>B345=""</formula>
    </cfRule>
  </conditionalFormatting>
  <conditionalFormatting sqref="E346">
    <cfRule type="expression" dxfId="9310" priority="1069">
      <formula>B346=""</formula>
    </cfRule>
  </conditionalFormatting>
  <conditionalFormatting sqref="E347">
    <cfRule type="expression" dxfId="9309" priority="1068">
      <formula>B347=""</formula>
    </cfRule>
  </conditionalFormatting>
  <conditionalFormatting sqref="E348">
    <cfRule type="expression" dxfId="9308" priority="1067">
      <formula>B348=""</formula>
    </cfRule>
  </conditionalFormatting>
  <conditionalFormatting sqref="E349">
    <cfRule type="expression" dxfId="9307" priority="1066">
      <formula>B349=""</formula>
    </cfRule>
  </conditionalFormatting>
  <conditionalFormatting sqref="E308 E310 E312 E314 E316 E318 E320 E322 E324 E326">
    <cfRule type="expression" dxfId="9306" priority="1065">
      <formula>B308=""</formula>
    </cfRule>
  </conditionalFormatting>
  <conditionalFormatting sqref="E309 E311 E313 E315 E317 E319 E321 E323 E325 E327">
    <cfRule type="expression" dxfId="9305" priority="1064">
      <formula>B309=""</formula>
    </cfRule>
  </conditionalFormatting>
  <conditionalFormatting sqref="E310:E320">
    <cfRule type="expression" dxfId="9304" priority="1063">
      <formula>B310=""</formula>
    </cfRule>
  </conditionalFormatting>
  <conditionalFormatting sqref="E321">
    <cfRule type="expression" dxfId="9303" priority="1062">
      <formula>B321=""</formula>
    </cfRule>
  </conditionalFormatting>
  <conditionalFormatting sqref="E322">
    <cfRule type="expression" dxfId="9302" priority="1061">
      <formula>B322=""</formula>
    </cfRule>
  </conditionalFormatting>
  <conditionalFormatting sqref="E323">
    <cfRule type="expression" dxfId="9301" priority="1060">
      <formula>B323=""</formula>
    </cfRule>
  </conditionalFormatting>
  <conditionalFormatting sqref="E324">
    <cfRule type="expression" dxfId="9300" priority="1059">
      <formula>B324=""</formula>
    </cfRule>
  </conditionalFormatting>
  <conditionalFormatting sqref="E325">
    <cfRule type="expression" dxfId="9299" priority="1058">
      <formula>B325=""</formula>
    </cfRule>
  </conditionalFormatting>
  <conditionalFormatting sqref="E326">
    <cfRule type="expression" dxfId="9298" priority="1057">
      <formula>B326=""</formula>
    </cfRule>
  </conditionalFormatting>
  <conditionalFormatting sqref="E327">
    <cfRule type="expression" dxfId="9297" priority="1056">
      <formula>B327=""</formula>
    </cfRule>
  </conditionalFormatting>
  <conditionalFormatting sqref="E328">
    <cfRule type="expression" dxfId="9296" priority="1055">
      <formula>B328=""</formula>
    </cfRule>
  </conditionalFormatting>
  <conditionalFormatting sqref="E309 E311 E313 E315 E317 E319 E321 E323 E325 E327">
    <cfRule type="expression" dxfId="9295" priority="1054">
      <formula>B309=""</formula>
    </cfRule>
  </conditionalFormatting>
  <conditionalFormatting sqref="E310:E320">
    <cfRule type="expression" dxfId="9294" priority="1053">
      <formula>B310=""</formula>
    </cfRule>
  </conditionalFormatting>
  <conditionalFormatting sqref="E321">
    <cfRule type="expression" dxfId="9293" priority="1052">
      <formula>B321=""</formula>
    </cfRule>
  </conditionalFormatting>
  <conditionalFormatting sqref="E322">
    <cfRule type="expression" dxfId="9292" priority="1051">
      <formula>B322=""</formula>
    </cfRule>
  </conditionalFormatting>
  <conditionalFormatting sqref="E323">
    <cfRule type="expression" dxfId="9291" priority="1050">
      <formula>B323=""</formula>
    </cfRule>
  </conditionalFormatting>
  <conditionalFormatting sqref="E324">
    <cfRule type="expression" dxfId="9290" priority="1049">
      <formula>B324=""</formula>
    </cfRule>
  </conditionalFormatting>
  <conditionalFormatting sqref="E325">
    <cfRule type="expression" dxfId="9289" priority="1048">
      <formula>B325=""</formula>
    </cfRule>
  </conditionalFormatting>
  <conditionalFormatting sqref="E326">
    <cfRule type="expression" dxfId="9288" priority="1047">
      <formula>B326=""</formula>
    </cfRule>
  </conditionalFormatting>
  <conditionalFormatting sqref="E327">
    <cfRule type="expression" dxfId="9287" priority="1046">
      <formula>B327=""</formula>
    </cfRule>
  </conditionalFormatting>
  <conditionalFormatting sqref="E328">
    <cfRule type="expression" dxfId="9286" priority="1045">
      <formula>B328=""</formula>
    </cfRule>
  </conditionalFormatting>
  <conditionalFormatting sqref="E330 E332 E334 E336 E338 E340 E342 E344 E346 E348">
    <cfRule type="expression" dxfId="9285" priority="1044">
      <formula>B330=""</formula>
    </cfRule>
  </conditionalFormatting>
  <conditionalFormatting sqref="E331 E333 E335 E337 E339 E341 E343 E345 E347 E349">
    <cfRule type="expression" dxfId="9284" priority="1043">
      <formula>B331=""</formula>
    </cfRule>
  </conditionalFormatting>
  <conditionalFormatting sqref="E332:E342">
    <cfRule type="expression" dxfId="9283" priority="1042">
      <formula>B332=""</formula>
    </cfRule>
  </conditionalFormatting>
  <conditionalFormatting sqref="E343">
    <cfRule type="expression" dxfId="9282" priority="1041">
      <formula>B343=""</formula>
    </cfRule>
  </conditionalFormatting>
  <conditionalFormatting sqref="E344">
    <cfRule type="expression" dxfId="9281" priority="1040">
      <formula>B344=""</formula>
    </cfRule>
  </conditionalFormatting>
  <conditionalFormatting sqref="E345">
    <cfRule type="expression" dxfId="9280" priority="1039">
      <formula>B345=""</formula>
    </cfRule>
  </conditionalFormatting>
  <conditionalFormatting sqref="E346">
    <cfRule type="expression" dxfId="9279" priority="1038">
      <formula>B346=""</formula>
    </cfRule>
  </conditionalFormatting>
  <conditionalFormatting sqref="E347">
    <cfRule type="expression" dxfId="9278" priority="1037">
      <formula>B347=""</formula>
    </cfRule>
  </conditionalFormatting>
  <conditionalFormatting sqref="E348">
    <cfRule type="expression" dxfId="9277" priority="1036">
      <formula>B348=""</formula>
    </cfRule>
  </conditionalFormatting>
  <conditionalFormatting sqref="E349">
    <cfRule type="expression" dxfId="9276" priority="1035">
      <formula>B349=""</formula>
    </cfRule>
  </conditionalFormatting>
  <conditionalFormatting sqref="E350">
    <cfRule type="expression" dxfId="9275" priority="1034">
      <formula>B350=""</formula>
    </cfRule>
  </conditionalFormatting>
  <conditionalFormatting sqref="E331 E333 E335 E337 E339 E341 E343 E345 E347 E349">
    <cfRule type="expression" dxfId="9274" priority="1033">
      <formula>B331=""</formula>
    </cfRule>
  </conditionalFormatting>
  <conditionalFormatting sqref="E332:E342">
    <cfRule type="expression" dxfId="9273" priority="1032">
      <formula>B332=""</formula>
    </cfRule>
  </conditionalFormatting>
  <conditionalFormatting sqref="E343">
    <cfRule type="expression" dxfId="9272" priority="1031">
      <formula>B343=""</formula>
    </cfRule>
  </conditionalFormatting>
  <conditionalFormatting sqref="E344">
    <cfRule type="expression" dxfId="9271" priority="1030">
      <formula>B344=""</formula>
    </cfRule>
  </conditionalFormatting>
  <conditionalFormatting sqref="E345">
    <cfRule type="expression" dxfId="9270" priority="1029">
      <formula>B345=""</formula>
    </cfRule>
  </conditionalFormatting>
  <conditionalFormatting sqref="E346">
    <cfRule type="expression" dxfId="9269" priority="1028">
      <formula>B346=""</formula>
    </cfRule>
  </conditionalFormatting>
  <conditionalFormatting sqref="E347">
    <cfRule type="expression" dxfId="9268" priority="1027">
      <formula>B347=""</formula>
    </cfRule>
  </conditionalFormatting>
  <conditionalFormatting sqref="E348">
    <cfRule type="expression" dxfId="9267" priority="1026">
      <formula>B348=""</formula>
    </cfRule>
  </conditionalFormatting>
  <conditionalFormatting sqref="E349">
    <cfRule type="expression" dxfId="9266" priority="1025">
      <formula>B349=""</formula>
    </cfRule>
  </conditionalFormatting>
  <conditionalFormatting sqref="E350">
    <cfRule type="expression" dxfId="9265" priority="1024">
      <formula>B350=""</formula>
    </cfRule>
  </conditionalFormatting>
  <conditionalFormatting sqref="E352 E354 E356 E358 E360 E362 E364 E366 E368 E370">
    <cfRule type="expression" dxfId="9264" priority="1023">
      <formula>B352=""</formula>
    </cfRule>
  </conditionalFormatting>
  <conditionalFormatting sqref="E353 E355 E357 E359 E361 E363 E365 E367 E369 E371">
    <cfRule type="expression" dxfId="9263" priority="1022">
      <formula>B353=""</formula>
    </cfRule>
  </conditionalFormatting>
  <conditionalFormatting sqref="E354:E364">
    <cfRule type="expression" dxfId="9262" priority="1021">
      <formula>B354=""</formula>
    </cfRule>
  </conditionalFormatting>
  <conditionalFormatting sqref="E365">
    <cfRule type="expression" dxfId="9261" priority="1020">
      <formula>B365=""</formula>
    </cfRule>
  </conditionalFormatting>
  <conditionalFormatting sqref="E366">
    <cfRule type="expression" dxfId="9260" priority="1019">
      <formula>B366=""</formula>
    </cfRule>
  </conditionalFormatting>
  <conditionalFormatting sqref="E367">
    <cfRule type="expression" dxfId="9259" priority="1018">
      <formula>B367=""</formula>
    </cfRule>
  </conditionalFormatting>
  <conditionalFormatting sqref="E368">
    <cfRule type="expression" dxfId="9258" priority="1017">
      <formula>B368=""</formula>
    </cfRule>
  </conditionalFormatting>
  <conditionalFormatting sqref="E369">
    <cfRule type="expression" dxfId="9257" priority="1016">
      <formula>B369=""</formula>
    </cfRule>
  </conditionalFormatting>
  <conditionalFormatting sqref="E370">
    <cfRule type="expression" dxfId="9256" priority="1015">
      <formula>B370=""</formula>
    </cfRule>
  </conditionalFormatting>
  <conditionalFormatting sqref="E371">
    <cfRule type="expression" dxfId="9255" priority="1014">
      <formula>B371=""</formula>
    </cfRule>
  </conditionalFormatting>
  <conditionalFormatting sqref="E372">
    <cfRule type="expression" dxfId="9254" priority="1013">
      <formula>B372=""</formula>
    </cfRule>
  </conditionalFormatting>
  <conditionalFormatting sqref="E353 E355 E357 E359 E361 E363 E365 E367 E369 E371">
    <cfRule type="expression" dxfId="9253" priority="1012">
      <formula>B353=""</formula>
    </cfRule>
  </conditionalFormatting>
  <conditionalFormatting sqref="E354:E364">
    <cfRule type="expression" dxfId="9252" priority="1011">
      <formula>B354=""</formula>
    </cfRule>
  </conditionalFormatting>
  <conditionalFormatting sqref="E365">
    <cfRule type="expression" dxfId="9251" priority="1010">
      <formula>B365=""</formula>
    </cfRule>
  </conditionalFormatting>
  <conditionalFormatting sqref="E366">
    <cfRule type="expression" dxfId="9250" priority="1009">
      <formula>B366=""</formula>
    </cfRule>
  </conditionalFormatting>
  <conditionalFormatting sqref="E367">
    <cfRule type="expression" dxfId="9249" priority="1008">
      <formula>B367=""</formula>
    </cfRule>
  </conditionalFormatting>
  <conditionalFormatting sqref="E368">
    <cfRule type="expression" dxfId="9248" priority="1007">
      <formula>B368=""</formula>
    </cfRule>
  </conditionalFormatting>
  <conditionalFormatting sqref="E369">
    <cfRule type="expression" dxfId="9247" priority="1006">
      <formula>B369=""</formula>
    </cfRule>
  </conditionalFormatting>
  <conditionalFormatting sqref="E370">
    <cfRule type="expression" dxfId="9246" priority="1005">
      <formula>B370=""</formula>
    </cfRule>
  </conditionalFormatting>
  <conditionalFormatting sqref="E371">
    <cfRule type="expression" dxfId="9245" priority="1004">
      <formula>B371=""</formula>
    </cfRule>
  </conditionalFormatting>
  <conditionalFormatting sqref="E372">
    <cfRule type="expression" dxfId="9244" priority="1003">
      <formula>B372=""</formula>
    </cfRule>
  </conditionalFormatting>
  <conditionalFormatting sqref="E374 E376 E378 E380 E382 E384 E386 E388 E390 E392">
    <cfRule type="expression" dxfId="9243" priority="1002">
      <formula>B374=""</formula>
    </cfRule>
  </conditionalFormatting>
  <conditionalFormatting sqref="E375 E377 E379 E381 E383 E385 E387 E389 E391 E393">
    <cfRule type="expression" dxfId="9242" priority="1001">
      <formula>B375=""</formula>
    </cfRule>
  </conditionalFormatting>
  <conditionalFormatting sqref="E376:E386">
    <cfRule type="expression" dxfId="9241" priority="1000">
      <formula>B376=""</formula>
    </cfRule>
  </conditionalFormatting>
  <conditionalFormatting sqref="E387">
    <cfRule type="expression" dxfId="9240" priority="999">
      <formula>B387=""</formula>
    </cfRule>
  </conditionalFormatting>
  <conditionalFormatting sqref="E388">
    <cfRule type="expression" dxfId="9239" priority="998">
      <formula>B388=""</formula>
    </cfRule>
  </conditionalFormatting>
  <conditionalFormatting sqref="E389">
    <cfRule type="expression" dxfId="9238" priority="997">
      <formula>B389=""</formula>
    </cfRule>
  </conditionalFormatting>
  <conditionalFormatting sqref="E390">
    <cfRule type="expression" dxfId="9237" priority="996">
      <formula>B390=""</formula>
    </cfRule>
  </conditionalFormatting>
  <conditionalFormatting sqref="E391">
    <cfRule type="expression" dxfId="9236" priority="995">
      <formula>B391=""</formula>
    </cfRule>
  </conditionalFormatting>
  <conditionalFormatting sqref="E392">
    <cfRule type="expression" dxfId="9235" priority="994">
      <formula>B392=""</formula>
    </cfRule>
  </conditionalFormatting>
  <conditionalFormatting sqref="E393">
    <cfRule type="expression" dxfId="9234" priority="993">
      <formula>B393=""</formula>
    </cfRule>
  </conditionalFormatting>
  <conditionalFormatting sqref="E394">
    <cfRule type="expression" dxfId="9233" priority="992">
      <formula>B394=""</formula>
    </cfRule>
  </conditionalFormatting>
  <conditionalFormatting sqref="E375 E377 E379 E381 E383 E385 E387 E389 E391 E393">
    <cfRule type="expression" dxfId="9232" priority="991">
      <formula>B375=""</formula>
    </cfRule>
  </conditionalFormatting>
  <conditionalFormatting sqref="E376:E386">
    <cfRule type="expression" dxfId="9231" priority="990">
      <formula>B376=""</formula>
    </cfRule>
  </conditionalFormatting>
  <conditionalFormatting sqref="E387">
    <cfRule type="expression" dxfId="9230" priority="989">
      <formula>B387=""</formula>
    </cfRule>
  </conditionalFormatting>
  <conditionalFormatting sqref="E388">
    <cfRule type="expression" dxfId="9229" priority="988">
      <formula>B388=""</formula>
    </cfRule>
  </conditionalFormatting>
  <conditionalFormatting sqref="E389">
    <cfRule type="expression" dxfId="9228" priority="987">
      <formula>B389=""</formula>
    </cfRule>
  </conditionalFormatting>
  <conditionalFormatting sqref="E390">
    <cfRule type="expression" dxfId="9227" priority="986">
      <formula>B390=""</formula>
    </cfRule>
  </conditionalFormatting>
  <conditionalFormatting sqref="E391">
    <cfRule type="expression" dxfId="9226" priority="985">
      <formula>B391=""</formula>
    </cfRule>
  </conditionalFormatting>
  <conditionalFormatting sqref="E392">
    <cfRule type="expression" dxfId="9225" priority="984">
      <formula>B392=""</formula>
    </cfRule>
  </conditionalFormatting>
  <conditionalFormatting sqref="E393">
    <cfRule type="expression" dxfId="9224" priority="983">
      <formula>B393=""</formula>
    </cfRule>
  </conditionalFormatting>
  <conditionalFormatting sqref="E394">
    <cfRule type="expression" dxfId="9223" priority="982">
      <formula>B394=""</formula>
    </cfRule>
  </conditionalFormatting>
  <conditionalFormatting sqref="E308:E327">
    <cfRule type="expression" dxfId="9222" priority="981">
      <formula>B308=""</formula>
    </cfRule>
  </conditionalFormatting>
  <conditionalFormatting sqref="E309 E311 E313 E315 E317 E319 E321 E323 E325 E327">
    <cfRule type="expression" dxfId="9221" priority="980">
      <formula>B309=""</formula>
    </cfRule>
  </conditionalFormatting>
  <conditionalFormatting sqref="E310:E320">
    <cfRule type="expression" dxfId="9220" priority="979">
      <formula>B310=""</formula>
    </cfRule>
  </conditionalFormatting>
  <conditionalFormatting sqref="E321">
    <cfRule type="expression" dxfId="9219" priority="978">
      <formula>B321=""</formula>
    </cfRule>
  </conditionalFormatting>
  <conditionalFormatting sqref="E322">
    <cfRule type="expression" dxfId="9218" priority="977">
      <formula>B322=""</formula>
    </cfRule>
  </conditionalFormatting>
  <conditionalFormatting sqref="E323">
    <cfRule type="expression" dxfId="9217" priority="976">
      <formula>B323=""</formula>
    </cfRule>
  </conditionalFormatting>
  <conditionalFormatting sqref="E324">
    <cfRule type="expression" dxfId="9216" priority="975">
      <formula>B324=""</formula>
    </cfRule>
  </conditionalFormatting>
  <conditionalFormatting sqref="E325">
    <cfRule type="expression" dxfId="9215" priority="974">
      <formula>B325=""</formula>
    </cfRule>
  </conditionalFormatting>
  <conditionalFormatting sqref="E326">
    <cfRule type="expression" dxfId="9214" priority="973">
      <formula>B326=""</formula>
    </cfRule>
  </conditionalFormatting>
  <conditionalFormatting sqref="E327">
    <cfRule type="expression" dxfId="9213" priority="972">
      <formula>B327=""</formula>
    </cfRule>
  </conditionalFormatting>
  <conditionalFormatting sqref="E309 E311 E313 E315 E317 E319 E321 E323 E325 E327">
    <cfRule type="expression" dxfId="9212" priority="971">
      <formula>B309=""</formula>
    </cfRule>
  </conditionalFormatting>
  <conditionalFormatting sqref="E310:E320">
    <cfRule type="expression" dxfId="9211" priority="970">
      <formula>B310=""</formula>
    </cfRule>
  </conditionalFormatting>
  <conditionalFormatting sqref="E321">
    <cfRule type="expression" dxfId="9210" priority="969">
      <formula>B321=""</formula>
    </cfRule>
  </conditionalFormatting>
  <conditionalFormatting sqref="E322">
    <cfRule type="expression" dxfId="9209" priority="968">
      <formula>B322=""</formula>
    </cfRule>
  </conditionalFormatting>
  <conditionalFormatting sqref="E323">
    <cfRule type="expression" dxfId="9208" priority="967">
      <formula>B323=""</formula>
    </cfRule>
  </conditionalFormatting>
  <conditionalFormatting sqref="E324">
    <cfRule type="expression" dxfId="9207" priority="966">
      <formula>B324=""</formula>
    </cfRule>
  </conditionalFormatting>
  <conditionalFormatting sqref="E325">
    <cfRule type="expression" dxfId="9206" priority="965">
      <formula>B325=""</formula>
    </cfRule>
  </conditionalFormatting>
  <conditionalFormatting sqref="E326">
    <cfRule type="expression" dxfId="9205" priority="964">
      <formula>B326=""</formula>
    </cfRule>
  </conditionalFormatting>
  <conditionalFormatting sqref="E327">
    <cfRule type="expression" dxfId="9204" priority="963">
      <formula>B327=""</formula>
    </cfRule>
  </conditionalFormatting>
  <conditionalFormatting sqref="E330 E332 E334 E336 E338 E340 E342 E344 E346 E348">
    <cfRule type="expression" dxfId="9203" priority="962">
      <formula>B330=""</formula>
    </cfRule>
  </conditionalFormatting>
  <conditionalFormatting sqref="E331 E333 E335 E337 E339 E341 E343 E345 E347 E349">
    <cfRule type="expression" dxfId="9202" priority="961">
      <formula>B331=""</formula>
    </cfRule>
  </conditionalFormatting>
  <conditionalFormatting sqref="E332:E342">
    <cfRule type="expression" dxfId="9201" priority="960">
      <formula>B332=""</formula>
    </cfRule>
  </conditionalFormatting>
  <conditionalFormatting sqref="E343">
    <cfRule type="expression" dxfId="9200" priority="959">
      <formula>B343=""</formula>
    </cfRule>
  </conditionalFormatting>
  <conditionalFormatting sqref="E344">
    <cfRule type="expression" dxfId="9199" priority="958">
      <formula>B344=""</formula>
    </cfRule>
  </conditionalFormatting>
  <conditionalFormatting sqref="E345">
    <cfRule type="expression" dxfId="9198" priority="957">
      <formula>B345=""</formula>
    </cfRule>
  </conditionalFormatting>
  <conditionalFormatting sqref="E346">
    <cfRule type="expression" dxfId="9197" priority="956">
      <formula>B346=""</formula>
    </cfRule>
  </conditionalFormatting>
  <conditionalFormatting sqref="E347">
    <cfRule type="expression" dxfId="9196" priority="955">
      <formula>B347=""</formula>
    </cfRule>
  </conditionalFormatting>
  <conditionalFormatting sqref="E348">
    <cfRule type="expression" dxfId="9195" priority="954">
      <formula>B348=""</formula>
    </cfRule>
  </conditionalFormatting>
  <conditionalFormatting sqref="E349">
    <cfRule type="expression" dxfId="9194" priority="953">
      <formula>B349=""</formula>
    </cfRule>
  </conditionalFormatting>
  <conditionalFormatting sqref="E331 E333 E335 E337 E339 E341 E343 E345 E347 E349">
    <cfRule type="expression" dxfId="9193" priority="952">
      <formula>B331=""</formula>
    </cfRule>
  </conditionalFormatting>
  <conditionalFormatting sqref="E332:E342">
    <cfRule type="expression" dxfId="9192" priority="951">
      <formula>B332=""</formula>
    </cfRule>
  </conditionalFormatting>
  <conditionalFormatting sqref="E343">
    <cfRule type="expression" dxfId="9191" priority="950">
      <formula>B343=""</formula>
    </cfRule>
  </conditionalFormatting>
  <conditionalFormatting sqref="E344">
    <cfRule type="expression" dxfId="9190" priority="949">
      <formula>B344=""</formula>
    </cfRule>
  </conditionalFormatting>
  <conditionalFormatting sqref="E345">
    <cfRule type="expression" dxfId="9189" priority="948">
      <formula>B345=""</formula>
    </cfRule>
  </conditionalFormatting>
  <conditionalFormatting sqref="E346">
    <cfRule type="expression" dxfId="9188" priority="947">
      <formula>B346=""</formula>
    </cfRule>
  </conditionalFormatting>
  <conditionalFormatting sqref="E347">
    <cfRule type="expression" dxfId="9187" priority="946">
      <formula>B347=""</formula>
    </cfRule>
  </conditionalFormatting>
  <conditionalFormatting sqref="E348">
    <cfRule type="expression" dxfId="9186" priority="945">
      <formula>B348=""</formula>
    </cfRule>
  </conditionalFormatting>
  <conditionalFormatting sqref="E349">
    <cfRule type="expression" dxfId="9185" priority="944">
      <formula>B349=""</formula>
    </cfRule>
  </conditionalFormatting>
  <conditionalFormatting sqref="E330:E349">
    <cfRule type="expression" dxfId="9184" priority="943">
      <formula>B330=""</formula>
    </cfRule>
  </conditionalFormatting>
  <conditionalFormatting sqref="E331 E333 E335 E337 E339 E341 E343 E345 E347 E349">
    <cfRule type="expression" dxfId="9183" priority="942">
      <formula>B331=""</formula>
    </cfRule>
  </conditionalFormatting>
  <conditionalFormatting sqref="E332:E342">
    <cfRule type="expression" dxfId="9182" priority="941">
      <formula>B332=""</formula>
    </cfRule>
  </conditionalFormatting>
  <conditionalFormatting sqref="E343">
    <cfRule type="expression" dxfId="9181" priority="940">
      <formula>B343=""</formula>
    </cfRule>
  </conditionalFormatting>
  <conditionalFormatting sqref="E344">
    <cfRule type="expression" dxfId="9180" priority="939">
      <formula>B344=""</formula>
    </cfRule>
  </conditionalFormatting>
  <conditionalFormatting sqref="E345">
    <cfRule type="expression" dxfId="9179" priority="938">
      <formula>B345=""</formula>
    </cfRule>
  </conditionalFormatting>
  <conditionalFormatting sqref="E346">
    <cfRule type="expression" dxfId="9178" priority="937">
      <formula>B346=""</formula>
    </cfRule>
  </conditionalFormatting>
  <conditionalFormatting sqref="E347">
    <cfRule type="expression" dxfId="9177" priority="936">
      <formula>B347=""</formula>
    </cfRule>
  </conditionalFormatting>
  <conditionalFormatting sqref="E348">
    <cfRule type="expression" dxfId="9176" priority="935">
      <formula>B348=""</formula>
    </cfRule>
  </conditionalFormatting>
  <conditionalFormatting sqref="E349">
    <cfRule type="expression" dxfId="9175" priority="934">
      <formula>B349=""</formula>
    </cfRule>
  </conditionalFormatting>
  <conditionalFormatting sqref="E331 E333 E335 E337 E339 E341 E343 E345 E347 E349">
    <cfRule type="expression" dxfId="9174" priority="933">
      <formula>B331=""</formula>
    </cfRule>
  </conditionalFormatting>
  <conditionalFormatting sqref="E332:E342">
    <cfRule type="expression" dxfId="9173" priority="932">
      <formula>B332=""</formula>
    </cfRule>
  </conditionalFormatting>
  <conditionalFormatting sqref="E343">
    <cfRule type="expression" dxfId="9172" priority="931">
      <formula>B343=""</formula>
    </cfRule>
  </conditionalFormatting>
  <conditionalFormatting sqref="E344">
    <cfRule type="expression" dxfId="9171" priority="930">
      <formula>B344=""</formula>
    </cfRule>
  </conditionalFormatting>
  <conditionalFormatting sqref="E345">
    <cfRule type="expression" dxfId="9170" priority="929">
      <formula>B345=""</formula>
    </cfRule>
  </conditionalFormatting>
  <conditionalFormatting sqref="E346">
    <cfRule type="expression" dxfId="9169" priority="928">
      <formula>B346=""</formula>
    </cfRule>
  </conditionalFormatting>
  <conditionalFormatting sqref="E347">
    <cfRule type="expression" dxfId="9168" priority="927">
      <formula>B347=""</formula>
    </cfRule>
  </conditionalFormatting>
  <conditionalFormatting sqref="E348">
    <cfRule type="expression" dxfId="9167" priority="926">
      <formula>B348=""</formula>
    </cfRule>
  </conditionalFormatting>
  <conditionalFormatting sqref="E349">
    <cfRule type="expression" dxfId="9166" priority="925">
      <formula>B349=""</formula>
    </cfRule>
  </conditionalFormatting>
  <conditionalFormatting sqref="E308 E310 E312 E314 E316 E318 E320 E322 E324 E326">
    <cfRule type="expression" dxfId="9165" priority="924">
      <formula>B308=""</formula>
    </cfRule>
  </conditionalFormatting>
  <conditionalFormatting sqref="E309 E311 E313 E315 E317 E319 E321 E323 E325 E327">
    <cfRule type="expression" dxfId="9164" priority="923">
      <formula>B309=""</formula>
    </cfRule>
  </conditionalFormatting>
  <conditionalFormatting sqref="E310:E320">
    <cfRule type="expression" dxfId="9163" priority="922">
      <formula>B310=""</formula>
    </cfRule>
  </conditionalFormatting>
  <conditionalFormatting sqref="E321:E323">
    <cfRule type="expression" dxfId="9162" priority="921">
      <formula>B321=""</formula>
    </cfRule>
  </conditionalFormatting>
  <conditionalFormatting sqref="E322">
    <cfRule type="expression" dxfId="9161" priority="920">
      <formula>B322=""</formula>
    </cfRule>
  </conditionalFormatting>
  <conditionalFormatting sqref="E323">
    <cfRule type="expression" dxfId="9160" priority="919">
      <formula>B323=""</formula>
    </cfRule>
  </conditionalFormatting>
  <conditionalFormatting sqref="E324">
    <cfRule type="expression" dxfId="9159" priority="918">
      <formula>B324=""</formula>
    </cfRule>
  </conditionalFormatting>
  <conditionalFormatting sqref="E325">
    <cfRule type="expression" dxfId="9158" priority="917">
      <formula>B325=""</formula>
    </cfRule>
  </conditionalFormatting>
  <conditionalFormatting sqref="E326">
    <cfRule type="expression" dxfId="9157" priority="916">
      <formula>B326=""</formula>
    </cfRule>
  </conditionalFormatting>
  <conditionalFormatting sqref="E327:E328">
    <cfRule type="expression" dxfId="9156" priority="915">
      <formula>B327=""</formula>
    </cfRule>
  </conditionalFormatting>
  <conditionalFormatting sqref="E328">
    <cfRule type="expression" dxfId="9155" priority="914">
      <formula>B328=""</formula>
    </cfRule>
  </conditionalFormatting>
  <conditionalFormatting sqref="E309 E311 E313 E315 E317 E319 E321 E323 E325 E327">
    <cfRule type="expression" dxfId="9154" priority="913">
      <formula>B309=""</formula>
    </cfRule>
  </conditionalFormatting>
  <conditionalFormatting sqref="E310:E320">
    <cfRule type="expression" dxfId="9153" priority="912">
      <formula>B310=""</formula>
    </cfRule>
  </conditionalFormatting>
  <conditionalFormatting sqref="E321:E323">
    <cfRule type="expression" dxfId="9152" priority="911">
      <formula>B321=""</formula>
    </cfRule>
  </conditionalFormatting>
  <conditionalFormatting sqref="E322">
    <cfRule type="expression" dxfId="9151" priority="910">
      <formula>B322=""</formula>
    </cfRule>
  </conditionalFormatting>
  <conditionalFormatting sqref="E323">
    <cfRule type="expression" dxfId="9150" priority="909">
      <formula>B323=""</formula>
    </cfRule>
  </conditionalFormatting>
  <conditionalFormatting sqref="E324">
    <cfRule type="expression" dxfId="9149" priority="908">
      <formula>B324=""</formula>
    </cfRule>
  </conditionalFormatting>
  <conditionalFormatting sqref="E325">
    <cfRule type="expression" dxfId="9148" priority="907">
      <formula>B325=""</formula>
    </cfRule>
  </conditionalFormatting>
  <conditionalFormatting sqref="E326">
    <cfRule type="expression" dxfId="9147" priority="906">
      <formula>B326=""</formula>
    </cfRule>
  </conditionalFormatting>
  <conditionalFormatting sqref="E327:E328">
    <cfRule type="expression" dxfId="9146" priority="905">
      <formula>B327=""</formula>
    </cfRule>
  </conditionalFormatting>
  <conditionalFormatting sqref="E328">
    <cfRule type="expression" dxfId="9145" priority="904">
      <formula>B328=""</formula>
    </cfRule>
  </conditionalFormatting>
  <conditionalFormatting sqref="E330 E332 E334 E336 E338 E340 E342 E344 E346 E348">
    <cfRule type="expression" dxfId="9144" priority="903">
      <formula>B330=""</formula>
    </cfRule>
  </conditionalFormatting>
  <conditionalFormatting sqref="E331 E333 E335 E337 E339 E341 E343 E345 E347 E349">
    <cfRule type="expression" dxfId="9143" priority="902">
      <formula>B331=""</formula>
    </cfRule>
  </conditionalFormatting>
  <conditionalFormatting sqref="E332:E342">
    <cfRule type="expression" dxfId="9142" priority="901">
      <formula>B332=""</formula>
    </cfRule>
  </conditionalFormatting>
  <conditionalFormatting sqref="E343">
    <cfRule type="expression" dxfId="9141" priority="900">
      <formula>B343=""</formula>
    </cfRule>
  </conditionalFormatting>
  <conditionalFormatting sqref="E344">
    <cfRule type="expression" dxfId="9140" priority="899">
      <formula>B344=""</formula>
    </cfRule>
  </conditionalFormatting>
  <conditionalFormatting sqref="E345">
    <cfRule type="expression" dxfId="9139" priority="898">
      <formula>B345=""</formula>
    </cfRule>
  </conditionalFormatting>
  <conditionalFormatting sqref="E346">
    <cfRule type="expression" dxfId="9138" priority="897">
      <formula>B346=""</formula>
    </cfRule>
  </conditionalFormatting>
  <conditionalFormatting sqref="E347">
    <cfRule type="expression" dxfId="9137" priority="896">
      <formula>B347=""</formula>
    </cfRule>
  </conditionalFormatting>
  <conditionalFormatting sqref="E348">
    <cfRule type="expression" dxfId="9136" priority="895">
      <formula>B348=""</formula>
    </cfRule>
  </conditionalFormatting>
  <conditionalFormatting sqref="E349:E350">
    <cfRule type="expression" dxfId="9135" priority="894">
      <formula>B349=""</formula>
    </cfRule>
  </conditionalFormatting>
  <conditionalFormatting sqref="E350">
    <cfRule type="expression" dxfId="9134" priority="893">
      <formula>B350=""</formula>
    </cfRule>
  </conditionalFormatting>
  <conditionalFormatting sqref="E331 E333 E335 E337 E339 E341 E343 E345 E347 E349">
    <cfRule type="expression" dxfId="9133" priority="892">
      <formula>B331=""</formula>
    </cfRule>
  </conditionalFormatting>
  <conditionalFormatting sqref="E332:E342">
    <cfRule type="expression" dxfId="9132" priority="891">
      <formula>B332=""</formula>
    </cfRule>
  </conditionalFormatting>
  <conditionalFormatting sqref="E343">
    <cfRule type="expression" dxfId="9131" priority="890">
      <formula>B343=""</formula>
    </cfRule>
  </conditionalFormatting>
  <conditionalFormatting sqref="E344">
    <cfRule type="expression" dxfId="9130" priority="889">
      <formula>B344=""</formula>
    </cfRule>
  </conditionalFormatting>
  <conditionalFormatting sqref="E345">
    <cfRule type="expression" dxfId="9129" priority="888">
      <formula>B345=""</formula>
    </cfRule>
  </conditionalFormatting>
  <conditionalFormatting sqref="E346">
    <cfRule type="expression" dxfId="9128" priority="887">
      <formula>B346=""</formula>
    </cfRule>
  </conditionalFormatting>
  <conditionalFormatting sqref="E347">
    <cfRule type="expression" dxfId="9127" priority="886">
      <formula>B347=""</formula>
    </cfRule>
  </conditionalFormatting>
  <conditionalFormatting sqref="E348">
    <cfRule type="expression" dxfId="9126" priority="885">
      <formula>B348=""</formula>
    </cfRule>
  </conditionalFormatting>
  <conditionalFormatting sqref="E349:E350">
    <cfRule type="expression" dxfId="9125" priority="884">
      <formula>B349=""</formula>
    </cfRule>
  </conditionalFormatting>
  <conditionalFormatting sqref="E350">
    <cfRule type="expression" dxfId="9124" priority="883">
      <formula>B350=""</formula>
    </cfRule>
  </conditionalFormatting>
  <conditionalFormatting sqref="E352:E372">
    <cfRule type="expression" dxfId="9123" priority="882">
      <formula>B352=""</formula>
    </cfRule>
  </conditionalFormatting>
  <conditionalFormatting sqref="E353 E355 E357 E359 E361 E363 E365 E367 E369 E371">
    <cfRule type="expression" dxfId="9122" priority="881">
      <formula>B353=""</formula>
    </cfRule>
  </conditionalFormatting>
  <conditionalFormatting sqref="E354:E364">
    <cfRule type="expression" dxfId="9121" priority="880">
      <formula>B354=""</formula>
    </cfRule>
  </conditionalFormatting>
  <conditionalFormatting sqref="E365">
    <cfRule type="expression" dxfId="9120" priority="879">
      <formula>B365=""</formula>
    </cfRule>
  </conditionalFormatting>
  <conditionalFormatting sqref="E366">
    <cfRule type="expression" dxfId="9119" priority="878">
      <formula>B366=""</formula>
    </cfRule>
  </conditionalFormatting>
  <conditionalFormatting sqref="E367">
    <cfRule type="expression" dxfId="9118" priority="877">
      <formula>B367=""</formula>
    </cfRule>
  </conditionalFormatting>
  <conditionalFormatting sqref="E368">
    <cfRule type="expression" dxfId="9117" priority="876">
      <formula>B368=""</formula>
    </cfRule>
  </conditionalFormatting>
  <conditionalFormatting sqref="E369">
    <cfRule type="expression" dxfId="9116" priority="875">
      <formula>B369=""</formula>
    </cfRule>
  </conditionalFormatting>
  <conditionalFormatting sqref="E370">
    <cfRule type="expression" dxfId="9115" priority="874">
      <formula>B370=""</formula>
    </cfRule>
  </conditionalFormatting>
  <conditionalFormatting sqref="E371">
    <cfRule type="expression" dxfId="9114" priority="873">
      <formula>B371=""</formula>
    </cfRule>
  </conditionalFormatting>
  <conditionalFormatting sqref="E372">
    <cfRule type="expression" dxfId="9113" priority="872">
      <formula>B372=""</formula>
    </cfRule>
  </conditionalFormatting>
  <conditionalFormatting sqref="E353 E355 E357 E359 E361 E363 E365 E367 E369 E371">
    <cfRule type="expression" dxfId="9112" priority="871">
      <formula>B353=""</formula>
    </cfRule>
  </conditionalFormatting>
  <conditionalFormatting sqref="E354:E364">
    <cfRule type="expression" dxfId="9111" priority="870">
      <formula>B354=""</formula>
    </cfRule>
  </conditionalFormatting>
  <conditionalFormatting sqref="E365">
    <cfRule type="expression" dxfId="9110" priority="869">
      <formula>B365=""</formula>
    </cfRule>
  </conditionalFormatting>
  <conditionalFormatting sqref="E366">
    <cfRule type="expression" dxfId="9109" priority="868">
      <formula>B366=""</formula>
    </cfRule>
  </conditionalFormatting>
  <conditionalFormatting sqref="E367">
    <cfRule type="expression" dxfId="9108" priority="867">
      <formula>B367=""</formula>
    </cfRule>
  </conditionalFormatting>
  <conditionalFormatting sqref="E368">
    <cfRule type="expression" dxfId="9107" priority="866">
      <formula>B368=""</formula>
    </cfRule>
  </conditionalFormatting>
  <conditionalFormatting sqref="E369">
    <cfRule type="expression" dxfId="9106" priority="865">
      <formula>B369=""</formula>
    </cfRule>
  </conditionalFormatting>
  <conditionalFormatting sqref="E370">
    <cfRule type="expression" dxfId="9105" priority="864">
      <formula>B370=""</formula>
    </cfRule>
  </conditionalFormatting>
  <conditionalFormatting sqref="E371">
    <cfRule type="expression" dxfId="9104" priority="863">
      <formula>B371=""</formula>
    </cfRule>
  </conditionalFormatting>
  <conditionalFormatting sqref="E372">
    <cfRule type="expression" dxfId="9103" priority="862">
      <formula>B372=""</formula>
    </cfRule>
  </conditionalFormatting>
  <conditionalFormatting sqref="E374 E376 E378 E380 E382 E384 E386 E388 E390 E392">
    <cfRule type="expression" dxfId="9102" priority="861">
      <formula>B374=""</formula>
    </cfRule>
  </conditionalFormatting>
  <conditionalFormatting sqref="E375 E377 E379 E381 E383 E385 E387 E389 E391 E393">
    <cfRule type="expression" dxfId="9101" priority="860">
      <formula>B375=""</formula>
    </cfRule>
  </conditionalFormatting>
  <conditionalFormatting sqref="E376:E386">
    <cfRule type="expression" dxfId="9100" priority="859">
      <formula>B376=""</formula>
    </cfRule>
  </conditionalFormatting>
  <conditionalFormatting sqref="E387">
    <cfRule type="expression" dxfId="9099" priority="858">
      <formula>B387=""</formula>
    </cfRule>
  </conditionalFormatting>
  <conditionalFormatting sqref="E388">
    <cfRule type="expression" dxfId="9098" priority="857">
      <formula>B388=""</formula>
    </cfRule>
  </conditionalFormatting>
  <conditionalFormatting sqref="E389">
    <cfRule type="expression" dxfId="9097" priority="856">
      <formula>B389=""</formula>
    </cfRule>
  </conditionalFormatting>
  <conditionalFormatting sqref="E390">
    <cfRule type="expression" dxfId="9096" priority="855">
      <formula>B390=""</formula>
    </cfRule>
  </conditionalFormatting>
  <conditionalFormatting sqref="E391">
    <cfRule type="expression" dxfId="9095" priority="854">
      <formula>B391=""</formula>
    </cfRule>
  </conditionalFormatting>
  <conditionalFormatting sqref="E392">
    <cfRule type="expression" dxfId="9094" priority="853">
      <formula>B392=""</formula>
    </cfRule>
  </conditionalFormatting>
  <conditionalFormatting sqref="E393">
    <cfRule type="expression" dxfId="9093" priority="852">
      <formula>B393=""</formula>
    </cfRule>
  </conditionalFormatting>
  <conditionalFormatting sqref="E394">
    <cfRule type="expression" dxfId="9092" priority="851">
      <formula>B394=""</formula>
    </cfRule>
  </conditionalFormatting>
  <conditionalFormatting sqref="E375 E377 E379 E381 E383 E385 E387 E389 E391 E393">
    <cfRule type="expression" dxfId="9091" priority="850">
      <formula>B375=""</formula>
    </cfRule>
  </conditionalFormatting>
  <conditionalFormatting sqref="E376:E386">
    <cfRule type="expression" dxfId="9090" priority="849">
      <formula>B376=""</formula>
    </cfRule>
  </conditionalFormatting>
  <conditionalFormatting sqref="E387">
    <cfRule type="expression" dxfId="9089" priority="848">
      <formula>B387=""</formula>
    </cfRule>
  </conditionalFormatting>
  <conditionalFormatting sqref="E388">
    <cfRule type="expression" dxfId="9088" priority="847">
      <formula>B388=""</formula>
    </cfRule>
  </conditionalFormatting>
  <conditionalFormatting sqref="E389">
    <cfRule type="expression" dxfId="9087" priority="846">
      <formula>B389=""</formula>
    </cfRule>
  </conditionalFormatting>
  <conditionalFormatting sqref="E390">
    <cfRule type="expression" dxfId="9086" priority="845">
      <formula>B390=""</formula>
    </cfRule>
  </conditionalFormatting>
  <conditionalFormatting sqref="E391">
    <cfRule type="expression" dxfId="9085" priority="844">
      <formula>B391=""</formula>
    </cfRule>
  </conditionalFormatting>
  <conditionalFormatting sqref="E392">
    <cfRule type="expression" dxfId="9084" priority="843">
      <formula>B392=""</formula>
    </cfRule>
  </conditionalFormatting>
  <conditionalFormatting sqref="E393">
    <cfRule type="expression" dxfId="9083" priority="842">
      <formula>B393=""</formula>
    </cfRule>
  </conditionalFormatting>
  <conditionalFormatting sqref="E394">
    <cfRule type="expression" dxfId="9082" priority="841">
      <formula>B394=""</formula>
    </cfRule>
  </conditionalFormatting>
  <conditionalFormatting sqref="E308:E328">
    <cfRule type="expression" dxfId="9081" priority="840">
      <formula>B308=""</formula>
    </cfRule>
  </conditionalFormatting>
  <conditionalFormatting sqref="E309 E311 E313 E315 E317 E319 E321 E323 E325 E327">
    <cfRule type="expression" dxfId="9080" priority="839">
      <formula>B309=""</formula>
    </cfRule>
  </conditionalFormatting>
  <conditionalFormatting sqref="E310:E320">
    <cfRule type="expression" dxfId="9079" priority="838">
      <formula>B310=""</formula>
    </cfRule>
  </conditionalFormatting>
  <conditionalFormatting sqref="E321:E323">
    <cfRule type="expression" dxfId="9078" priority="837">
      <formula>B321=""</formula>
    </cfRule>
  </conditionalFormatting>
  <conditionalFormatting sqref="E322">
    <cfRule type="expression" dxfId="9077" priority="836">
      <formula>B322=""</formula>
    </cfRule>
  </conditionalFormatting>
  <conditionalFormatting sqref="E323">
    <cfRule type="expression" dxfId="9076" priority="835">
      <formula>B323=""</formula>
    </cfRule>
  </conditionalFormatting>
  <conditionalFormatting sqref="E324">
    <cfRule type="expression" dxfId="9075" priority="834">
      <formula>B324=""</formula>
    </cfRule>
  </conditionalFormatting>
  <conditionalFormatting sqref="E325">
    <cfRule type="expression" dxfId="9074" priority="833">
      <formula>B325=""</formula>
    </cfRule>
  </conditionalFormatting>
  <conditionalFormatting sqref="E326">
    <cfRule type="expression" dxfId="9073" priority="832">
      <formula>B326=""</formula>
    </cfRule>
  </conditionalFormatting>
  <conditionalFormatting sqref="E327:E328">
    <cfRule type="expression" dxfId="9072" priority="831">
      <formula>B327=""</formula>
    </cfRule>
  </conditionalFormatting>
  <conditionalFormatting sqref="E309 E311 E313 E315 E317 E319 E321 E323 E325 E327">
    <cfRule type="expression" dxfId="9071" priority="830">
      <formula>B309=""</formula>
    </cfRule>
  </conditionalFormatting>
  <conditionalFormatting sqref="E310:E320">
    <cfRule type="expression" dxfId="9070" priority="829">
      <formula>B310=""</formula>
    </cfRule>
  </conditionalFormatting>
  <conditionalFormatting sqref="E321:E323">
    <cfRule type="expression" dxfId="9069" priority="828">
      <formula>B321=""</formula>
    </cfRule>
  </conditionalFormatting>
  <conditionalFormatting sqref="E322">
    <cfRule type="expression" dxfId="9068" priority="827">
      <formula>B322=""</formula>
    </cfRule>
  </conditionalFormatting>
  <conditionalFormatting sqref="E323">
    <cfRule type="expression" dxfId="9067" priority="826">
      <formula>B323=""</formula>
    </cfRule>
  </conditionalFormatting>
  <conditionalFormatting sqref="E324">
    <cfRule type="expression" dxfId="9066" priority="825">
      <formula>B324=""</formula>
    </cfRule>
  </conditionalFormatting>
  <conditionalFormatting sqref="E325">
    <cfRule type="expression" dxfId="9065" priority="824">
      <formula>B325=""</formula>
    </cfRule>
  </conditionalFormatting>
  <conditionalFormatting sqref="E326">
    <cfRule type="expression" dxfId="9064" priority="823">
      <formula>B326=""</formula>
    </cfRule>
  </conditionalFormatting>
  <conditionalFormatting sqref="E327:E328">
    <cfRule type="expression" dxfId="9063" priority="822">
      <formula>B327=""</formula>
    </cfRule>
  </conditionalFormatting>
  <conditionalFormatting sqref="E330 E332 E334 E336 E338 E340 E342 E344 E346 E348">
    <cfRule type="expression" dxfId="9062" priority="821">
      <formula>B330=""</formula>
    </cfRule>
  </conditionalFormatting>
  <conditionalFormatting sqref="E331 E333 E335 E337 E339 E341 E343 E345 E347 E349">
    <cfRule type="expression" dxfId="9061" priority="820">
      <formula>B331=""</formula>
    </cfRule>
  </conditionalFormatting>
  <conditionalFormatting sqref="E332:E342">
    <cfRule type="expression" dxfId="9060" priority="819">
      <formula>B332=""</formula>
    </cfRule>
  </conditionalFormatting>
  <conditionalFormatting sqref="E343">
    <cfRule type="expression" dxfId="9059" priority="818">
      <formula>B343=""</formula>
    </cfRule>
  </conditionalFormatting>
  <conditionalFormatting sqref="E344">
    <cfRule type="expression" dxfId="9058" priority="817">
      <formula>B344=""</formula>
    </cfRule>
  </conditionalFormatting>
  <conditionalFormatting sqref="E345">
    <cfRule type="expression" dxfId="9057" priority="816">
      <formula>B345=""</formula>
    </cfRule>
  </conditionalFormatting>
  <conditionalFormatting sqref="E346">
    <cfRule type="expression" dxfId="9056" priority="815">
      <formula>B346=""</formula>
    </cfRule>
  </conditionalFormatting>
  <conditionalFormatting sqref="E347">
    <cfRule type="expression" dxfId="9055" priority="814">
      <formula>B347=""</formula>
    </cfRule>
  </conditionalFormatting>
  <conditionalFormatting sqref="E348">
    <cfRule type="expression" dxfId="9054" priority="813">
      <formula>B348=""</formula>
    </cfRule>
  </conditionalFormatting>
  <conditionalFormatting sqref="E349:E350">
    <cfRule type="expression" dxfId="9053" priority="812">
      <formula>B349=""</formula>
    </cfRule>
  </conditionalFormatting>
  <conditionalFormatting sqref="E331 E333 E335 E337 E339 E341 E343 E345 E347 E349">
    <cfRule type="expression" dxfId="9052" priority="811">
      <formula>B331=""</formula>
    </cfRule>
  </conditionalFormatting>
  <conditionalFormatting sqref="E332:E342">
    <cfRule type="expression" dxfId="9051" priority="810">
      <formula>B332=""</formula>
    </cfRule>
  </conditionalFormatting>
  <conditionalFormatting sqref="E343">
    <cfRule type="expression" dxfId="9050" priority="809">
      <formula>B343=""</formula>
    </cfRule>
  </conditionalFormatting>
  <conditionalFormatting sqref="E344">
    <cfRule type="expression" dxfId="9049" priority="808">
      <formula>B344=""</formula>
    </cfRule>
  </conditionalFormatting>
  <conditionalFormatting sqref="E345">
    <cfRule type="expression" dxfId="9048" priority="807">
      <formula>B345=""</formula>
    </cfRule>
  </conditionalFormatting>
  <conditionalFormatting sqref="E346">
    <cfRule type="expression" dxfId="9047" priority="806">
      <formula>B346=""</formula>
    </cfRule>
  </conditionalFormatting>
  <conditionalFormatting sqref="E347">
    <cfRule type="expression" dxfId="9046" priority="805">
      <formula>B347=""</formula>
    </cfRule>
  </conditionalFormatting>
  <conditionalFormatting sqref="E348">
    <cfRule type="expression" dxfId="9045" priority="804">
      <formula>B348=""</formula>
    </cfRule>
  </conditionalFormatting>
  <conditionalFormatting sqref="E349:E350">
    <cfRule type="expression" dxfId="9044" priority="803">
      <formula>B349=""</formula>
    </cfRule>
  </conditionalFormatting>
  <conditionalFormatting sqref="E330:E350">
    <cfRule type="expression" dxfId="9043" priority="802">
      <formula>B330=""</formula>
    </cfRule>
  </conditionalFormatting>
  <conditionalFormatting sqref="E331 E333 E335 E337 E339 E341 E343 E345 E347 E349">
    <cfRule type="expression" dxfId="9042" priority="801">
      <formula>B331=""</formula>
    </cfRule>
  </conditionalFormatting>
  <conditionalFormatting sqref="E332:E342">
    <cfRule type="expression" dxfId="9041" priority="800">
      <formula>B332=""</formula>
    </cfRule>
  </conditionalFormatting>
  <conditionalFormatting sqref="E343">
    <cfRule type="expression" dxfId="9040" priority="799">
      <formula>B343=""</formula>
    </cfRule>
  </conditionalFormatting>
  <conditionalFormatting sqref="E344">
    <cfRule type="expression" dxfId="9039" priority="798">
      <formula>B344=""</formula>
    </cfRule>
  </conditionalFormatting>
  <conditionalFormatting sqref="E345">
    <cfRule type="expression" dxfId="9038" priority="797">
      <formula>B345=""</formula>
    </cfRule>
  </conditionalFormatting>
  <conditionalFormatting sqref="E346">
    <cfRule type="expression" dxfId="9037" priority="796">
      <formula>B346=""</formula>
    </cfRule>
  </conditionalFormatting>
  <conditionalFormatting sqref="E347">
    <cfRule type="expression" dxfId="9036" priority="795">
      <formula>B347=""</formula>
    </cfRule>
  </conditionalFormatting>
  <conditionalFormatting sqref="E348">
    <cfRule type="expression" dxfId="9035" priority="794">
      <formula>B348=""</formula>
    </cfRule>
  </conditionalFormatting>
  <conditionalFormatting sqref="E349:E350">
    <cfRule type="expression" dxfId="9034" priority="793">
      <formula>B349=""</formula>
    </cfRule>
  </conditionalFormatting>
  <conditionalFormatting sqref="E331 E333 E335 E337 E339 E341 E343 E345 E347 E349">
    <cfRule type="expression" dxfId="9033" priority="792">
      <formula>B331=""</formula>
    </cfRule>
  </conditionalFormatting>
  <conditionalFormatting sqref="E332:E342">
    <cfRule type="expression" dxfId="9032" priority="791">
      <formula>B332=""</formula>
    </cfRule>
  </conditionalFormatting>
  <conditionalFormatting sqref="E343">
    <cfRule type="expression" dxfId="9031" priority="790">
      <formula>B343=""</formula>
    </cfRule>
  </conditionalFormatting>
  <conditionalFormatting sqref="E344">
    <cfRule type="expression" dxfId="9030" priority="789">
      <formula>B344=""</formula>
    </cfRule>
  </conditionalFormatting>
  <conditionalFormatting sqref="E345">
    <cfRule type="expression" dxfId="9029" priority="788">
      <formula>B345=""</formula>
    </cfRule>
  </conditionalFormatting>
  <conditionalFormatting sqref="E346">
    <cfRule type="expression" dxfId="9028" priority="787">
      <formula>B346=""</formula>
    </cfRule>
  </conditionalFormatting>
  <conditionalFormatting sqref="E347">
    <cfRule type="expression" dxfId="9027" priority="786">
      <formula>B347=""</formula>
    </cfRule>
  </conditionalFormatting>
  <conditionalFormatting sqref="E348">
    <cfRule type="expression" dxfId="9026" priority="785">
      <formula>B348=""</formula>
    </cfRule>
  </conditionalFormatting>
  <conditionalFormatting sqref="E349:E350">
    <cfRule type="expression" dxfId="9025" priority="784">
      <formula>B349=""</formula>
    </cfRule>
  </conditionalFormatting>
  <conditionalFormatting sqref="E352:E372">
    <cfRule type="expression" dxfId="9024" priority="783">
      <formula>B352=""</formula>
    </cfRule>
  </conditionalFormatting>
  <conditionalFormatting sqref="E352:E372">
    <cfRule type="expression" dxfId="9023" priority="782">
      <formula>B352=""</formula>
    </cfRule>
  </conditionalFormatting>
  <conditionalFormatting sqref="E352:E372">
    <cfRule type="expression" dxfId="9022" priority="781">
      <formula>B352=""</formula>
    </cfRule>
  </conditionalFormatting>
  <conditionalFormatting sqref="E374:E394">
    <cfRule type="expression" dxfId="9021" priority="780">
      <formula>B374=""</formula>
    </cfRule>
  </conditionalFormatting>
  <conditionalFormatting sqref="E375 E377 E379 E381 E383 E385 E387 E389 E391 E393">
    <cfRule type="expression" dxfId="9020" priority="779">
      <formula>B375=""</formula>
    </cfRule>
  </conditionalFormatting>
  <conditionalFormatting sqref="E376:E386">
    <cfRule type="expression" dxfId="9019" priority="778">
      <formula>B376=""</formula>
    </cfRule>
  </conditionalFormatting>
  <conditionalFormatting sqref="E387">
    <cfRule type="expression" dxfId="9018" priority="777">
      <formula>B387=""</formula>
    </cfRule>
  </conditionalFormatting>
  <conditionalFormatting sqref="E388">
    <cfRule type="expression" dxfId="9017" priority="776">
      <formula>B388=""</formula>
    </cfRule>
  </conditionalFormatting>
  <conditionalFormatting sqref="E389">
    <cfRule type="expression" dxfId="9016" priority="775">
      <formula>B389=""</formula>
    </cfRule>
  </conditionalFormatting>
  <conditionalFormatting sqref="E390">
    <cfRule type="expression" dxfId="9015" priority="774">
      <formula>B390=""</formula>
    </cfRule>
  </conditionalFormatting>
  <conditionalFormatting sqref="E391">
    <cfRule type="expression" dxfId="9014" priority="773">
      <formula>B391=""</formula>
    </cfRule>
  </conditionalFormatting>
  <conditionalFormatting sqref="E392">
    <cfRule type="expression" dxfId="9013" priority="772">
      <formula>B392=""</formula>
    </cfRule>
  </conditionalFormatting>
  <conditionalFormatting sqref="E393">
    <cfRule type="expression" dxfId="9012" priority="771">
      <formula>B393=""</formula>
    </cfRule>
  </conditionalFormatting>
  <conditionalFormatting sqref="E394">
    <cfRule type="expression" dxfId="9011" priority="770">
      <formula>B394=""</formula>
    </cfRule>
  </conditionalFormatting>
  <conditionalFormatting sqref="E375 E377 E379 E381 E383 E385 E387 E389 E391 E393">
    <cfRule type="expression" dxfId="9010" priority="769">
      <formula>B375=""</formula>
    </cfRule>
  </conditionalFormatting>
  <conditionalFormatting sqref="E376:E386">
    <cfRule type="expression" dxfId="9009" priority="768">
      <formula>B376=""</formula>
    </cfRule>
  </conditionalFormatting>
  <conditionalFormatting sqref="E387">
    <cfRule type="expression" dxfId="9008" priority="767">
      <formula>B387=""</formula>
    </cfRule>
  </conditionalFormatting>
  <conditionalFormatting sqref="E388">
    <cfRule type="expression" dxfId="9007" priority="766">
      <formula>B388=""</formula>
    </cfRule>
  </conditionalFormatting>
  <conditionalFormatting sqref="E389">
    <cfRule type="expression" dxfId="9006" priority="765">
      <formula>B389=""</formula>
    </cfRule>
  </conditionalFormatting>
  <conditionalFormatting sqref="E390">
    <cfRule type="expression" dxfId="9005" priority="764">
      <formula>B390=""</formula>
    </cfRule>
  </conditionalFormatting>
  <conditionalFormatting sqref="E391">
    <cfRule type="expression" dxfId="9004" priority="763">
      <formula>B391=""</formula>
    </cfRule>
  </conditionalFormatting>
  <conditionalFormatting sqref="E392">
    <cfRule type="expression" dxfId="9003" priority="762">
      <formula>B392=""</formula>
    </cfRule>
  </conditionalFormatting>
  <conditionalFormatting sqref="E393">
    <cfRule type="expression" dxfId="9002" priority="761">
      <formula>B393=""</formula>
    </cfRule>
  </conditionalFormatting>
  <conditionalFormatting sqref="E394">
    <cfRule type="expression" dxfId="9001" priority="760">
      <formula>B394=""</formula>
    </cfRule>
  </conditionalFormatting>
  <conditionalFormatting sqref="E374:E394">
    <cfRule type="expression" dxfId="9000" priority="759">
      <formula>B374=""</formula>
    </cfRule>
  </conditionalFormatting>
  <conditionalFormatting sqref="E374:E394">
    <cfRule type="expression" dxfId="8999" priority="758">
      <formula>B374=""</formula>
    </cfRule>
  </conditionalFormatting>
  <conditionalFormatting sqref="E374:E394">
    <cfRule type="expression" dxfId="8998" priority="757">
      <formula>B374=""</formula>
    </cfRule>
  </conditionalFormatting>
  <conditionalFormatting sqref="E408 E410 E412 E414 E416 E418 E420 E422 E424 E426">
    <cfRule type="expression" dxfId="8997" priority="756">
      <formula>B408=""</formula>
    </cfRule>
  </conditionalFormatting>
  <conditionalFormatting sqref="E409 E411 E413 E415 E417 E419 E421 E423 E425 E427">
    <cfRule type="expression" dxfId="8996" priority="755">
      <formula>B409=""</formula>
    </cfRule>
  </conditionalFormatting>
  <conditionalFormatting sqref="E410:E420">
    <cfRule type="expression" dxfId="8995" priority="754">
      <formula>B410=""</formula>
    </cfRule>
  </conditionalFormatting>
  <conditionalFormatting sqref="E421">
    <cfRule type="expression" dxfId="8994" priority="753">
      <formula>B421=""</formula>
    </cfRule>
  </conditionalFormatting>
  <conditionalFormatting sqref="E422">
    <cfRule type="expression" dxfId="8993" priority="752">
      <formula>B422=""</formula>
    </cfRule>
  </conditionalFormatting>
  <conditionalFormatting sqref="E423">
    <cfRule type="expression" dxfId="8992" priority="751">
      <formula>B423=""</formula>
    </cfRule>
  </conditionalFormatting>
  <conditionalFormatting sqref="E424">
    <cfRule type="expression" dxfId="8991" priority="750">
      <formula>B424=""</formula>
    </cfRule>
  </conditionalFormatting>
  <conditionalFormatting sqref="E425">
    <cfRule type="expression" dxfId="8990" priority="749">
      <formula>B425=""</formula>
    </cfRule>
  </conditionalFormatting>
  <conditionalFormatting sqref="E426">
    <cfRule type="expression" dxfId="8989" priority="748">
      <formula>B426=""</formula>
    </cfRule>
  </conditionalFormatting>
  <conditionalFormatting sqref="E427">
    <cfRule type="expression" dxfId="8988" priority="747">
      <formula>B427=""</formula>
    </cfRule>
  </conditionalFormatting>
  <conditionalFormatting sqref="E428">
    <cfRule type="expression" dxfId="8987" priority="746">
      <formula>B428=""</formula>
    </cfRule>
  </conditionalFormatting>
  <conditionalFormatting sqref="E409 E411 E413 E415 E417 E419 E421 E423 E425 E427">
    <cfRule type="expression" dxfId="8986" priority="745">
      <formula>B409=""</formula>
    </cfRule>
  </conditionalFormatting>
  <conditionalFormatting sqref="E410:E420">
    <cfRule type="expression" dxfId="8985" priority="744">
      <formula>B410=""</formula>
    </cfRule>
  </conditionalFormatting>
  <conditionalFormatting sqref="E421">
    <cfRule type="expression" dxfId="8984" priority="743">
      <formula>B421=""</formula>
    </cfRule>
  </conditionalFormatting>
  <conditionalFormatting sqref="E422">
    <cfRule type="expression" dxfId="8983" priority="742">
      <formula>B422=""</formula>
    </cfRule>
  </conditionalFormatting>
  <conditionalFormatting sqref="E423">
    <cfRule type="expression" dxfId="8982" priority="741">
      <formula>B423=""</formula>
    </cfRule>
  </conditionalFormatting>
  <conditionalFormatting sqref="E424">
    <cfRule type="expression" dxfId="8981" priority="740">
      <formula>B424=""</formula>
    </cfRule>
  </conditionalFormatting>
  <conditionalFormatting sqref="E425">
    <cfRule type="expression" dxfId="8980" priority="739">
      <formula>B425=""</formula>
    </cfRule>
  </conditionalFormatting>
  <conditionalFormatting sqref="E426">
    <cfRule type="expression" dxfId="8979" priority="738">
      <formula>B426=""</formula>
    </cfRule>
  </conditionalFormatting>
  <conditionalFormatting sqref="E427">
    <cfRule type="expression" dxfId="8978" priority="737">
      <formula>B427=""</formula>
    </cfRule>
  </conditionalFormatting>
  <conditionalFormatting sqref="E428">
    <cfRule type="expression" dxfId="8977" priority="736">
      <formula>B428=""</formula>
    </cfRule>
  </conditionalFormatting>
  <conditionalFormatting sqref="E430 E432 E434 E436 E438 E440 E442 E444 E446 E448">
    <cfRule type="expression" dxfId="8976" priority="735">
      <formula>B430=""</formula>
    </cfRule>
  </conditionalFormatting>
  <conditionalFormatting sqref="E431 E433 E435 E437 E439 E441 E443 E445 E447 E449">
    <cfRule type="expression" dxfId="8975" priority="734">
      <formula>B431=""</formula>
    </cfRule>
  </conditionalFormatting>
  <conditionalFormatting sqref="E432:E442">
    <cfRule type="expression" dxfId="8974" priority="733">
      <formula>B432=""</formula>
    </cfRule>
  </conditionalFormatting>
  <conditionalFormatting sqref="E443">
    <cfRule type="expression" dxfId="8973" priority="732">
      <formula>B443=""</formula>
    </cfRule>
  </conditionalFormatting>
  <conditionalFormatting sqref="E444">
    <cfRule type="expression" dxfId="8972" priority="731">
      <formula>B444=""</formula>
    </cfRule>
  </conditionalFormatting>
  <conditionalFormatting sqref="E445">
    <cfRule type="expression" dxfId="8971" priority="730">
      <formula>B445=""</formula>
    </cfRule>
  </conditionalFormatting>
  <conditionalFormatting sqref="E446">
    <cfRule type="expression" dxfId="8970" priority="729">
      <formula>B446=""</formula>
    </cfRule>
  </conditionalFormatting>
  <conditionalFormatting sqref="E447">
    <cfRule type="expression" dxfId="8969" priority="728">
      <formula>B447=""</formula>
    </cfRule>
  </conditionalFormatting>
  <conditionalFormatting sqref="E448">
    <cfRule type="expression" dxfId="8968" priority="727">
      <formula>B448=""</formula>
    </cfRule>
  </conditionalFormatting>
  <conditionalFormatting sqref="E449">
    <cfRule type="expression" dxfId="8967" priority="726">
      <formula>B449=""</formula>
    </cfRule>
  </conditionalFormatting>
  <conditionalFormatting sqref="E450">
    <cfRule type="expression" dxfId="8966" priority="725">
      <formula>B450=""</formula>
    </cfRule>
  </conditionalFormatting>
  <conditionalFormatting sqref="E431 E433 E435 E437 E439 E441 E443 E445 E447 E449">
    <cfRule type="expression" dxfId="8965" priority="724">
      <formula>B431=""</formula>
    </cfRule>
  </conditionalFormatting>
  <conditionalFormatting sqref="E432:E442">
    <cfRule type="expression" dxfId="8964" priority="723">
      <formula>B432=""</formula>
    </cfRule>
  </conditionalFormatting>
  <conditionalFormatting sqref="E443">
    <cfRule type="expression" dxfId="8963" priority="722">
      <formula>B443=""</formula>
    </cfRule>
  </conditionalFormatting>
  <conditionalFormatting sqref="E444">
    <cfRule type="expression" dxfId="8962" priority="721">
      <formula>B444=""</formula>
    </cfRule>
  </conditionalFormatting>
  <conditionalFormatting sqref="E445">
    <cfRule type="expression" dxfId="8961" priority="720">
      <formula>B445=""</formula>
    </cfRule>
  </conditionalFormatting>
  <conditionalFormatting sqref="E446">
    <cfRule type="expression" dxfId="8960" priority="719">
      <formula>B446=""</formula>
    </cfRule>
  </conditionalFormatting>
  <conditionalFormatting sqref="E447">
    <cfRule type="expression" dxfId="8959" priority="718">
      <formula>B447=""</formula>
    </cfRule>
  </conditionalFormatting>
  <conditionalFormatting sqref="E448">
    <cfRule type="expression" dxfId="8958" priority="717">
      <formula>B448=""</formula>
    </cfRule>
  </conditionalFormatting>
  <conditionalFormatting sqref="E449">
    <cfRule type="expression" dxfId="8957" priority="716">
      <formula>B449=""</formula>
    </cfRule>
  </conditionalFormatting>
  <conditionalFormatting sqref="E450">
    <cfRule type="expression" dxfId="8956" priority="715">
      <formula>B450=""</formula>
    </cfRule>
  </conditionalFormatting>
  <conditionalFormatting sqref="E452 E454 E456 E458 E460 E462 E464 E466 E468 E470">
    <cfRule type="expression" dxfId="8955" priority="714">
      <formula>B452=""</formula>
    </cfRule>
  </conditionalFormatting>
  <conditionalFormatting sqref="E453 E455 E457 E459 E461 E463 E465 E467 E469 E471">
    <cfRule type="expression" dxfId="8954" priority="713">
      <formula>B453=""</formula>
    </cfRule>
  </conditionalFormatting>
  <conditionalFormatting sqref="E454:E464">
    <cfRule type="expression" dxfId="8953" priority="712">
      <formula>B454=""</formula>
    </cfRule>
  </conditionalFormatting>
  <conditionalFormatting sqref="E465">
    <cfRule type="expression" dxfId="8952" priority="711">
      <formula>B465=""</formula>
    </cfRule>
  </conditionalFormatting>
  <conditionalFormatting sqref="E466">
    <cfRule type="expression" dxfId="8951" priority="710">
      <formula>B466=""</formula>
    </cfRule>
  </conditionalFormatting>
  <conditionalFormatting sqref="E467">
    <cfRule type="expression" dxfId="8950" priority="709">
      <formula>B467=""</formula>
    </cfRule>
  </conditionalFormatting>
  <conditionalFormatting sqref="E468">
    <cfRule type="expression" dxfId="8949" priority="708">
      <formula>B468=""</formula>
    </cfRule>
  </conditionalFormatting>
  <conditionalFormatting sqref="E469">
    <cfRule type="expression" dxfId="8948" priority="707">
      <formula>B469=""</formula>
    </cfRule>
  </conditionalFormatting>
  <conditionalFormatting sqref="E470">
    <cfRule type="expression" dxfId="8947" priority="706">
      <formula>B470=""</formula>
    </cfRule>
  </conditionalFormatting>
  <conditionalFormatting sqref="E471">
    <cfRule type="expression" dxfId="8946" priority="705">
      <formula>B471=""</formula>
    </cfRule>
  </conditionalFormatting>
  <conditionalFormatting sqref="E472">
    <cfRule type="expression" dxfId="8945" priority="704">
      <formula>B472=""</formula>
    </cfRule>
  </conditionalFormatting>
  <conditionalFormatting sqref="E453 E455 E457 E459 E461 E463 E465 E467 E469 E471">
    <cfRule type="expression" dxfId="8944" priority="703">
      <formula>B453=""</formula>
    </cfRule>
  </conditionalFormatting>
  <conditionalFormatting sqref="E454:E464">
    <cfRule type="expression" dxfId="8943" priority="702">
      <formula>B454=""</formula>
    </cfRule>
  </conditionalFormatting>
  <conditionalFormatting sqref="E465">
    <cfRule type="expression" dxfId="8942" priority="701">
      <formula>B465=""</formula>
    </cfRule>
  </conditionalFormatting>
  <conditionalFormatting sqref="E466">
    <cfRule type="expression" dxfId="8941" priority="700">
      <formula>B466=""</formula>
    </cfRule>
  </conditionalFormatting>
  <conditionalFormatting sqref="E467">
    <cfRule type="expression" dxfId="8940" priority="699">
      <formula>B467=""</formula>
    </cfRule>
  </conditionalFormatting>
  <conditionalFormatting sqref="E468">
    <cfRule type="expression" dxfId="8939" priority="698">
      <formula>B468=""</formula>
    </cfRule>
  </conditionalFormatting>
  <conditionalFormatting sqref="E469">
    <cfRule type="expression" dxfId="8938" priority="697">
      <formula>B469=""</formula>
    </cfRule>
  </conditionalFormatting>
  <conditionalFormatting sqref="E470">
    <cfRule type="expression" dxfId="8937" priority="696">
      <formula>B470=""</formula>
    </cfRule>
  </conditionalFormatting>
  <conditionalFormatting sqref="E471">
    <cfRule type="expression" dxfId="8936" priority="695">
      <formula>B471=""</formula>
    </cfRule>
  </conditionalFormatting>
  <conditionalFormatting sqref="E472">
    <cfRule type="expression" dxfId="8935" priority="694">
      <formula>B472=""</formula>
    </cfRule>
  </conditionalFormatting>
  <conditionalFormatting sqref="E474 E476 E478 E480 E482 E484 E486 E488 E490 E492">
    <cfRule type="expression" dxfId="8934" priority="693">
      <formula>B474=""</formula>
    </cfRule>
  </conditionalFormatting>
  <conditionalFormatting sqref="E475 E477 E479 E481 E483 E485 E487 E489 E491 E493">
    <cfRule type="expression" dxfId="8933" priority="692">
      <formula>B475=""</formula>
    </cfRule>
  </conditionalFormatting>
  <conditionalFormatting sqref="E476:E486">
    <cfRule type="expression" dxfId="8932" priority="691">
      <formula>B476=""</formula>
    </cfRule>
  </conditionalFormatting>
  <conditionalFormatting sqref="E487">
    <cfRule type="expression" dxfId="8931" priority="690">
      <formula>B487=""</formula>
    </cfRule>
  </conditionalFormatting>
  <conditionalFormatting sqref="E488">
    <cfRule type="expression" dxfId="8930" priority="689">
      <formula>B488=""</formula>
    </cfRule>
  </conditionalFormatting>
  <conditionalFormatting sqref="E489">
    <cfRule type="expression" dxfId="8929" priority="688">
      <formula>B489=""</formula>
    </cfRule>
  </conditionalFormatting>
  <conditionalFormatting sqref="E490">
    <cfRule type="expression" dxfId="8928" priority="687">
      <formula>B490=""</formula>
    </cfRule>
  </conditionalFormatting>
  <conditionalFormatting sqref="E491">
    <cfRule type="expression" dxfId="8927" priority="686">
      <formula>B491=""</formula>
    </cfRule>
  </conditionalFormatting>
  <conditionalFormatting sqref="E492">
    <cfRule type="expression" dxfId="8926" priority="685">
      <formula>B492=""</formula>
    </cfRule>
  </conditionalFormatting>
  <conditionalFormatting sqref="E493">
    <cfRule type="expression" dxfId="8925" priority="684">
      <formula>B493=""</formula>
    </cfRule>
  </conditionalFormatting>
  <conditionalFormatting sqref="E494">
    <cfRule type="expression" dxfId="8924" priority="683">
      <formula>B494=""</formula>
    </cfRule>
  </conditionalFormatting>
  <conditionalFormatting sqref="E475 E477 E479 E481 E483 E485 E487 E489 E491 E493">
    <cfRule type="expression" dxfId="8923" priority="682">
      <formula>B475=""</formula>
    </cfRule>
  </conditionalFormatting>
  <conditionalFormatting sqref="E476:E486">
    <cfRule type="expression" dxfId="8922" priority="681">
      <formula>B476=""</formula>
    </cfRule>
  </conditionalFormatting>
  <conditionalFormatting sqref="E487">
    <cfRule type="expression" dxfId="8921" priority="680">
      <formula>B487=""</formula>
    </cfRule>
  </conditionalFormatting>
  <conditionalFormatting sqref="E488">
    <cfRule type="expression" dxfId="8920" priority="679">
      <formula>B488=""</formula>
    </cfRule>
  </conditionalFormatting>
  <conditionalFormatting sqref="E489">
    <cfRule type="expression" dxfId="8919" priority="678">
      <formula>B489=""</formula>
    </cfRule>
  </conditionalFormatting>
  <conditionalFormatting sqref="E490">
    <cfRule type="expression" dxfId="8918" priority="677">
      <formula>B490=""</formula>
    </cfRule>
  </conditionalFormatting>
  <conditionalFormatting sqref="E491">
    <cfRule type="expression" dxfId="8917" priority="676">
      <formula>B491=""</formula>
    </cfRule>
  </conditionalFormatting>
  <conditionalFormatting sqref="E492">
    <cfRule type="expression" dxfId="8916" priority="675">
      <formula>B492=""</formula>
    </cfRule>
  </conditionalFormatting>
  <conditionalFormatting sqref="E493">
    <cfRule type="expression" dxfId="8915" priority="674">
      <formula>B493=""</formula>
    </cfRule>
  </conditionalFormatting>
  <conditionalFormatting sqref="E494">
    <cfRule type="expression" dxfId="8914" priority="673">
      <formula>B494=""</formula>
    </cfRule>
  </conditionalFormatting>
  <conditionalFormatting sqref="E408:E427">
    <cfRule type="expression" dxfId="8913" priority="672">
      <formula>B408=""</formula>
    </cfRule>
  </conditionalFormatting>
  <conditionalFormatting sqref="E409 E411 E413 E415 E417 E419 E421 E423 E425 E427">
    <cfRule type="expression" dxfId="8912" priority="671">
      <formula>B409=""</formula>
    </cfRule>
  </conditionalFormatting>
  <conditionalFormatting sqref="E410:E420">
    <cfRule type="expression" dxfId="8911" priority="670">
      <formula>B410=""</formula>
    </cfRule>
  </conditionalFormatting>
  <conditionalFormatting sqref="E421">
    <cfRule type="expression" dxfId="8910" priority="669">
      <formula>B421=""</formula>
    </cfRule>
  </conditionalFormatting>
  <conditionalFormatting sqref="E422">
    <cfRule type="expression" dxfId="8909" priority="668">
      <formula>B422=""</formula>
    </cfRule>
  </conditionalFormatting>
  <conditionalFormatting sqref="E423">
    <cfRule type="expression" dxfId="8908" priority="667">
      <formula>B423=""</formula>
    </cfRule>
  </conditionalFormatting>
  <conditionalFormatting sqref="E424">
    <cfRule type="expression" dxfId="8907" priority="666">
      <formula>B424=""</formula>
    </cfRule>
  </conditionalFormatting>
  <conditionalFormatting sqref="E425">
    <cfRule type="expression" dxfId="8906" priority="665">
      <formula>B425=""</formula>
    </cfRule>
  </conditionalFormatting>
  <conditionalFormatting sqref="E426">
    <cfRule type="expression" dxfId="8905" priority="664">
      <formula>B426=""</formula>
    </cfRule>
  </conditionalFormatting>
  <conditionalFormatting sqref="E427">
    <cfRule type="expression" dxfId="8904" priority="663">
      <formula>B427=""</formula>
    </cfRule>
  </conditionalFormatting>
  <conditionalFormatting sqref="E409 E411 E413 E415 E417 E419 E421 E423 E425 E427">
    <cfRule type="expression" dxfId="8903" priority="662">
      <formula>B409=""</formula>
    </cfRule>
  </conditionalFormatting>
  <conditionalFormatting sqref="E410:E420">
    <cfRule type="expression" dxfId="8902" priority="661">
      <formula>B410=""</formula>
    </cfRule>
  </conditionalFormatting>
  <conditionalFormatting sqref="E421">
    <cfRule type="expression" dxfId="8901" priority="660">
      <formula>B421=""</formula>
    </cfRule>
  </conditionalFormatting>
  <conditionalFormatting sqref="E422">
    <cfRule type="expression" dxfId="8900" priority="659">
      <formula>B422=""</formula>
    </cfRule>
  </conditionalFormatting>
  <conditionalFormatting sqref="E423">
    <cfRule type="expression" dxfId="8899" priority="658">
      <formula>B423=""</formula>
    </cfRule>
  </conditionalFormatting>
  <conditionalFormatting sqref="E424">
    <cfRule type="expression" dxfId="8898" priority="657">
      <formula>B424=""</formula>
    </cfRule>
  </conditionalFormatting>
  <conditionalFormatting sqref="E425">
    <cfRule type="expression" dxfId="8897" priority="656">
      <formula>B425=""</formula>
    </cfRule>
  </conditionalFormatting>
  <conditionalFormatting sqref="E426">
    <cfRule type="expression" dxfId="8896" priority="655">
      <formula>B426=""</formula>
    </cfRule>
  </conditionalFormatting>
  <conditionalFormatting sqref="E427">
    <cfRule type="expression" dxfId="8895" priority="654">
      <formula>B427=""</formula>
    </cfRule>
  </conditionalFormatting>
  <conditionalFormatting sqref="E430 E432 E434 E436 E438 E440 E442 E444 E446 E448">
    <cfRule type="expression" dxfId="8894" priority="653">
      <formula>B430=""</formula>
    </cfRule>
  </conditionalFormatting>
  <conditionalFormatting sqref="E431 E433 E435 E437 E439 E441 E443 E445 E447 E449">
    <cfRule type="expression" dxfId="8893" priority="652">
      <formula>B431=""</formula>
    </cfRule>
  </conditionalFormatting>
  <conditionalFormatting sqref="E432:E442">
    <cfRule type="expression" dxfId="8892" priority="651">
      <formula>B432=""</formula>
    </cfRule>
  </conditionalFormatting>
  <conditionalFormatting sqref="E443">
    <cfRule type="expression" dxfId="8891" priority="650">
      <formula>B443=""</formula>
    </cfRule>
  </conditionalFormatting>
  <conditionalFormatting sqref="E444">
    <cfRule type="expression" dxfId="8890" priority="649">
      <formula>B444=""</formula>
    </cfRule>
  </conditionalFormatting>
  <conditionalFormatting sqref="E445">
    <cfRule type="expression" dxfId="8889" priority="648">
      <formula>B445=""</formula>
    </cfRule>
  </conditionalFormatting>
  <conditionalFormatting sqref="E446">
    <cfRule type="expression" dxfId="8888" priority="647">
      <formula>B446=""</formula>
    </cfRule>
  </conditionalFormatting>
  <conditionalFormatting sqref="E447">
    <cfRule type="expression" dxfId="8887" priority="646">
      <formula>B447=""</formula>
    </cfRule>
  </conditionalFormatting>
  <conditionalFormatting sqref="E448">
    <cfRule type="expression" dxfId="8886" priority="645">
      <formula>B448=""</formula>
    </cfRule>
  </conditionalFormatting>
  <conditionalFormatting sqref="E449">
    <cfRule type="expression" dxfId="8885" priority="644">
      <formula>B449=""</formula>
    </cfRule>
  </conditionalFormatting>
  <conditionalFormatting sqref="E431 E433 E435 E437 E439 E441 E443 E445 E447 E449">
    <cfRule type="expression" dxfId="8884" priority="643">
      <formula>B431=""</formula>
    </cfRule>
  </conditionalFormatting>
  <conditionalFormatting sqref="E432:E442">
    <cfRule type="expression" dxfId="8883" priority="642">
      <formula>B432=""</formula>
    </cfRule>
  </conditionalFormatting>
  <conditionalFormatting sqref="E443">
    <cfRule type="expression" dxfId="8882" priority="641">
      <formula>B443=""</formula>
    </cfRule>
  </conditionalFormatting>
  <conditionalFormatting sqref="E444">
    <cfRule type="expression" dxfId="8881" priority="640">
      <formula>B444=""</formula>
    </cfRule>
  </conditionalFormatting>
  <conditionalFormatting sqref="E445">
    <cfRule type="expression" dxfId="8880" priority="639">
      <formula>B445=""</formula>
    </cfRule>
  </conditionalFormatting>
  <conditionalFormatting sqref="E446">
    <cfRule type="expression" dxfId="8879" priority="638">
      <formula>B446=""</formula>
    </cfRule>
  </conditionalFormatting>
  <conditionalFormatting sqref="E447">
    <cfRule type="expression" dxfId="8878" priority="637">
      <formula>B447=""</formula>
    </cfRule>
  </conditionalFormatting>
  <conditionalFormatting sqref="E448">
    <cfRule type="expression" dxfId="8877" priority="636">
      <formula>B448=""</formula>
    </cfRule>
  </conditionalFormatting>
  <conditionalFormatting sqref="E449">
    <cfRule type="expression" dxfId="8876" priority="635">
      <formula>B449=""</formula>
    </cfRule>
  </conditionalFormatting>
  <conditionalFormatting sqref="E430:E449">
    <cfRule type="expression" dxfId="8875" priority="634">
      <formula>B430=""</formula>
    </cfRule>
  </conditionalFormatting>
  <conditionalFormatting sqref="E431 E433 E435 E437 E439 E441 E443 E445 E447 E449">
    <cfRule type="expression" dxfId="8874" priority="633">
      <formula>B431=""</formula>
    </cfRule>
  </conditionalFormatting>
  <conditionalFormatting sqref="E432:E442">
    <cfRule type="expression" dxfId="8873" priority="632">
      <formula>B432=""</formula>
    </cfRule>
  </conditionalFormatting>
  <conditionalFormatting sqref="E443">
    <cfRule type="expression" dxfId="8872" priority="631">
      <formula>B443=""</formula>
    </cfRule>
  </conditionalFormatting>
  <conditionalFormatting sqref="E444">
    <cfRule type="expression" dxfId="8871" priority="630">
      <formula>B444=""</formula>
    </cfRule>
  </conditionalFormatting>
  <conditionalFormatting sqref="E445">
    <cfRule type="expression" dxfId="8870" priority="629">
      <formula>B445=""</formula>
    </cfRule>
  </conditionalFormatting>
  <conditionalFormatting sqref="E446">
    <cfRule type="expression" dxfId="8869" priority="628">
      <formula>B446=""</formula>
    </cfRule>
  </conditionalFormatting>
  <conditionalFormatting sqref="E447">
    <cfRule type="expression" dxfId="8868" priority="627">
      <formula>B447=""</formula>
    </cfRule>
  </conditionalFormatting>
  <conditionalFormatting sqref="E448">
    <cfRule type="expression" dxfId="8867" priority="626">
      <formula>B448=""</formula>
    </cfRule>
  </conditionalFormatting>
  <conditionalFormatting sqref="E449">
    <cfRule type="expression" dxfId="8866" priority="625">
      <formula>B449=""</formula>
    </cfRule>
  </conditionalFormatting>
  <conditionalFormatting sqref="E431 E433 E435 E437 E439 E441 E443 E445 E447 E449">
    <cfRule type="expression" dxfId="8865" priority="624">
      <formula>B431=""</formula>
    </cfRule>
  </conditionalFormatting>
  <conditionalFormatting sqref="E432:E442">
    <cfRule type="expression" dxfId="8864" priority="623">
      <formula>B432=""</formula>
    </cfRule>
  </conditionalFormatting>
  <conditionalFormatting sqref="E443">
    <cfRule type="expression" dxfId="8863" priority="622">
      <formula>B443=""</formula>
    </cfRule>
  </conditionalFormatting>
  <conditionalFormatting sqref="E444">
    <cfRule type="expression" dxfId="8862" priority="621">
      <formula>B444=""</formula>
    </cfRule>
  </conditionalFormatting>
  <conditionalFormatting sqref="E445">
    <cfRule type="expression" dxfId="8861" priority="620">
      <formula>B445=""</formula>
    </cfRule>
  </conditionalFormatting>
  <conditionalFormatting sqref="E446">
    <cfRule type="expression" dxfId="8860" priority="619">
      <formula>B446=""</formula>
    </cfRule>
  </conditionalFormatting>
  <conditionalFormatting sqref="E447">
    <cfRule type="expression" dxfId="8859" priority="618">
      <formula>B447=""</formula>
    </cfRule>
  </conditionalFormatting>
  <conditionalFormatting sqref="E448">
    <cfRule type="expression" dxfId="8858" priority="617">
      <formula>B448=""</formula>
    </cfRule>
  </conditionalFormatting>
  <conditionalFormatting sqref="E449">
    <cfRule type="expression" dxfId="8857" priority="616">
      <formula>B449=""</formula>
    </cfRule>
  </conditionalFormatting>
  <conditionalFormatting sqref="E408 E410 E412 E414 E416 E418 E420 E422 E424 E426">
    <cfRule type="expression" dxfId="8856" priority="615">
      <formula>B408=""</formula>
    </cfRule>
  </conditionalFormatting>
  <conditionalFormatting sqref="E409 E411 E413 E415 E417 E419 E421 E423 E425 E427">
    <cfRule type="expression" dxfId="8855" priority="614">
      <formula>B409=""</formula>
    </cfRule>
  </conditionalFormatting>
  <conditionalFormatting sqref="E410:E420">
    <cfRule type="expression" dxfId="8854" priority="613">
      <formula>B410=""</formula>
    </cfRule>
  </conditionalFormatting>
  <conditionalFormatting sqref="E421">
    <cfRule type="expression" dxfId="8853" priority="612">
      <formula>B421=""</formula>
    </cfRule>
  </conditionalFormatting>
  <conditionalFormatting sqref="E422">
    <cfRule type="expression" dxfId="8852" priority="611">
      <formula>B422=""</formula>
    </cfRule>
  </conditionalFormatting>
  <conditionalFormatting sqref="E423">
    <cfRule type="expression" dxfId="8851" priority="610">
      <formula>B423=""</formula>
    </cfRule>
  </conditionalFormatting>
  <conditionalFormatting sqref="E424">
    <cfRule type="expression" dxfId="8850" priority="609">
      <formula>B424=""</formula>
    </cfRule>
  </conditionalFormatting>
  <conditionalFormatting sqref="E425">
    <cfRule type="expression" dxfId="8849" priority="608">
      <formula>B425=""</formula>
    </cfRule>
  </conditionalFormatting>
  <conditionalFormatting sqref="E426">
    <cfRule type="expression" dxfId="8848" priority="607">
      <formula>B426=""</formula>
    </cfRule>
  </conditionalFormatting>
  <conditionalFormatting sqref="E427">
    <cfRule type="expression" dxfId="8847" priority="606">
      <formula>B427=""</formula>
    </cfRule>
  </conditionalFormatting>
  <conditionalFormatting sqref="E428">
    <cfRule type="expression" dxfId="8846" priority="605">
      <formula>B428=""</formula>
    </cfRule>
  </conditionalFormatting>
  <conditionalFormatting sqref="E409 E411 E413 E415 E417 E419 E421 E423 E425 E427">
    <cfRule type="expression" dxfId="8845" priority="604">
      <formula>B409=""</formula>
    </cfRule>
  </conditionalFormatting>
  <conditionalFormatting sqref="E410:E420">
    <cfRule type="expression" dxfId="8844" priority="603">
      <formula>B410=""</formula>
    </cfRule>
  </conditionalFormatting>
  <conditionalFormatting sqref="E421">
    <cfRule type="expression" dxfId="8843" priority="602">
      <formula>B421=""</formula>
    </cfRule>
  </conditionalFormatting>
  <conditionalFormatting sqref="E422">
    <cfRule type="expression" dxfId="8842" priority="601">
      <formula>B422=""</formula>
    </cfRule>
  </conditionalFormatting>
  <conditionalFormatting sqref="E423">
    <cfRule type="expression" dxfId="8841" priority="600">
      <formula>B423=""</formula>
    </cfRule>
  </conditionalFormatting>
  <conditionalFormatting sqref="E424">
    <cfRule type="expression" dxfId="8840" priority="599">
      <formula>B424=""</formula>
    </cfRule>
  </conditionalFormatting>
  <conditionalFormatting sqref="E425">
    <cfRule type="expression" dxfId="8839" priority="598">
      <formula>B425=""</formula>
    </cfRule>
  </conditionalFormatting>
  <conditionalFormatting sqref="E426">
    <cfRule type="expression" dxfId="8838" priority="597">
      <formula>B426=""</formula>
    </cfRule>
  </conditionalFormatting>
  <conditionalFormatting sqref="E427">
    <cfRule type="expression" dxfId="8837" priority="596">
      <formula>B427=""</formula>
    </cfRule>
  </conditionalFormatting>
  <conditionalFormatting sqref="E428">
    <cfRule type="expression" dxfId="8836" priority="595">
      <formula>B428=""</formula>
    </cfRule>
  </conditionalFormatting>
  <conditionalFormatting sqref="E430 E432 E434 E436 E438 E440 E442 E444 E446 E448">
    <cfRule type="expression" dxfId="8835" priority="594">
      <formula>B430=""</formula>
    </cfRule>
  </conditionalFormatting>
  <conditionalFormatting sqref="E431 E433 E435 E437 E439 E441 E443 E445 E447 E449">
    <cfRule type="expression" dxfId="8834" priority="593">
      <formula>B431=""</formula>
    </cfRule>
  </conditionalFormatting>
  <conditionalFormatting sqref="E432:E442">
    <cfRule type="expression" dxfId="8833" priority="592">
      <formula>B432=""</formula>
    </cfRule>
  </conditionalFormatting>
  <conditionalFormatting sqref="E443">
    <cfRule type="expression" dxfId="8832" priority="591">
      <formula>B443=""</formula>
    </cfRule>
  </conditionalFormatting>
  <conditionalFormatting sqref="E444">
    <cfRule type="expression" dxfId="8831" priority="590">
      <formula>B444=""</formula>
    </cfRule>
  </conditionalFormatting>
  <conditionalFormatting sqref="E445">
    <cfRule type="expression" dxfId="8830" priority="589">
      <formula>B445=""</formula>
    </cfRule>
  </conditionalFormatting>
  <conditionalFormatting sqref="E446">
    <cfRule type="expression" dxfId="8829" priority="588">
      <formula>B446=""</formula>
    </cfRule>
  </conditionalFormatting>
  <conditionalFormatting sqref="E447">
    <cfRule type="expression" dxfId="8828" priority="587">
      <formula>B447=""</formula>
    </cfRule>
  </conditionalFormatting>
  <conditionalFormatting sqref="E448">
    <cfRule type="expression" dxfId="8827" priority="586">
      <formula>B448=""</formula>
    </cfRule>
  </conditionalFormatting>
  <conditionalFormatting sqref="E449">
    <cfRule type="expression" dxfId="8826" priority="585">
      <formula>B449=""</formula>
    </cfRule>
  </conditionalFormatting>
  <conditionalFormatting sqref="E450">
    <cfRule type="expression" dxfId="8825" priority="584">
      <formula>B450=""</formula>
    </cfRule>
  </conditionalFormatting>
  <conditionalFormatting sqref="E431 E433 E435 E437 E439 E441 E443 E445 E447 E449">
    <cfRule type="expression" dxfId="8824" priority="583">
      <formula>B431=""</formula>
    </cfRule>
  </conditionalFormatting>
  <conditionalFormatting sqref="E432:E442">
    <cfRule type="expression" dxfId="8823" priority="582">
      <formula>B432=""</formula>
    </cfRule>
  </conditionalFormatting>
  <conditionalFormatting sqref="E443">
    <cfRule type="expression" dxfId="8822" priority="581">
      <formula>B443=""</formula>
    </cfRule>
  </conditionalFormatting>
  <conditionalFormatting sqref="E444">
    <cfRule type="expression" dxfId="8821" priority="580">
      <formula>B444=""</formula>
    </cfRule>
  </conditionalFormatting>
  <conditionalFormatting sqref="E445">
    <cfRule type="expression" dxfId="8820" priority="579">
      <formula>B445=""</formula>
    </cfRule>
  </conditionalFormatting>
  <conditionalFormatting sqref="E446">
    <cfRule type="expression" dxfId="8819" priority="578">
      <formula>B446=""</formula>
    </cfRule>
  </conditionalFormatting>
  <conditionalFormatting sqref="E447">
    <cfRule type="expression" dxfId="8818" priority="577">
      <formula>B447=""</formula>
    </cfRule>
  </conditionalFormatting>
  <conditionalFormatting sqref="E448">
    <cfRule type="expression" dxfId="8817" priority="576">
      <formula>B448=""</formula>
    </cfRule>
  </conditionalFormatting>
  <conditionalFormatting sqref="E449">
    <cfRule type="expression" dxfId="8816" priority="575">
      <formula>B449=""</formula>
    </cfRule>
  </conditionalFormatting>
  <conditionalFormatting sqref="E450">
    <cfRule type="expression" dxfId="8815" priority="574">
      <formula>B450=""</formula>
    </cfRule>
  </conditionalFormatting>
  <conditionalFormatting sqref="E452 E454 E456 E458 E460 E462 E464 E466 E468 E470">
    <cfRule type="expression" dxfId="8814" priority="573">
      <formula>B452=""</formula>
    </cfRule>
  </conditionalFormatting>
  <conditionalFormatting sqref="E453 E455 E457 E459 E461 E463 E465 E467 E469 E471">
    <cfRule type="expression" dxfId="8813" priority="572">
      <formula>B453=""</formula>
    </cfRule>
  </conditionalFormatting>
  <conditionalFormatting sqref="E454:E464">
    <cfRule type="expression" dxfId="8812" priority="571">
      <formula>B454=""</formula>
    </cfRule>
  </conditionalFormatting>
  <conditionalFormatting sqref="E465">
    <cfRule type="expression" dxfId="8811" priority="570">
      <formula>B465=""</formula>
    </cfRule>
  </conditionalFormatting>
  <conditionalFormatting sqref="E466">
    <cfRule type="expression" dxfId="8810" priority="569">
      <formula>B466=""</formula>
    </cfRule>
  </conditionalFormatting>
  <conditionalFormatting sqref="E467">
    <cfRule type="expression" dxfId="8809" priority="568">
      <formula>B467=""</formula>
    </cfRule>
  </conditionalFormatting>
  <conditionalFormatting sqref="E468">
    <cfRule type="expression" dxfId="8808" priority="567">
      <formula>B468=""</formula>
    </cfRule>
  </conditionalFormatting>
  <conditionalFormatting sqref="E469">
    <cfRule type="expression" dxfId="8807" priority="566">
      <formula>B469=""</formula>
    </cfRule>
  </conditionalFormatting>
  <conditionalFormatting sqref="E470">
    <cfRule type="expression" dxfId="8806" priority="565">
      <formula>B470=""</formula>
    </cfRule>
  </conditionalFormatting>
  <conditionalFormatting sqref="E471">
    <cfRule type="expression" dxfId="8805" priority="564">
      <formula>B471=""</formula>
    </cfRule>
  </conditionalFormatting>
  <conditionalFormatting sqref="E472">
    <cfRule type="expression" dxfId="8804" priority="563">
      <formula>B472=""</formula>
    </cfRule>
  </conditionalFormatting>
  <conditionalFormatting sqref="E453 E455 E457 E459 E461 E463 E465 E467 E469 E471">
    <cfRule type="expression" dxfId="8803" priority="562">
      <formula>B453=""</formula>
    </cfRule>
  </conditionalFormatting>
  <conditionalFormatting sqref="E454:E464">
    <cfRule type="expression" dxfId="8802" priority="561">
      <formula>B454=""</formula>
    </cfRule>
  </conditionalFormatting>
  <conditionalFormatting sqref="E465">
    <cfRule type="expression" dxfId="8801" priority="560">
      <formula>B465=""</formula>
    </cfRule>
  </conditionalFormatting>
  <conditionalFormatting sqref="E466">
    <cfRule type="expression" dxfId="8800" priority="559">
      <formula>B466=""</formula>
    </cfRule>
  </conditionalFormatting>
  <conditionalFormatting sqref="E467">
    <cfRule type="expression" dxfId="8799" priority="558">
      <formula>B467=""</formula>
    </cfRule>
  </conditionalFormatting>
  <conditionalFormatting sqref="E468">
    <cfRule type="expression" dxfId="8798" priority="557">
      <formula>B468=""</formula>
    </cfRule>
  </conditionalFormatting>
  <conditionalFormatting sqref="E469">
    <cfRule type="expression" dxfId="8797" priority="556">
      <formula>B469=""</formula>
    </cfRule>
  </conditionalFormatting>
  <conditionalFormatting sqref="E470">
    <cfRule type="expression" dxfId="8796" priority="555">
      <formula>B470=""</formula>
    </cfRule>
  </conditionalFormatting>
  <conditionalFormatting sqref="E471">
    <cfRule type="expression" dxfId="8795" priority="554">
      <formula>B471=""</formula>
    </cfRule>
  </conditionalFormatting>
  <conditionalFormatting sqref="E472">
    <cfRule type="expression" dxfId="8794" priority="553">
      <formula>B472=""</formula>
    </cfRule>
  </conditionalFormatting>
  <conditionalFormatting sqref="E474 E476 E478 E480 E482 E484 E486 E488 E490 E492">
    <cfRule type="expression" dxfId="8793" priority="552">
      <formula>B474=""</formula>
    </cfRule>
  </conditionalFormatting>
  <conditionalFormatting sqref="E475 E477 E479 E481 E483 E485 E487 E489 E491 E493">
    <cfRule type="expression" dxfId="8792" priority="551">
      <formula>B475=""</formula>
    </cfRule>
  </conditionalFormatting>
  <conditionalFormatting sqref="E476:E486">
    <cfRule type="expression" dxfId="8791" priority="550">
      <formula>B476=""</formula>
    </cfRule>
  </conditionalFormatting>
  <conditionalFormatting sqref="E487">
    <cfRule type="expression" dxfId="8790" priority="549">
      <formula>B487=""</formula>
    </cfRule>
  </conditionalFormatting>
  <conditionalFormatting sqref="E488">
    <cfRule type="expression" dxfId="8789" priority="548">
      <formula>B488=""</formula>
    </cfRule>
  </conditionalFormatting>
  <conditionalFormatting sqref="E489">
    <cfRule type="expression" dxfId="8788" priority="547">
      <formula>B489=""</formula>
    </cfRule>
  </conditionalFormatting>
  <conditionalFormatting sqref="E490">
    <cfRule type="expression" dxfId="8787" priority="546">
      <formula>B490=""</formula>
    </cfRule>
  </conditionalFormatting>
  <conditionalFormatting sqref="E491">
    <cfRule type="expression" dxfId="8786" priority="545">
      <formula>B491=""</formula>
    </cfRule>
  </conditionalFormatting>
  <conditionalFormatting sqref="E492">
    <cfRule type="expression" dxfId="8785" priority="544">
      <formula>B492=""</formula>
    </cfRule>
  </conditionalFormatting>
  <conditionalFormatting sqref="E493">
    <cfRule type="expression" dxfId="8784" priority="543">
      <formula>B493=""</formula>
    </cfRule>
  </conditionalFormatting>
  <conditionalFormatting sqref="E494">
    <cfRule type="expression" dxfId="8783" priority="542">
      <formula>B494=""</formula>
    </cfRule>
  </conditionalFormatting>
  <conditionalFormatting sqref="E475 E477 E479 E481 E483 E485 E487 E489 E491 E493">
    <cfRule type="expression" dxfId="8782" priority="541">
      <formula>B475=""</formula>
    </cfRule>
  </conditionalFormatting>
  <conditionalFormatting sqref="E476:E486">
    <cfRule type="expression" dxfId="8781" priority="540">
      <formula>B476=""</formula>
    </cfRule>
  </conditionalFormatting>
  <conditionalFormatting sqref="E487">
    <cfRule type="expression" dxfId="8780" priority="539">
      <formula>B487=""</formula>
    </cfRule>
  </conditionalFormatting>
  <conditionalFormatting sqref="E488">
    <cfRule type="expression" dxfId="8779" priority="538">
      <formula>B488=""</formula>
    </cfRule>
  </conditionalFormatting>
  <conditionalFormatting sqref="E489">
    <cfRule type="expression" dxfId="8778" priority="537">
      <formula>B489=""</formula>
    </cfRule>
  </conditionalFormatting>
  <conditionalFormatting sqref="E490">
    <cfRule type="expression" dxfId="8777" priority="536">
      <formula>B490=""</formula>
    </cfRule>
  </conditionalFormatting>
  <conditionalFormatting sqref="E491">
    <cfRule type="expression" dxfId="8776" priority="535">
      <formula>B491=""</formula>
    </cfRule>
  </conditionalFormatting>
  <conditionalFormatting sqref="E492">
    <cfRule type="expression" dxfId="8775" priority="534">
      <formula>B492=""</formula>
    </cfRule>
  </conditionalFormatting>
  <conditionalFormatting sqref="E493">
    <cfRule type="expression" dxfId="8774" priority="533">
      <formula>B493=""</formula>
    </cfRule>
  </conditionalFormatting>
  <conditionalFormatting sqref="E494">
    <cfRule type="expression" dxfId="8773" priority="532">
      <formula>B494=""</formula>
    </cfRule>
  </conditionalFormatting>
  <conditionalFormatting sqref="E408:E427">
    <cfRule type="expression" dxfId="8772" priority="531">
      <formula>B408=""</formula>
    </cfRule>
  </conditionalFormatting>
  <conditionalFormatting sqref="E409 E411 E413 E415 E417 E419 E421 E423 E425 E427">
    <cfRule type="expression" dxfId="8771" priority="530">
      <formula>B409=""</formula>
    </cfRule>
  </conditionalFormatting>
  <conditionalFormatting sqref="E410:E420">
    <cfRule type="expression" dxfId="8770" priority="529">
      <formula>B410=""</formula>
    </cfRule>
  </conditionalFormatting>
  <conditionalFormatting sqref="E421">
    <cfRule type="expression" dxfId="8769" priority="528">
      <formula>B421=""</formula>
    </cfRule>
  </conditionalFormatting>
  <conditionalFormatting sqref="E422">
    <cfRule type="expression" dxfId="8768" priority="527">
      <formula>B422=""</formula>
    </cfRule>
  </conditionalFormatting>
  <conditionalFormatting sqref="E423">
    <cfRule type="expression" dxfId="8767" priority="526">
      <formula>B423=""</formula>
    </cfRule>
  </conditionalFormatting>
  <conditionalFormatting sqref="E424">
    <cfRule type="expression" dxfId="8766" priority="525">
      <formula>B424=""</formula>
    </cfRule>
  </conditionalFormatting>
  <conditionalFormatting sqref="E425">
    <cfRule type="expression" dxfId="8765" priority="524">
      <formula>B425=""</formula>
    </cfRule>
  </conditionalFormatting>
  <conditionalFormatting sqref="E426">
    <cfRule type="expression" dxfId="8764" priority="523">
      <formula>B426=""</formula>
    </cfRule>
  </conditionalFormatting>
  <conditionalFormatting sqref="E427">
    <cfRule type="expression" dxfId="8763" priority="522">
      <formula>B427=""</formula>
    </cfRule>
  </conditionalFormatting>
  <conditionalFormatting sqref="E409 E411 E413 E415 E417 E419 E421 E423 E425 E427">
    <cfRule type="expression" dxfId="8762" priority="521">
      <formula>B409=""</formula>
    </cfRule>
  </conditionalFormatting>
  <conditionalFormatting sqref="E410:E420">
    <cfRule type="expression" dxfId="8761" priority="520">
      <formula>B410=""</formula>
    </cfRule>
  </conditionalFormatting>
  <conditionalFormatting sqref="E421">
    <cfRule type="expression" dxfId="8760" priority="519">
      <formula>B421=""</formula>
    </cfRule>
  </conditionalFormatting>
  <conditionalFormatting sqref="E422">
    <cfRule type="expression" dxfId="8759" priority="518">
      <formula>B422=""</formula>
    </cfRule>
  </conditionalFormatting>
  <conditionalFormatting sqref="E423">
    <cfRule type="expression" dxfId="8758" priority="517">
      <formula>B423=""</formula>
    </cfRule>
  </conditionalFormatting>
  <conditionalFormatting sqref="E424">
    <cfRule type="expression" dxfId="8757" priority="516">
      <formula>B424=""</formula>
    </cfRule>
  </conditionalFormatting>
  <conditionalFormatting sqref="E425">
    <cfRule type="expression" dxfId="8756" priority="515">
      <formula>B425=""</formula>
    </cfRule>
  </conditionalFormatting>
  <conditionalFormatting sqref="E426">
    <cfRule type="expression" dxfId="8755" priority="514">
      <formula>B426=""</formula>
    </cfRule>
  </conditionalFormatting>
  <conditionalFormatting sqref="E427">
    <cfRule type="expression" dxfId="8754" priority="513">
      <formula>B427=""</formula>
    </cfRule>
  </conditionalFormatting>
  <conditionalFormatting sqref="E430 E432 E434 E436 E438 E440 E442 E444 E446 E448">
    <cfRule type="expression" dxfId="8753" priority="512">
      <formula>B430=""</formula>
    </cfRule>
  </conditionalFormatting>
  <conditionalFormatting sqref="E431 E433 E435 E437 E439 E441 E443 E445 E447 E449">
    <cfRule type="expression" dxfId="8752" priority="511">
      <formula>B431=""</formula>
    </cfRule>
  </conditionalFormatting>
  <conditionalFormatting sqref="E432:E442">
    <cfRule type="expression" dxfId="8751" priority="510">
      <formula>B432=""</formula>
    </cfRule>
  </conditionalFormatting>
  <conditionalFormatting sqref="E443">
    <cfRule type="expression" dxfId="8750" priority="509">
      <formula>B443=""</formula>
    </cfRule>
  </conditionalFormatting>
  <conditionalFormatting sqref="E444">
    <cfRule type="expression" dxfId="8749" priority="508">
      <formula>B444=""</formula>
    </cfRule>
  </conditionalFormatting>
  <conditionalFormatting sqref="E445">
    <cfRule type="expression" dxfId="8748" priority="507">
      <formula>B445=""</formula>
    </cfRule>
  </conditionalFormatting>
  <conditionalFormatting sqref="E446">
    <cfRule type="expression" dxfId="8747" priority="506">
      <formula>B446=""</formula>
    </cfRule>
  </conditionalFormatting>
  <conditionalFormatting sqref="E447">
    <cfRule type="expression" dxfId="8746" priority="505">
      <formula>B447=""</formula>
    </cfRule>
  </conditionalFormatting>
  <conditionalFormatting sqref="E448">
    <cfRule type="expression" dxfId="8745" priority="504">
      <formula>B448=""</formula>
    </cfRule>
  </conditionalFormatting>
  <conditionalFormatting sqref="E449">
    <cfRule type="expression" dxfId="8744" priority="503">
      <formula>B449=""</formula>
    </cfRule>
  </conditionalFormatting>
  <conditionalFormatting sqref="E431 E433 E435 E437 E439 E441 E443 E445 E447 E449">
    <cfRule type="expression" dxfId="8743" priority="502">
      <formula>B431=""</formula>
    </cfRule>
  </conditionalFormatting>
  <conditionalFormatting sqref="E432:E442">
    <cfRule type="expression" dxfId="8742" priority="501">
      <formula>B432=""</formula>
    </cfRule>
  </conditionalFormatting>
  <conditionalFormatting sqref="E443">
    <cfRule type="expression" dxfId="8741" priority="500">
      <formula>B443=""</formula>
    </cfRule>
  </conditionalFormatting>
  <conditionalFormatting sqref="E444">
    <cfRule type="expression" dxfId="8740" priority="499">
      <formula>B444=""</formula>
    </cfRule>
  </conditionalFormatting>
  <conditionalFormatting sqref="E445">
    <cfRule type="expression" dxfId="8739" priority="498">
      <formula>B445=""</formula>
    </cfRule>
  </conditionalFormatting>
  <conditionalFormatting sqref="E446">
    <cfRule type="expression" dxfId="8738" priority="497">
      <formula>B446=""</formula>
    </cfRule>
  </conditionalFormatting>
  <conditionalFormatting sqref="E447">
    <cfRule type="expression" dxfId="8737" priority="496">
      <formula>B447=""</formula>
    </cfRule>
  </conditionalFormatting>
  <conditionalFormatting sqref="E448">
    <cfRule type="expression" dxfId="8736" priority="495">
      <formula>B448=""</formula>
    </cfRule>
  </conditionalFormatting>
  <conditionalFormatting sqref="E449">
    <cfRule type="expression" dxfId="8735" priority="494">
      <formula>B449=""</formula>
    </cfRule>
  </conditionalFormatting>
  <conditionalFormatting sqref="E430:E449">
    <cfRule type="expression" dxfId="8734" priority="493">
      <formula>B430=""</formula>
    </cfRule>
  </conditionalFormatting>
  <conditionalFormatting sqref="E431 E433 E435 E437 E439 E441 E443 E445 E447 E449">
    <cfRule type="expression" dxfId="8733" priority="492">
      <formula>B431=""</formula>
    </cfRule>
  </conditionalFormatting>
  <conditionalFormatting sqref="E432:E442">
    <cfRule type="expression" dxfId="8732" priority="491">
      <formula>B432=""</formula>
    </cfRule>
  </conditionalFormatting>
  <conditionalFormatting sqref="E443">
    <cfRule type="expression" dxfId="8731" priority="490">
      <formula>B443=""</formula>
    </cfRule>
  </conditionalFormatting>
  <conditionalFormatting sqref="E444">
    <cfRule type="expression" dxfId="8730" priority="489">
      <formula>B444=""</formula>
    </cfRule>
  </conditionalFormatting>
  <conditionalFormatting sqref="E445">
    <cfRule type="expression" dxfId="8729" priority="488">
      <formula>B445=""</formula>
    </cfRule>
  </conditionalFormatting>
  <conditionalFormatting sqref="E446">
    <cfRule type="expression" dxfId="8728" priority="487">
      <formula>B446=""</formula>
    </cfRule>
  </conditionalFormatting>
  <conditionalFormatting sqref="E447">
    <cfRule type="expression" dxfId="8727" priority="486">
      <formula>B447=""</formula>
    </cfRule>
  </conditionalFormatting>
  <conditionalFormatting sqref="E448">
    <cfRule type="expression" dxfId="8726" priority="485">
      <formula>B448=""</formula>
    </cfRule>
  </conditionalFormatting>
  <conditionalFormatting sqref="E449">
    <cfRule type="expression" dxfId="8725" priority="484">
      <formula>B449=""</formula>
    </cfRule>
  </conditionalFormatting>
  <conditionalFormatting sqref="E431 E433 E435 E437 E439 E441 E443 E445 E447 E449">
    <cfRule type="expression" dxfId="8724" priority="483">
      <formula>B431=""</formula>
    </cfRule>
  </conditionalFormatting>
  <conditionalFormatting sqref="E432:E442">
    <cfRule type="expression" dxfId="8723" priority="482">
      <formula>B432=""</formula>
    </cfRule>
  </conditionalFormatting>
  <conditionalFormatting sqref="E443">
    <cfRule type="expression" dxfId="8722" priority="481">
      <formula>B443=""</formula>
    </cfRule>
  </conditionalFormatting>
  <conditionalFormatting sqref="E444">
    <cfRule type="expression" dxfId="8721" priority="480">
      <formula>B444=""</formula>
    </cfRule>
  </conditionalFormatting>
  <conditionalFormatting sqref="E445">
    <cfRule type="expression" dxfId="8720" priority="479">
      <formula>B445=""</formula>
    </cfRule>
  </conditionalFormatting>
  <conditionalFormatting sqref="E446">
    <cfRule type="expression" dxfId="8719" priority="478">
      <formula>B446=""</formula>
    </cfRule>
  </conditionalFormatting>
  <conditionalFormatting sqref="E447">
    <cfRule type="expression" dxfId="8718" priority="477">
      <formula>B447=""</formula>
    </cfRule>
  </conditionalFormatting>
  <conditionalFormatting sqref="E448">
    <cfRule type="expression" dxfId="8717" priority="476">
      <formula>B448=""</formula>
    </cfRule>
  </conditionalFormatting>
  <conditionalFormatting sqref="E449">
    <cfRule type="expression" dxfId="8716" priority="475">
      <formula>B449=""</formula>
    </cfRule>
  </conditionalFormatting>
  <conditionalFormatting sqref="E408 E410 E412 E414 E416 E418 E420 E422 E424 E426">
    <cfRule type="expression" dxfId="8715" priority="474">
      <formula>B408=""</formula>
    </cfRule>
  </conditionalFormatting>
  <conditionalFormatting sqref="E409 E411 E413 E415 E417 E419 E421 E423 E425 E427">
    <cfRule type="expression" dxfId="8714" priority="473">
      <formula>B409=""</formula>
    </cfRule>
  </conditionalFormatting>
  <conditionalFormatting sqref="E410:E420">
    <cfRule type="expression" dxfId="8713" priority="472">
      <formula>B410=""</formula>
    </cfRule>
  </conditionalFormatting>
  <conditionalFormatting sqref="E421">
    <cfRule type="expression" dxfId="8712" priority="471">
      <formula>B421=""</formula>
    </cfRule>
  </conditionalFormatting>
  <conditionalFormatting sqref="E422">
    <cfRule type="expression" dxfId="8711" priority="470">
      <formula>B422=""</formula>
    </cfRule>
  </conditionalFormatting>
  <conditionalFormatting sqref="E423">
    <cfRule type="expression" dxfId="8710" priority="469">
      <formula>B423=""</formula>
    </cfRule>
  </conditionalFormatting>
  <conditionalFormatting sqref="E424">
    <cfRule type="expression" dxfId="8709" priority="468">
      <formula>B424=""</formula>
    </cfRule>
  </conditionalFormatting>
  <conditionalFormatting sqref="E425">
    <cfRule type="expression" dxfId="8708" priority="467">
      <formula>B425=""</formula>
    </cfRule>
  </conditionalFormatting>
  <conditionalFormatting sqref="E426">
    <cfRule type="expression" dxfId="8707" priority="466">
      <formula>B426=""</formula>
    </cfRule>
  </conditionalFormatting>
  <conditionalFormatting sqref="E427">
    <cfRule type="expression" dxfId="8706" priority="465">
      <formula>B427=""</formula>
    </cfRule>
  </conditionalFormatting>
  <conditionalFormatting sqref="E428">
    <cfRule type="expression" dxfId="8705" priority="464">
      <formula>B428=""</formula>
    </cfRule>
  </conditionalFormatting>
  <conditionalFormatting sqref="E409 E411 E413 E415 E417 E419 E421 E423 E425 E427">
    <cfRule type="expression" dxfId="8704" priority="463">
      <formula>B409=""</formula>
    </cfRule>
  </conditionalFormatting>
  <conditionalFormatting sqref="E410:E420">
    <cfRule type="expression" dxfId="8703" priority="462">
      <formula>B410=""</formula>
    </cfRule>
  </conditionalFormatting>
  <conditionalFormatting sqref="E421">
    <cfRule type="expression" dxfId="8702" priority="461">
      <formula>B421=""</formula>
    </cfRule>
  </conditionalFormatting>
  <conditionalFormatting sqref="E422">
    <cfRule type="expression" dxfId="8701" priority="460">
      <formula>B422=""</formula>
    </cfRule>
  </conditionalFormatting>
  <conditionalFormatting sqref="E423">
    <cfRule type="expression" dxfId="8700" priority="459">
      <formula>B423=""</formula>
    </cfRule>
  </conditionalFormatting>
  <conditionalFormatting sqref="E424">
    <cfRule type="expression" dxfId="8699" priority="458">
      <formula>B424=""</formula>
    </cfRule>
  </conditionalFormatting>
  <conditionalFormatting sqref="E425">
    <cfRule type="expression" dxfId="8698" priority="457">
      <formula>B425=""</formula>
    </cfRule>
  </conditionalFormatting>
  <conditionalFormatting sqref="E426">
    <cfRule type="expression" dxfId="8697" priority="456">
      <formula>B426=""</formula>
    </cfRule>
  </conditionalFormatting>
  <conditionalFormatting sqref="E427">
    <cfRule type="expression" dxfId="8696" priority="455">
      <formula>B427=""</formula>
    </cfRule>
  </conditionalFormatting>
  <conditionalFormatting sqref="E428">
    <cfRule type="expression" dxfId="8695" priority="454">
      <formula>B428=""</formula>
    </cfRule>
  </conditionalFormatting>
  <conditionalFormatting sqref="E430 E432 E434 E436 E438 E440 E442 E444 E446 E448">
    <cfRule type="expression" dxfId="8694" priority="453">
      <formula>B430=""</formula>
    </cfRule>
  </conditionalFormatting>
  <conditionalFormatting sqref="E431 E433 E435 E437 E439 E441 E443 E445 E447 E449">
    <cfRule type="expression" dxfId="8693" priority="452">
      <formula>B431=""</formula>
    </cfRule>
  </conditionalFormatting>
  <conditionalFormatting sqref="E432:E442">
    <cfRule type="expression" dxfId="8692" priority="451">
      <formula>B432=""</formula>
    </cfRule>
  </conditionalFormatting>
  <conditionalFormatting sqref="E443">
    <cfRule type="expression" dxfId="8691" priority="450">
      <formula>B443=""</formula>
    </cfRule>
  </conditionalFormatting>
  <conditionalFormatting sqref="E444">
    <cfRule type="expression" dxfId="8690" priority="449">
      <formula>B444=""</formula>
    </cfRule>
  </conditionalFormatting>
  <conditionalFormatting sqref="E445">
    <cfRule type="expression" dxfId="8689" priority="448">
      <formula>B445=""</formula>
    </cfRule>
  </conditionalFormatting>
  <conditionalFormatting sqref="E446">
    <cfRule type="expression" dxfId="8688" priority="447">
      <formula>B446=""</formula>
    </cfRule>
  </conditionalFormatting>
  <conditionalFormatting sqref="E447">
    <cfRule type="expression" dxfId="8687" priority="446">
      <formula>B447=""</formula>
    </cfRule>
  </conditionalFormatting>
  <conditionalFormatting sqref="E448">
    <cfRule type="expression" dxfId="8686" priority="445">
      <formula>B448=""</formula>
    </cfRule>
  </conditionalFormatting>
  <conditionalFormatting sqref="E449">
    <cfRule type="expression" dxfId="8685" priority="444">
      <formula>B449=""</formula>
    </cfRule>
  </conditionalFormatting>
  <conditionalFormatting sqref="E450">
    <cfRule type="expression" dxfId="8684" priority="443">
      <formula>B450=""</formula>
    </cfRule>
  </conditionalFormatting>
  <conditionalFormatting sqref="E431 E433 E435 E437 E439 E441 E443 E445 E447 E449">
    <cfRule type="expression" dxfId="8683" priority="442">
      <formula>B431=""</formula>
    </cfRule>
  </conditionalFormatting>
  <conditionalFormatting sqref="E432:E442">
    <cfRule type="expression" dxfId="8682" priority="441">
      <formula>B432=""</formula>
    </cfRule>
  </conditionalFormatting>
  <conditionalFormatting sqref="E443">
    <cfRule type="expression" dxfId="8681" priority="440">
      <formula>B443=""</formula>
    </cfRule>
  </conditionalFormatting>
  <conditionalFormatting sqref="E444">
    <cfRule type="expression" dxfId="8680" priority="439">
      <formula>B444=""</formula>
    </cfRule>
  </conditionalFormatting>
  <conditionalFormatting sqref="E445">
    <cfRule type="expression" dxfId="8679" priority="438">
      <formula>B445=""</formula>
    </cfRule>
  </conditionalFormatting>
  <conditionalFormatting sqref="E446">
    <cfRule type="expression" dxfId="8678" priority="437">
      <formula>B446=""</formula>
    </cfRule>
  </conditionalFormatting>
  <conditionalFormatting sqref="E447">
    <cfRule type="expression" dxfId="8677" priority="436">
      <formula>B447=""</formula>
    </cfRule>
  </conditionalFormatting>
  <conditionalFormatting sqref="E448">
    <cfRule type="expression" dxfId="8676" priority="435">
      <formula>B448=""</formula>
    </cfRule>
  </conditionalFormatting>
  <conditionalFormatting sqref="E449">
    <cfRule type="expression" dxfId="8675" priority="434">
      <formula>B449=""</formula>
    </cfRule>
  </conditionalFormatting>
  <conditionalFormatting sqref="E450">
    <cfRule type="expression" dxfId="8674" priority="433">
      <formula>B450=""</formula>
    </cfRule>
  </conditionalFormatting>
  <conditionalFormatting sqref="E452 E454 E456 E458 E460 E462 E464 E466 E468 E470">
    <cfRule type="expression" dxfId="8673" priority="432">
      <formula>B452=""</formula>
    </cfRule>
  </conditionalFormatting>
  <conditionalFormatting sqref="E453 E455 E457 E459 E461 E463 E465 E467 E469 E471">
    <cfRule type="expression" dxfId="8672" priority="431">
      <formula>B453=""</formula>
    </cfRule>
  </conditionalFormatting>
  <conditionalFormatting sqref="E454:E464">
    <cfRule type="expression" dxfId="8671" priority="430">
      <formula>B454=""</formula>
    </cfRule>
  </conditionalFormatting>
  <conditionalFormatting sqref="E465">
    <cfRule type="expression" dxfId="8670" priority="429">
      <formula>B465=""</formula>
    </cfRule>
  </conditionalFormatting>
  <conditionalFormatting sqref="E466">
    <cfRule type="expression" dxfId="8669" priority="428">
      <formula>B466=""</formula>
    </cfRule>
  </conditionalFormatting>
  <conditionalFormatting sqref="E467">
    <cfRule type="expression" dxfId="8668" priority="427">
      <formula>B467=""</formula>
    </cfRule>
  </conditionalFormatting>
  <conditionalFormatting sqref="E468">
    <cfRule type="expression" dxfId="8667" priority="426">
      <formula>B468=""</formula>
    </cfRule>
  </conditionalFormatting>
  <conditionalFormatting sqref="E469">
    <cfRule type="expression" dxfId="8666" priority="425">
      <formula>B469=""</formula>
    </cfRule>
  </conditionalFormatting>
  <conditionalFormatting sqref="E470">
    <cfRule type="expression" dxfId="8665" priority="424">
      <formula>B470=""</formula>
    </cfRule>
  </conditionalFormatting>
  <conditionalFormatting sqref="E471">
    <cfRule type="expression" dxfId="8664" priority="423">
      <formula>B471=""</formula>
    </cfRule>
  </conditionalFormatting>
  <conditionalFormatting sqref="E472">
    <cfRule type="expression" dxfId="8663" priority="422">
      <formula>B472=""</formula>
    </cfRule>
  </conditionalFormatting>
  <conditionalFormatting sqref="E453 E455 E457 E459 E461 E463 E465 E467 E469 E471">
    <cfRule type="expression" dxfId="8662" priority="421">
      <formula>B453=""</formula>
    </cfRule>
  </conditionalFormatting>
  <conditionalFormatting sqref="E454:E464">
    <cfRule type="expression" dxfId="8661" priority="420">
      <formula>B454=""</formula>
    </cfRule>
  </conditionalFormatting>
  <conditionalFormatting sqref="E465">
    <cfRule type="expression" dxfId="8660" priority="419">
      <formula>B465=""</formula>
    </cfRule>
  </conditionalFormatting>
  <conditionalFormatting sqref="E466">
    <cfRule type="expression" dxfId="8659" priority="418">
      <formula>B466=""</formula>
    </cfRule>
  </conditionalFormatting>
  <conditionalFormatting sqref="E467">
    <cfRule type="expression" dxfId="8658" priority="417">
      <formula>B467=""</formula>
    </cfRule>
  </conditionalFormatting>
  <conditionalFormatting sqref="E468">
    <cfRule type="expression" dxfId="8657" priority="416">
      <formula>B468=""</formula>
    </cfRule>
  </conditionalFormatting>
  <conditionalFormatting sqref="E469">
    <cfRule type="expression" dxfId="8656" priority="415">
      <formula>B469=""</formula>
    </cfRule>
  </conditionalFormatting>
  <conditionalFormatting sqref="E470">
    <cfRule type="expression" dxfId="8655" priority="414">
      <formula>B470=""</formula>
    </cfRule>
  </conditionalFormatting>
  <conditionalFormatting sqref="E471">
    <cfRule type="expression" dxfId="8654" priority="413">
      <formula>B471=""</formula>
    </cfRule>
  </conditionalFormatting>
  <conditionalFormatting sqref="E472">
    <cfRule type="expression" dxfId="8653" priority="412">
      <formula>B472=""</formula>
    </cfRule>
  </conditionalFormatting>
  <conditionalFormatting sqref="E474 E476 E478 E480 E482 E484 E486 E488 E490 E492">
    <cfRule type="expression" dxfId="8652" priority="411">
      <formula>B474=""</formula>
    </cfRule>
  </conditionalFormatting>
  <conditionalFormatting sqref="E475 E477 E479 E481 E483 E485 E487 E489 E491 E493">
    <cfRule type="expression" dxfId="8651" priority="410">
      <formula>B475=""</formula>
    </cfRule>
  </conditionalFormatting>
  <conditionalFormatting sqref="E476:E486">
    <cfRule type="expression" dxfId="8650" priority="409">
      <formula>B476=""</formula>
    </cfRule>
  </conditionalFormatting>
  <conditionalFormatting sqref="E487">
    <cfRule type="expression" dxfId="8649" priority="408">
      <formula>B487=""</formula>
    </cfRule>
  </conditionalFormatting>
  <conditionalFormatting sqref="E488">
    <cfRule type="expression" dxfId="8648" priority="407">
      <formula>B488=""</formula>
    </cfRule>
  </conditionalFormatting>
  <conditionalFormatting sqref="E489">
    <cfRule type="expression" dxfId="8647" priority="406">
      <formula>B489=""</formula>
    </cfRule>
  </conditionalFormatting>
  <conditionalFormatting sqref="E490">
    <cfRule type="expression" dxfId="8646" priority="405">
      <formula>B490=""</formula>
    </cfRule>
  </conditionalFormatting>
  <conditionalFormatting sqref="E491">
    <cfRule type="expression" dxfId="8645" priority="404">
      <formula>B491=""</formula>
    </cfRule>
  </conditionalFormatting>
  <conditionalFormatting sqref="E492">
    <cfRule type="expression" dxfId="8644" priority="403">
      <formula>B492=""</formula>
    </cfRule>
  </conditionalFormatting>
  <conditionalFormatting sqref="E493">
    <cfRule type="expression" dxfId="8643" priority="402">
      <formula>B493=""</formula>
    </cfRule>
  </conditionalFormatting>
  <conditionalFormatting sqref="E494">
    <cfRule type="expression" dxfId="8642" priority="401">
      <formula>B494=""</formula>
    </cfRule>
  </conditionalFormatting>
  <conditionalFormatting sqref="E475 E477 E479 E481 E483 E485 E487 E489 E491 E493">
    <cfRule type="expression" dxfId="8641" priority="400">
      <formula>B475=""</formula>
    </cfRule>
  </conditionalFormatting>
  <conditionalFormatting sqref="E476:E486">
    <cfRule type="expression" dxfId="8640" priority="399">
      <formula>B476=""</formula>
    </cfRule>
  </conditionalFormatting>
  <conditionalFormatting sqref="E487">
    <cfRule type="expression" dxfId="8639" priority="398">
      <formula>B487=""</formula>
    </cfRule>
  </conditionalFormatting>
  <conditionalFormatting sqref="E488">
    <cfRule type="expression" dxfId="8638" priority="397">
      <formula>B488=""</formula>
    </cfRule>
  </conditionalFormatting>
  <conditionalFormatting sqref="E489">
    <cfRule type="expression" dxfId="8637" priority="396">
      <formula>B489=""</formula>
    </cfRule>
  </conditionalFormatting>
  <conditionalFormatting sqref="E490">
    <cfRule type="expression" dxfId="8636" priority="395">
      <formula>B490=""</formula>
    </cfRule>
  </conditionalFormatting>
  <conditionalFormatting sqref="E491">
    <cfRule type="expression" dxfId="8635" priority="394">
      <formula>B491=""</formula>
    </cfRule>
  </conditionalFormatting>
  <conditionalFormatting sqref="E492">
    <cfRule type="expression" dxfId="8634" priority="393">
      <formula>B492=""</formula>
    </cfRule>
  </conditionalFormatting>
  <conditionalFormatting sqref="E493">
    <cfRule type="expression" dxfId="8633" priority="392">
      <formula>B493=""</formula>
    </cfRule>
  </conditionalFormatting>
  <conditionalFormatting sqref="E494">
    <cfRule type="expression" dxfId="8632" priority="391">
      <formula>B494=""</formula>
    </cfRule>
  </conditionalFormatting>
  <conditionalFormatting sqref="E408:E427">
    <cfRule type="expression" dxfId="8631" priority="390">
      <formula>B408=""</formula>
    </cfRule>
  </conditionalFormatting>
  <conditionalFormatting sqref="E409 E411 E413 E415 E417 E419 E421 E423 E425 E427">
    <cfRule type="expression" dxfId="8630" priority="389">
      <formula>B409=""</formula>
    </cfRule>
  </conditionalFormatting>
  <conditionalFormatting sqref="E410:E420">
    <cfRule type="expression" dxfId="8629" priority="388">
      <formula>B410=""</formula>
    </cfRule>
  </conditionalFormatting>
  <conditionalFormatting sqref="E421">
    <cfRule type="expression" dxfId="8628" priority="387">
      <formula>B421=""</formula>
    </cfRule>
  </conditionalFormatting>
  <conditionalFormatting sqref="E422">
    <cfRule type="expression" dxfId="8627" priority="386">
      <formula>B422=""</formula>
    </cfRule>
  </conditionalFormatting>
  <conditionalFormatting sqref="E423">
    <cfRule type="expression" dxfId="8626" priority="385">
      <formula>B423=""</formula>
    </cfRule>
  </conditionalFormatting>
  <conditionalFormatting sqref="E424">
    <cfRule type="expression" dxfId="8625" priority="384">
      <formula>B424=""</formula>
    </cfRule>
  </conditionalFormatting>
  <conditionalFormatting sqref="E425">
    <cfRule type="expression" dxfId="8624" priority="383">
      <formula>B425=""</formula>
    </cfRule>
  </conditionalFormatting>
  <conditionalFormatting sqref="E426">
    <cfRule type="expression" dxfId="8623" priority="382">
      <formula>B426=""</formula>
    </cfRule>
  </conditionalFormatting>
  <conditionalFormatting sqref="E427">
    <cfRule type="expression" dxfId="8622" priority="381">
      <formula>B427=""</formula>
    </cfRule>
  </conditionalFormatting>
  <conditionalFormatting sqref="E409 E411 E413 E415 E417 E419 E421 E423 E425 E427">
    <cfRule type="expression" dxfId="8621" priority="380">
      <formula>B409=""</formula>
    </cfRule>
  </conditionalFormatting>
  <conditionalFormatting sqref="E410:E420">
    <cfRule type="expression" dxfId="8620" priority="379">
      <formula>B410=""</formula>
    </cfRule>
  </conditionalFormatting>
  <conditionalFormatting sqref="E421">
    <cfRule type="expression" dxfId="8619" priority="378">
      <formula>B421=""</formula>
    </cfRule>
  </conditionalFormatting>
  <conditionalFormatting sqref="E422">
    <cfRule type="expression" dxfId="8618" priority="377">
      <formula>B422=""</formula>
    </cfRule>
  </conditionalFormatting>
  <conditionalFormatting sqref="E423">
    <cfRule type="expression" dxfId="8617" priority="376">
      <formula>B423=""</formula>
    </cfRule>
  </conditionalFormatting>
  <conditionalFormatting sqref="E424">
    <cfRule type="expression" dxfId="8616" priority="375">
      <formula>B424=""</formula>
    </cfRule>
  </conditionalFormatting>
  <conditionalFormatting sqref="E425">
    <cfRule type="expression" dxfId="8615" priority="374">
      <formula>B425=""</formula>
    </cfRule>
  </conditionalFormatting>
  <conditionalFormatting sqref="E426">
    <cfRule type="expression" dxfId="8614" priority="373">
      <formula>B426=""</formula>
    </cfRule>
  </conditionalFormatting>
  <conditionalFormatting sqref="E427">
    <cfRule type="expression" dxfId="8613" priority="372">
      <formula>B427=""</formula>
    </cfRule>
  </conditionalFormatting>
  <conditionalFormatting sqref="E430 E432 E434 E436 E438 E440 E442 E444 E446 E448">
    <cfRule type="expression" dxfId="8612" priority="371">
      <formula>B430=""</formula>
    </cfRule>
  </conditionalFormatting>
  <conditionalFormatting sqref="E431 E433 E435 E437 E439 E441 E443 E445 E447 E449">
    <cfRule type="expression" dxfId="8611" priority="370">
      <formula>B431=""</formula>
    </cfRule>
  </conditionalFormatting>
  <conditionalFormatting sqref="E432:E442">
    <cfRule type="expression" dxfId="8610" priority="369">
      <formula>B432=""</formula>
    </cfRule>
  </conditionalFormatting>
  <conditionalFormatting sqref="E443">
    <cfRule type="expression" dxfId="8609" priority="368">
      <formula>B443=""</formula>
    </cfRule>
  </conditionalFormatting>
  <conditionalFormatting sqref="E444">
    <cfRule type="expression" dxfId="8608" priority="367">
      <formula>B444=""</formula>
    </cfRule>
  </conditionalFormatting>
  <conditionalFormatting sqref="E445">
    <cfRule type="expression" dxfId="8607" priority="366">
      <formula>B445=""</formula>
    </cfRule>
  </conditionalFormatting>
  <conditionalFormatting sqref="E446">
    <cfRule type="expression" dxfId="8606" priority="365">
      <formula>B446=""</formula>
    </cfRule>
  </conditionalFormatting>
  <conditionalFormatting sqref="E447">
    <cfRule type="expression" dxfId="8605" priority="364">
      <formula>B447=""</formula>
    </cfRule>
  </conditionalFormatting>
  <conditionalFormatting sqref="E448">
    <cfRule type="expression" dxfId="8604" priority="363">
      <formula>B448=""</formula>
    </cfRule>
  </conditionalFormatting>
  <conditionalFormatting sqref="E449">
    <cfRule type="expression" dxfId="8603" priority="362">
      <formula>B449=""</formula>
    </cfRule>
  </conditionalFormatting>
  <conditionalFormatting sqref="E431 E433 E435 E437 E439 E441 E443 E445 E447 E449">
    <cfRule type="expression" dxfId="8602" priority="361">
      <formula>B431=""</formula>
    </cfRule>
  </conditionalFormatting>
  <conditionalFormatting sqref="E432:E442">
    <cfRule type="expression" dxfId="8601" priority="360">
      <formula>B432=""</formula>
    </cfRule>
  </conditionalFormatting>
  <conditionalFormatting sqref="E443">
    <cfRule type="expression" dxfId="8600" priority="359">
      <formula>B443=""</formula>
    </cfRule>
  </conditionalFormatting>
  <conditionalFormatting sqref="E444">
    <cfRule type="expression" dxfId="8599" priority="358">
      <formula>B444=""</formula>
    </cfRule>
  </conditionalFormatting>
  <conditionalFormatting sqref="E445">
    <cfRule type="expression" dxfId="8598" priority="357">
      <formula>B445=""</formula>
    </cfRule>
  </conditionalFormatting>
  <conditionalFormatting sqref="E446">
    <cfRule type="expression" dxfId="8597" priority="356">
      <formula>B446=""</formula>
    </cfRule>
  </conditionalFormatting>
  <conditionalFormatting sqref="E447">
    <cfRule type="expression" dxfId="8596" priority="355">
      <formula>B447=""</formula>
    </cfRule>
  </conditionalFormatting>
  <conditionalFormatting sqref="E448">
    <cfRule type="expression" dxfId="8595" priority="354">
      <formula>B448=""</formula>
    </cfRule>
  </conditionalFormatting>
  <conditionalFormatting sqref="E449">
    <cfRule type="expression" dxfId="8594" priority="353">
      <formula>B449=""</formula>
    </cfRule>
  </conditionalFormatting>
  <conditionalFormatting sqref="E430:E449">
    <cfRule type="expression" dxfId="8593" priority="352">
      <formula>B430=""</formula>
    </cfRule>
  </conditionalFormatting>
  <conditionalFormatting sqref="E431 E433 E435 E437 E439 E441 E443 E445 E447 E449">
    <cfRule type="expression" dxfId="8592" priority="351">
      <formula>B431=""</formula>
    </cfRule>
  </conditionalFormatting>
  <conditionalFormatting sqref="E432:E442">
    <cfRule type="expression" dxfId="8591" priority="350">
      <formula>B432=""</formula>
    </cfRule>
  </conditionalFormatting>
  <conditionalFormatting sqref="E443">
    <cfRule type="expression" dxfId="8590" priority="349">
      <formula>B443=""</formula>
    </cfRule>
  </conditionalFormatting>
  <conditionalFormatting sqref="E444">
    <cfRule type="expression" dxfId="8589" priority="348">
      <formula>B444=""</formula>
    </cfRule>
  </conditionalFormatting>
  <conditionalFormatting sqref="E445">
    <cfRule type="expression" dxfId="8588" priority="347">
      <formula>B445=""</formula>
    </cfRule>
  </conditionalFormatting>
  <conditionalFormatting sqref="E446">
    <cfRule type="expression" dxfId="8587" priority="346">
      <formula>B446=""</formula>
    </cfRule>
  </conditionalFormatting>
  <conditionalFormatting sqref="E447">
    <cfRule type="expression" dxfId="8586" priority="345">
      <formula>B447=""</formula>
    </cfRule>
  </conditionalFormatting>
  <conditionalFormatting sqref="E448">
    <cfRule type="expression" dxfId="8585" priority="344">
      <formula>B448=""</formula>
    </cfRule>
  </conditionalFormatting>
  <conditionalFormatting sqref="E449">
    <cfRule type="expression" dxfId="8584" priority="343">
      <formula>B449=""</formula>
    </cfRule>
  </conditionalFormatting>
  <conditionalFormatting sqref="E431 E433 E435 E437 E439 E441 E443 E445 E447 E449">
    <cfRule type="expression" dxfId="8583" priority="342">
      <formula>B431=""</formula>
    </cfRule>
  </conditionalFormatting>
  <conditionalFormatting sqref="E432:E442">
    <cfRule type="expression" dxfId="8582" priority="341">
      <formula>B432=""</formula>
    </cfRule>
  </conditionalFormatting>
  <conditionalFormatting sqref="E443">
    <cfRule type="expression" dxfId="8581" priority="340">
      <formula>B443=""</formula>
    </cfRule>
  </conditionalFormatting>
  <conditionalFormatting sqref="E444">
    <cfRule type="expression" dxfId="8580" priority="339">
      <formula>B444=""</formula>
    </cfRule>
  </conditionalFormatting>
  <conditionalFormatting sqref="E445">
    <cfRule type="expression" dxfId="8579" priority="338">
      <formula>B445=""</formula>
    </cfRule>
  </conditionalFormatting>
  <conditionalFormatting sqref="E446">
    <cfRule type="expression" dxfId="8578" priority="337">
      <formula>B446=""</formula>
    </cfRule>
  </conditionalFormatting>
  <conditionalFormatting sqref="E447">
    <cfRule type="expression" dxfId="8577" priority="336">
      <formula>B447=""</formula>
    </cfRule>
  </conditionalFormatting>
  <conditionalFormatting sqref="E448">
    <cfRule type="expression" dxfId="8576" priority="335">
      <formula>B448=""</formula>
    </cfRule>
  </conditionalFormatting>
  <conditionalFormatting sqref="E449">
    <cfRule type="expression" dxfId="8575" priority="334">
      <formula>B449=""</formula>
    </cfRule>
  </conditionalFormatting>
  <conditionalFormatting sqref="E408 E410 E412 E414 E416 E418 E420 E422 E424 E426">
    <cfRule type="expression" dxfId="8574" priority="333">
      <formula>B408=""</formula>
    </cfRule>
  </conditionalFormatting>
  <conditionalFormatting sqref="E409 E411 E413 E415 E417 E419 E421 E423 E425 E427">
    <cfRule type="expression" dxfId="8573" priority="332">
      <formula>B409=""</formula>
    </cfRule>
  </conditionalFormatting>
  <conditionalFormatting sqref="E410:E420">
    <cfRule type="expression" dxfId="8572" priority="331">
      <formula>B410=""</formula>
    </cfRule>
  </conditionalFormatting>
  <conditionalFormatting sqref="E421:E423">
    <cfRule type="expression" dxfId="8571" priority="330">
      <formula>B421=""</formula>
    </cfRule>
  </conditionalFormatting>
  <conditionalFormatting sqref="E422">
    <cfRule type="expression" dxfId="8570" priority="329">
      <formula>B422=""</formula>
    </cfRule>
  </conditionalFormatting>
  <conditionalFormatting sqref="E423">
    <cfRule type="expression" dxfId="8569" priority="328">
      <formula>B423=""</formula>
    </cfRule>
  </conditionalFormatting>
  <conditionalFormatting sqref="E424">
    <cfRule type="expression" dxfId="8568" priority="327">
      <formula>B424=""</formula>
    </cfRule>
  </conditionalFormatting>
  <conditionalFormatting sqref="E425">
    <cfRule type="expression" dxfId="8567" priority="326">
      <formula>B425=""</formula>
    </cfRule>
  </conditionalFormatting>
  <conditionalFormatting sqref="E426">
    <cfRule type="expression" dxfId="8566" priority="325">
      <formula>B426=""</formula>
    </cfRule>
  </conditionalFormatting>
  <conditionalFormatting sqref="E427:E428">
    <cfRule type="expression" dxfId="8565" priority="324">
      <formula>B427=""</formula>
    </cfRule>
  </conditionalFormatting>
  <conditionalFormatting sqref="E428">
    <cfRule type="expression" dxfId="8564" priority="323">
      <formula>B428=""</formula>
    </cfRule>
  </conditionalFormatting>
  <conditionalFormatting sqref="E409 E411 E413 E415 E417 E419 E421 E423 E425 E427">
    <cfRule type="expression" dxfId="8563" priority="322">
      <formula>B409=""</formula>
    </cfRule>
  </conditionalFormatting>
  <conditionalFormatting sqref="E410:E420">
    <cfRule type="expression" dxfId="8562" priority="321">
      <formula>B410=""</formula>
    </cfRule>
  </conditionalFormatting>
  <conditionalFormatting sqref="E421:E423">
    <cfRule type="expression" dxfId="8561" priority="320">
      <formula>B421=""</formula>
    </cfRule>
  </conditionalFormatting>
  <conditionalFormatting sqref="E422">
    <cfRule type="expression" dxfId="8560" priority="319">
      <formula>B422=""</formula>
    </cfRule>
  </conditionalFormatting>
  <conditionalFormatting sqref="E423">
    <cfRule type="expression" dxfId="8559" priority="318">
      <formula>B423=""</formula>
    </cfRule>
  </conditionalFormatting>
  <conditionalFormatting sqref="E424">
    <cfRule type="expression" dxfId="8558" priority="317">
      <formula>B424=""</formula>
    </cfRule>
  </conditionalFormatting>
  <conditionalFormatting sqref="E425">
    <cfRule type="expression" dxfId="8557" priority="316">
      <formula>B425=""</formula>
    </cfRule>
  </conditionalFormatting>
  <conditionalFormatting sqref="E426">
    <cfRule type="expression" dxfId="8556" priority="315">
      <formula>B426=""</formula>
    </cfRule>
  </conditionalFormatting>
  <conditionalFormatting sqref="E427:E428">
    <cfRule type="expression" dxfId="8555" priority="314">
      <formula>B427=""</formula>
    </cfRule>
  </conditionalFormatting>
  <conditionalFormatting sqref="E428">
    <cfRule type="expression" dxfId="8554" priority="313">
      <formula>B428=""</formula>
    </cfRule>
  </conditionalFormatting>
  <conditionalFormatting sqref="E430 E432 E434 E436 E438 E440 E442 E444 E446 E448">
    <cfRule type="expression" dxfId="8553" priority="312">
      <formula>B430=""</formula>
    </cfRule>
  </conditionalFormatting>
  <conditionalFormatting sqref="E431 E433 E435 E437 E439 E441 E443 E445 E447 E449">
    <cfRule type="expression" dxfId="8552" priority="311">
      <formula>B431=""</formula>
    </cfRule>
  </conditionalFormatting>
  <conditionalFormatting sqref="E432:E442">
    <cfRule type="expression" dxfId="8551" priority="310">
      <formula>B432=""</formula>
    </cfRule>
  </conditionalFormatting>
  <conditionalFormatting sqref="E443">
    <cfRule type="expression" dxfId="8550" priority="309">
      <formula>B443=""</formula>
    </cfRule>
  </conditionalFormatting>
  <conditionalFormatting sqref="E444">
    <cfRule type="expression" dxfId="8549" priority="308">
      <formula>B444=""</formula>
    </cfRule>
  </conditionalFormatting>
  <conditionalFormatting sqref="E445">
    <cfRule type="expression" dxfId="8548" priority="307">
      <formula>B445=""</formula>
    </cfRule>
  </conditionalFormatting>
  <conditionalFormatting sqref="E446">
    <cfRule type="expression" dxfId="8547" priority="306">
      <formula>B446=""</formula>
    </cfRule>
  </conditionalFormatting>
  <conditionalFormatting sqref="E447">
    <cfRule type="expression" dxfId="8546" priority="305">
      <formula>B447=""</formula>
    </cfRule>
  </conditionalFormatting>
  <conditionalFormatting sqref="E448">
    <cfRule type="expression" dxfId="8545" priority="304">
      <formula>B448=""</formula>
    </cfRule>
  </conditionalFormatting>
  <conditionalFormatting sqref="E449:E450">
    <cfRule type="expression" dxfId="8544" priority="303">
      <formula>B449=""</formula>
    </cfRule>
  </conditionalFormatting>
  <conditionalFormatting sqref="E450">
    <cfRule type="expression" dxfId="8543" priority="302">
      <formula>B450=""</formula>
    </cfRule>
  </conditionalFormatting>
  <conditionalFormatting sqref="E431 E433 E435 E437 E439 E441 E443 E445 E447 E449">
    <cfRule type="expression" dxfId="8542" priority="301">
      <formula>B431=""</formula>
    </cfRule>
  </conditionalFormatting>
  <conditionalFormatting sqref="E432:E442">
    <cfRule type="expression" dxfId="8541" priority="300">
      <formula>B432=""</formula>
    </cfRule>
  </conditionalFormatting>
  <conditionalFormatting sqref="E443">
    <cfRule type="expression" dxfId="8540" priority="299">
      <formula>B443=""</formula>
    </cfRule>
  </conditionalFormatting>
  <conditionalFormatting sqref="E444">
    <cfRule type="expression" dxfId="8539" priority="298">
      <formula>B444=""</formula>
    </cfRule>
  </conditionalFormatting>
  <conditionalFormatting sqref="E445">
    <cfRule type="expression" dxfId="8538" priority="297">
      <formula>B445=""</formula>
    </cfRule>
  </conditionalFormatting>
  <conditionalFormatting sqref="E446">
    <cfRule type="expression" dxfId="8537" priority="296">
      <formula>B446=""</formula>
    </cfRule>
  </conditionalFormatting>
  <conditionalFormatting sqref="E447">
    <cfRule type="expression" dxfId="8536" priority="295">
      <formula>B447=""</formula>
    </cfRule>
  </conditionalFormatting>
  <conditionalFormatting sqref="E448">
    <cfRule type="expression" dxfId="8535" priority="294">
      <formula>B448=""</formula>
    </cfRule>
  </conditionalFormatting>
  <conditionalFormatting sqref="E449:E450">
    <cfRule type="expression" dxfId="8534" priority="293">
      <formula>B449=""</formula>
    </cfRule>
  </conditionalFormatting>
  <conditionalFormatting sqref="E450">
    <cfRule type="expression" dxfId="8533" priority="292">
      <formula>B450=""</formula>
    </cfRule>
  </conditionalFormatting>
  <conditionalFormatting sqref="E452:E472">
    <cfRule type="expression" dxfId="8532" priority="291">
      <formula>B452=""</formula>
    </cfRule>
  </conditionalFormatting>
  <conditionalFormatting sqref="E453 E455 E457 E459 E461 E463 E465 E467 E469 E471">
    <cfRule type="expression" dxfId="8531" priority="290">
      <formula>B453=""</formula>
    </cfRule>
  </conditionalFormatting>
  <conditionalFormatting sqref="E454:E464">
    <cfRule type="expression" dxfId="8530" priority="289">
      <formula>B454=""</formula>
    </cfRule>
  </conditionalFormatting>
  <conditionalFormatting sqref="E465">
    <cfRule type="expression" dxfId="8529" priority="288">
      <formula>B465=""</formula>
    </cfRule>
  </conditionalFormatting>
  <conditionalFormatting sqref="E466">
    <cfRule type="expression" dxfId="8528" priority="287">
      <formula>B466=""</formula>
    </cfRule>
  </conditionalFormatting>
  <conditionalFormatting sqref="E467">
    <cfRule type="expression" dxfId="8527" priority="286">
      <formula>B467=""</formula>
    </cfRule>
  </conditionalFormatting>
  <conditionalFormatting sqref="E468">
    <cfRule type="expression" dxfId="8526" priority="285">
      <formula>B468=""</formula>
    </cfRule>
  </conditionalFormatting>
  <conditionalFormatting sqref="E469">
    <cfRule type="expression" dxfId="8525" priority="284">
      <formula>B469=""</formula>
    </cfRule>
  </conditionalFormatting>
  <conditionalFormatting sqref="E470">
    <cfRule type="expression" dxfId="8524" priority="283">
      <formula>B470=""</formula>
    </cfRule>
  </conditionalFormatting>
  <conditionalFormatting sqref="E471">
    <cfRule type="expression" dxfId="8523" priority="282">
      <formula>B471=""</formula>
    </cfRule>
  </conditionalFormatting>
  <conditionalFormatting sqref="E472">
    <cfRule type="expression" dxfId="8522" priority="281">
      <formula>B472=""</formula>
    </cfRule>
  </conditionalFormatting>
  <conditionalFormatting sqref="E453 E455 E457 E459 E461 E463 E465 E467 E469 E471">
    <cfRule type="expression" dxfId="8521" priority="280">
      <formula>B453=""</formula>
    </cfRule>
  </conditionalFormatting>
  <conditionalFormatting sqref="E454:E464">
    <cfRule type="expression" dxfId="8520" priority="279">
      <formula>B454=""</formula>
    </cfRule>
  </conditionalFormatting>
  <conditionalFormatting sqref="E465">
    <cfRule type="expression" dxfId="8519" priority="278">
      <formula>B465=""</formula>
    </cfRule>
  </conditionalFormatting>
  <conditionalFormatting sqref="E466">
    <cfRule type="expression" dxfId="8518" priority="277">
      <formula>B466=""</formula>
    </cfRule>
  </conditionalFormatting>
  <conditionalFormatting sqref="E467">
    <cfRule type="expression" dxfId="8517" priority="276">
      <formula>B467=""</formula>
    </cfRule>
  </conditionalFormatting>
  <conditionalFormatting sqref="E468">
    <cfRule type="expression" dxfId="8516" priority="275">
      <formula>B468=""</formula>
    </cfRule>
  </conditionalFormatting>
  <conditionalFormatting sqref="E469">
    <cfRule type="expression" dxfId="8515" priority="274">
      <formula>B469=""</formula>
    </cfRule>
  </conditionalFormatting>
  <conditionalFormatting sqref="E470">
    <cfRule type="expression" dxfId="8514" priority="273">
      <formula>B470=""</formula>
    </cfRule>
  </conditionalFormatting>
  <conditionalFormatting sqref="E471">
    <cfRule type="expression" dxfId="8513" priority="272">
      <formula>B471=""</formula>
    </cfRule>
  </conditionalFormatting>
  <conditionalFormatting sqref="E472">
    <cfRule type="expression" dxfId="8512" priority="271">
      <formula>B472=""</formula>
    </cfRule>
  </conditionalFormatting>
  <conditionalFormatting sqref="E474 E476 E478 E480 E482 E484 E486 E488 E490 E492">
    <cfRule type="expression" dxfId="8511" priority="270">
      <formula>B474=""</formula>
    </cfRule>
  </conditionalFormatting>
  <conditionalFormatting sqref="E475 E477 E479 E481 E483 E485 E487 E489 E491 E493">
    <cfRule type="expression" dxfId="8510" priority="269">
      <formula>B475=""</formula>
    </cfRule>
  </conditionalFormatting>
  <conditionalFormatting sqref="E476:E486">
    <cfRule type="expression" dxfId="8509" priority="268">
      <formula>B476=""</formula>
    </cfRule>
  </conditionalFormatting>
  <conditionalFormatting sqref="E487">
    <cfRule type="expression" dxfId="8508" priority="267">
      <formula>B487=""</formula>
    </cfRule>
  </conditionalFormatting>
  <conditionalFormatting sqref="E488">
    <cfRule type="expression" dxfId="8507" priority="266">
      <formula>B488=""</formula>
    </cfRule>
  </conditionalFormatting>
  <conditionalFormatting sqref="E489">
    <cfRule type="expression" dxfId="8506" priority="265">
      <formula>B489=""</formula>
    </cfRule>
  </conditionalFormatting>
  <conditionalFormatting sqref="E490">
    <cfRule type="expression" dxfId="8505" priority="264">
      <formula>B490=""</formula>
    </cfRule>
  </conditionalFormatting>
  <conditionalFormatting sqref="E491">
    <cfRule type="expression" dxfId="8504" priority="263">
      <formula>B491=""</formula>
    </cfRule>
  </conditionalFormatting>
  <conditionalFormatting sqref="E492">
    <cfRule type="expression" dxfId="8503" priority="262">
      <formula>B492=""</formula>
    </cfRule>
  </conditionalFormatting>
  <conditionalFormatting sqref="E493">
    <cfRule type="expression" dxfId="8502" priority="261">
      <formula>B493=""</formula>
    </cfRule>
  </conditionalFormatting>
  <conditionalFormatting sqref="E494">
    <cfRule type="expression" dxfId="8501" priority="260">
      <formula>B494=""</formula>
    </cfRule>
  </conditionalFormatting>
  <conditionalFormatting sqref="E475 E477 E479 E481 E483 E485 E487 E489 E491 E493">
    <cfRule type="expression" dxfId="8500" priority="259">
      <formula>B475=""</formula>
    </cfRule>
  </conditionalFormatting>
  <conditionalFormatting sqref="E476:E486">
    <cfRule type="expression" dxfId="8499" priority="258">
      <formula>B476=""</formula>
    </cfRule>
  </conditionalFormatting>
  <conditionalFormatting sqref="E487">
    <cfRule type="expression" dxfId="8498" priority="257">
      <formula>B487=""</formula>
    </cfRule>
  </conditionalFormatting>
  <conditionalFormatting sqref="E488">
    <cfRule type="expression" dxfId="8497" priority="256">
      <formula>B488=""</formula>
    </cfRule>
  </conditionalFormatting>
  <conditionalFormatting sqref="E489">
    <cfRule type="expression" dxfId="8496" priority="255">
      <formula>B489=""</formula>
    </cfRule>
  </conditionalFormatting>
  <conditionalFormatting sqref="E490">
    <cfRule type="expression" dxfId="8495" priority="254">
      <formula>B490=""</formula>
    </cfRule>
  </conditionalFormatting>
  <conditionalFormatting sqref="E491">
    <cfRule type="expression" dxfId="8494" priority="253">
      <formula>B491=""</formula>
    </cfRule>
  </conditionalFormatting>
  <conditionalFormatting sqref="E492">
    <cfRule type="expression" dxfId="8493" priority="252">
      <formula>B492=""</formula>
    </cfRule>
  </conditionalFormatting>
  <conditionalFormatting sqref="E493">
    <cfRule type="expression" dxfId="8492" priority="251">
      <formula>B493=""</formula>
    </cfRule>
  </conditionalFormatting>
  <conditionalFormatting sqref="E494">
    <cfRule type="expression" dxfId="8491" priority="250">
      <formula>B494=""</formula>
    </cfRule>
  </conditionalFormatting>
  <conditionalFormatting sqref="E408:E428">
    <cfRule type="expression" dxfId="8490" priority="249">
      <formula>B408=""</formula>
    </cfRule>
  </conditionalFormatting>
  <conditionalFormatting sqref="E409 E411 E413 E415 E417 E419 E421 E423 E425 E427">
    <cfRule type="expression" dxfId="8489" priority="248">
      <formula>B409=""</formula>
    </cfRule>
  </conditionalFormatting>
  <conditionalFormatting sqref="E410:E420">
    <cfRule type="expression" dxfId="8488" priority="247">
      <formula>B410=""</formula>
    </cfRule>
  </conditionalFormatting>
  <conditionalFormatting sqref="E421:E423">
    <cfRule type="expression" dxfId="8487" priority="246">
      <formula>B421=""</formula>
    </cfRule>
  </conditionalFormatting>
  <conditionalFormatting sqref="E422">
    <cfRule type="expression" dxfId="8486" priority="245">
      <formula>B422=""</formula>
    </cfRule>
  </conditionalFormatting>
  <conditionalFormatting sqref="E423">
    <cfRule type="expression" dxfId="8485" priority="244">
      <formula>B423=""</formula>
    </cfRule>
  </conditionalFormatting>
  <conditionalFormatting sqref="E424">
    <cfRule type="expression" dxfId="8484" priority="243">
      <formula>B424=""</formula>
    </cfRule>
  </conditionalFormatting>
  <conditionalFormatting sqref="E425">
    <cfRule type="expression" dxfId="8483" priority="242">
      <formula>B425=""</formula>
    </cfRule>
  </conditionalFormatting>
  <conditionalFormatting sqref="E426">
    <cfRule type="expression" dxfId="8482" priority="241">
      <formula>B426=""</formula>
    </cfRule>
  </conditionalFormatting>
  <conditionalFormatting sqref="E427:E428">
    <cfRule type="expression" dxfId="8481" priority="240">
      <formula>B427=""</formula>
    </cfRule>
  </conditionalFormatting>
  <conditionalFormatting sqref="E409 E411 E413 E415 E417 E419 E421 E423 E425 E427">
    <cfRule type="expression" dxfId="8480" priority="239">
      <formula>B409=""</formula>
    </cfRule>
  </conditionalFormatting>
  <conditionalFormatting sqref="E410:E420">
    <cfRule type="expression" dxfId="8479" priority="238">
      <formula>B410=""</formula>
    </cfRule>
  </conditionalFormatting>
  <conditionalFormatting sqref="E421:E423">
    <cfRule type="expression" dxfId="8478" priority="237">
      <formula>B421=""</formula>
    </cfRule>
  </conditionalFormatting>
  <conditionalFormatting sqref="E422">
    <cfRule type="expression" dxfId="8477" priority="236">
      <formula>B422=""</formula>
    </cfRule>
  </conditionalFormatting>
  <conditionalFormatting sqref="E423">
    <cfRule type="expression" dxfId="8476" priority="235">
      <formula>B423=""</formula>
    </cfRule>
  </conditionalFormatting>
  <conditionalFormatting sqref="E424">
    <cfRule type="expression" dxfId="8475" priority="234">
      <formula>B424=""</formula>
    </cfRule>
  </conditionalFormatting>
  <conditionalFormatting sqref="E425">
    <cfRule type="expression" dxfId="8474" priority="233">
      <formula>B425=""</formula>
    </cfRule>
  </conditionalFormatting>
  <conditionalFormatting sqref="E426">
    <cfRule type="expression" dxfId="8473" priority="232">
      <formula>B426=""</formula>
    </cfRule>
  </conditionalFormatting>
  <conditionalFormatting sqref="E427:E428">
    <cfRule type="expression" dxfId="8472" priority="231">
      <formula>B427=""</formula>
    </cfRule>
  </conditionalFormatting>
  <conditionalFormatting sqref="E430 E432 E434 E436 E438 E440 E442 E444 E446 E448">
    <cfRule type="expression" dxfId="8471" priority="230">
      <formula>B430=""</formula>
    </cfRule>
  </conditionalFormatting>
  <conditionalFormatting sqref="E431 E433 E435 E437 E439 E441 E443 E445 E447 E449">
    <cfRule type="expression" dxfId="8470" priority="229">
      <formula>B431=""</formula>
    </cfRule>
  </conditionalFormatting>
  <conditionalFormatting sqref="E432:E442">
    <cfRule type="expression" dxfId="8469" priority="228">
      <formula>B432=""</formula>
    </cfRule>
  </conditionalFormatting>
  <conditionalFormatting sqref="E443">
    <cfRule type="expression" dxfId="8468" priority="227">
      <formula>B443=""</formula>
    </cfRule>
  </conditionalFormatting>
  <conditionalFormatting sqref="E444">
    <cfRule type="expression" dxfId="8467" priority="226">
      <formula>B444=""</formula>
    </cfRule>
  </conditionalFormatting>
  <conditionalFormatting sqref="E445">
    <cfRule type="expression" dxfId="8466" priority="225">
      <formula>B445=""</formula>
    </cfRule>
  </conditionalFormatting>
  <conditionalFormatting sqref="E446">
    <cfRule type="expression" dxfId="8465" priority="224">
      <formula>B446=""</formula>
    </cfRule>
  </conditionalFormatting>
  <conditionalFormatting sqref="E447">
    <cfRule type="expression" dxfId="8464" priority="223">
      <formula>B447=""</formula>
    </cfRule>
  </conditionalFormatting>
  <conditionalFormatting sqref="E448">
    <cfRule type="expression" dxfId="8463" priority="222">
      <formula>B448=""</formula>
    </cfRule>
  </conditionalFormatting>
  <conditionalFormatting sqref="E449:E450">
    <cfRule type="expression" dxfId="8462" priority="221">
      <formula>B449=""</formula>
    </cfRule>
  </conditionalFormatting>
  <conditionalFormatting sqref="E431 E433 E435 E437 E439 E441 E443 E445 E447 E449">
    <cfRule type="expression" dxfId="8461" priority="220">
      <formula>B431=""</formula>
    </cfRule>
  </conditionalFormatting>
  <conditionalFormatting sqref="E432:E442">
    <cfRule type="expression" dxfId="8460" priority="219">
      <formula>B432=""</formula>
    </cfRule>
  </conditionalFormatting>
  <conditionalFormatting sqref="E443">
    <cfRule type="expression" dxfId="8459" priority="218">
      <formula>B443=""</formula>
    </cfRule>
  </conditionalFormatting>
  <conditionalFormatting sqref="E444">
    <cfRule type="expression" dxfId="8458" priority="217">
      <formula>B444=""</formula>
    </cfRule>
  </conditionalFormatting>
  <conditionalFormatting sqref="E445">
    <cfRule type="expression" dxfId="8457" priority="216">
      <formula>B445=""</formula>
    </cfRule>
  </conditionalFormatting>
  <conditionalFormatting sqref="E446">
    <cfRule type="expression" dxfId="8456" priority="215">
      <formula>B446=""</formula>
    </cfRule>
  </conditionalFormatting>
  <conditionalFormatting sqref="E447">
    <cfRule type="expression" dxfId="8455" priority="214">
      <formula>B447=""</formula>
    </cfRule>
  </conditionalFormatting>
  <conditionalFormatting sqref="E448">
    <cfRule type="expression" dxfId="8454" priority="213">
      <formula>B448=""</formula>
    </cfRule>
  </conditionalFormatting>
  <conditionalFormatting sqref="E449:E450">
    <cfRule type="expression" dxfId="8453" priority="212">
      <formula>B449=""</formula>
    </cfRule>
  </conditionalFormatting>
  <conditionalFormatting sqref="E430:E450">
    <cfRule type="expression" dxfId="8452" priority="211">
      <formula>B430=""</formula>
    </cfRule>
  </conditionalFormatting>
  <conditionalFormatting sqref="E431 E433 E435 E437 E439 E441 E443 E445 E447 E449">
    <cfRule type="expression" dxfId="8451" priority="210">
      <formula>B431=""</formula>
    </cfRule>
  </conditionalFormatting>
  <conditionalFormatting sqref="E432:E442">
    <cfRule type="expression" dxfId="8450" priority="209">
      <formula>B432=""</formula>
    </cfRule>
  </conditionalFormatting>
  <conditionalFormatting sqref="E443">
    <cfRule type="expression" dxfId="8449" priority="208">
      <formula>B443=""</formula>
    </cfRule>
  </conditionalFormatting>
  <conditionalFormatting sqref="E444">
    <cfRule type="expression" dxfId="8448" priority="207">
      <formula>B444=""</formula>
    </cfRule>
  </conditionalFormatting>
  <conditionalFormatting sqref="E445">
    <cfRule type="expression" dxfId="8447" priority="206">
      <formula>B445=""</formula>
    </cfRule>
  </conditionalFormatting>
  <conditionalFormatting sqref="E446">
    <cfRule type="expression" dxfId="8446" priority="205">
      <formula>B446=""</formula>
    </cfRule>
  </conditionalFormatting>
  <conditionalFormatting sqref="E447">
    <cfRule type="expression" dxfId="8445" priority="204">
      <formula>B447=""</formula>
    </cfRule>
  </conditionalFormatting>
  <conditionalFormatting sqref="E448">
    <cfRule type="expression" dxfId="8444" priority="203">
      <formula>B448=""</formula>
    </cfRule>
  </conditionalFormatting>
  <conditionalFormatting sqref="E449:E450">
    <cfRule type="expression" dxfId="8443" priority="202">
      <formula>B449=""</formula>
    </cfRule>
  </conditionalFormatting>
  <conditionalFormatting sqref="E431 E433 E435 E437 E439 E441 E443 E445 E447 E449">
    <cfRule type="expression" dxfId="8442" priority="201">
      <formula>B431=""</formula>
    </cfRule>
  </conditionalFormatting>
  <conditionalFormatting sqref="E432:E442">
    <cfRule type="expression" dxfId="8441" priority="200">
      <formula>B432=""</formula>
    </cfRule>
  </conditionalFormatting>
  <conditionalFormatting sqref="E443">
    <cfRule type="expression" dxfId="8440" priority="199">
      <formula>B443=""</formula>
    </cfRule>
  </conditionalFormatting>
  <conditionalFormatting sqref="E444">
    <cfRule type="expression" dxfId="8439" priority="198">
      <formula>B444=""</formula>
    </cfRule>
  </conditionalFormatting>
  <conditionalFormatting sqref="E445">
    <cfRule type="expression" dxfId="8438" priority="197">
      <formula>B445=""</formula>
    </cfRule>
  </conditionalFormatting>
  <conditionalFormatting sqref="E446">
    <cfRule type="expression" dxfId="8437" priority="196">
      <formula>B446=""</formula>
    </cfRule>
  </conditionalFormatting>
  <conditionalFormatting sqref="E447">
    <cfRule type="expression" dxfId="8436" priority="195">
      <formula>B447=""</formula>
    </cfRule>
  </conditionalFormatting>
  <conditionalFormatting sqref="E448">
    <cfRule type="expression" dxfId="8435" priority="194">
      <formula>B448=""</formula>
    </cfRule>
  </conditionalFormatting>
  <conditionalFormatting sqref="E449:E450">
    <cfRule type="expression" dxfId="8434" priority="193">
      <formula>B449=""</formula>
    </cfRule>
  </conditionalFormatting>
  <conditionalFormatting sqref="E452:E472">
    <cfRule type="expression" dxfId="8433" priority="192">
      <formula>B452=""</formula>
    </cfRule>
  </conditionalFormatting>
  <conditionalFormatting sqref="E452:E472">
    <cfRule type="expression" dxfId="8432" priority="191">
      <formula>B452=""</formula>
    </cfRule>
  </conditionalFormatting>
  <conditionalFormatting sqref="E452:E472">
    <cfRule type="expression" dxfId="8431" priority="190">
      <formula>B452=""</formula>
    </cfRule>
  </conditionalFormatting>
  <conditionalFormatting sqref="E474:E494">
    <cfRule type="expression" dxfId="8430" priority="189">
      <formula>B474=""</formula>
    </cfRule>
  </conditionalFormatting>
  <conditionalFormatting sqref="E475 E477 E479 E481 E483 E485 E487 E489 E491 E493">
    <cfRule type="expression" dxfId="8429" priority="188">
      <formula>B475=""</formula>
    </cfRule>
  </conditionalFormatting>
  <conditionalFormatting sqref="E476:E486">
    <cfRule type="expression" dxfId="8428" priority="187">
      <formula>B476=""</formula>
    </cfRule>
  </conditionalFormatting>
  <conditionalFormatting sqref="E487">
    <cfRule type="expression" dxfId="8427" priority="186">
      <formula>B487=""</formula>
    </cfRule>
  </conditionalFormatting>
  <conditionalFormatting sqref="E488">
    <cfRule type="expression" dxfId="8426" priority="185">
      <formula>B488=""</formula>
    </cfRule>
  </conditionalFormatting>
  <conditionalFormatting sqref="E489">
    <cfRule type="expression" dxfId="8425" priority="184">
      <formula>B489=""</formula>
    </cfRule>
  </conditionalFormatting>
  <conditionalFormatting sqref="E490">
    <cfRule type="expression" dxfId="8424" priority="183">
      <formula>B490=""</formula>
    </cfRule>
  </conditionalFormatting>
  <conditionalFormatting sqref="E491">
    <cfRule type="expression" dxfId="8423" priority="182">
      <formula>B491=""</formula>
    </cfRule>
  </conditionalFormatting>
  <conditionalFormatting sqref="E492">
    <cfRule type="expression" dxfId="8422" priority="181">
      <formula>B492=""</formula>
    </cfRule>
  </conditionalFormatting>
  <conditionalFormatting sqref="E493">
    <cfRule type="expression" dxfId="8421" priority="180">
      <formula>B493=""</formula>
    </cfRule>
  </conditionalFormatting>
  <conditionalFormatting sqref="E494">
    <cfRule type="expression" dxfId="8420" priority="179">
      <formula>B494=""</formula>
    </cfRule>
  </conditionalFormatting>
  <conditionalFormatting sqref="E475 E477 E479 E481 E483 E485 E487 E489 E491 E493">
    <cfRule type="expression" dxfId="8419" priority="178">
      <formula>B475=""</formula>
    </cfRule>
  </conditionalFormatting>
  <conditionalFormatting sqref="E476:E486">
    <cfRule type="expression" dxfId="8418" priority="177">
      <formula>B476=""</formula>
    </cfRule>
  </conditionalFormatting>
  <conditionalFormatting sqref="E487">
    <cfRule type="expression" dxfId="8417" priority="176">
      <formula>B487=""</formula>
    </cfRule>
  </conditionalFormatting>
  <conditionalFormatting sqref="E488">
    <cfRule type="expression" dxfId="8416" priority="175">
      <formula>B488=""</formula>
    </cfRule>
  </conditionalFormatting>
  <conditionalFormatting sqref="E489">
    <cfRule type="expression" dxfId="8415" priority="174">
      <formula>B489=""</formula>
    </cfRule>
  </conditionalFormatting>
  <conditionalFormatting sqref="E490">
    <cfRule type="expression" dxfId="8414" priority="173">
      <formula>B490=""</formula>
    </cfRule>
  </conditionalFormatting>
  <conditionalFormatting sqref="E491">
    <cfRule type="expression" dxfId="8413" priority="172">
      <formula>B491=""</formula>
    </cfRule>
  </conditionalFormatting>
  <conditionalFormatting sqref="E492">
    <cfRule type="expression" dxfId="8412" priority="171">
      <formula>B492=""</formula>
    </cfRule>
  </conditionalFormatting>
  <conditionalFormatting sqref="E493">
    <cfRule type="expression" dxfId="8411" priority="170">
      <formula>B493=""</formula>
    </cfRule>
  </conditionalFormatting>
  <conditionalFormatting sqref="E494">
    <cfRule type="expression" dxfId="8410" priority="169">
      <formula>B494=""</formula>
    </cfRule>
  </conditionalFormatting>
  <conditionalFormatting sqref="E474:E494">
    <cfRule type="expression" dxfId="8409" priority="168">
      <formula>B474=""</formula>
    </cfRule>
  </conditionalFormatting>
  <conditionalFormatting sqref="E474:E494">
    <cfRule type="expression" dxfId="8408" priority="167">
      <formula>B474=""</formula>
    </cfRule>
  </conditionalFormatting>
  <conditionalFormatting sqref="E474:E494">
    <cfRule type="expression" dxfId="8407" priority="166">
      <formula>B474=""</formula>
    </cfRule>
  </conditionalFormatting>
  <conditionalFormatting sqref="B208:B227">
    <cfRule type="containsBlanks" dxfId="8406" priority="165">
      <formula>LEN(TRIM(B208))=0</formula>
    </cfRule>
  </conditionalFormatting>
  <conditionalFormatting sqref="C208:C227">
    <cfRule type="expression" dxfId="8405" priority="164">
      <formula>B208=""</formula>
    </cfRule>
  </conditionalFormatting>
  <conditionalFormatting sqref="C208:C227">
    <cfRule type="expression" dxfId="8404" priority="163">
      <formula>B208=""</formula>
    </cfRule>
  </conditionalFormatting>
  <conditionalFormatting sqref="C209">
    <cfRule type="expression" dxfId="8403" priority="162">
      <formula>B209=""</formula>
    </cfRule>
  </conditionalFormatting>
  <conditionalFormatting sqref="C222">
    <cfRule type="expression" dxfId="8402" priority="161">
      <formula>B222=""</formula>
    </cfRule>
  </conditionalFormatting>
  <conditionalFormatting sqref="C223">
    <cfRule type="expression" dxfId="8401" priority="160">
      <formula>B223=""</formula>
    </cfRule>
  </conditionalFormatting>
  <conditionalFormatting sqref="C224">
    <cfRule type="expression" dxfId="8400" priority="159">
      <formula>B224=""</formula>
    </cfRule>
  </conditionalFormatting>
  <conditionalFormatting sqref="C225">
    <cfRule type="expression" dxfId="8399" priority="158">
      <formula>B225=""</formula>
    </cfRule>
  </conditionalFormatting>
  <conditionalFormatting sqref="C226">
    <cfRule type="expression" dxfId="8398" priority="157">
      <formula>B226=""</formula>
    </cfRule>
  </conditionalFormatting>
  <conditionalFormatting sqref="C227">
    <cfRule type="expression" dxfId="8397" priority="156">
      <formula>B227=""</formula>
    </cfRule>
  </conditionalFormatting>
  <conditionalFormatting sqref="C209">
    <cfRule type="expression" dxfId="8396" priority="155">
      <formula>B209=""</formula>
    </cfRule>
  </conditionalFormatting>
  <conditionalFormatting sqref="C222">
    <cfRule type="expression" dxfId="8395" priority="154">
      <formula>B222=""</formula>
    </cfRule>
  </conditionalFormatting>
  <conditionalFormatting sqref="C223">
    <cfRule type="expression" dxfId="8394" priority="153">
      <formula>B223=""</formula>
    </cfRule>
  </conditionalFormatting>
  <conditionalFormatting sqref="C224">
    <cfRule type="expression" dxfId="8393" priority="152">
      <formula>B224=""</formula>
    </cfRule>
  </conditionalFormatting>
  <conditionalFormatting sqref="C225">
    <cfRule type="expression" dxfId="8392" priority="151">
      <formula>B225=""</formula>
    </cfRule>
  </conditionalFormatting>
  <conditionalFormatting sqref="C226">
    <cfRule type="expression" dxfId="8391" priority="150">
      <formula>B226=""</formula>
    </cfRule>
  </conditionalFormatting>
  <conditionalFormatting sqref="C227">
    <cfRule type="expression" dxfId="8390" priority="149">
      <formula>B227=""</formula>
    </cfRule>
  </conditionalFormatting>
  <conditionalFormatting sqref="C209">
    <cfRule type="expression" dxfId="8389" priority="148">
      <formula>B209=""</formula>
    </cfRule>
  </conditionalFormatting>
  <conditionalFormatting sqref="C222">
    <cfRule type="expression" dxfId="8388" priority="147">
      <formula>B222=""</formula>
    </cfRule>
  </conditionalFormatting>
  <conditionalFormatting sqref="C223">
    <cfRule type="expression" dxfId="8387" priority="146">
      <formula>B223=""</formula>
    </cfRule>
  </conditionalFormatting>
  <conditionalFormatting sqref="C224">
    <cfRule type="expression" dxfId="8386" priority="145">
      <formula>B224=""</formula>
    </cfRule>
  </conditionalFormatting>
  <conditionalFormatting sqref="C225">
    <cfRule type="expression" dxfId="8385" priority="144">
      <formula>B225=""</formula>
    </cfRule>
  </conditionalFormatting>
  <conditionalFormatting sqref="C226">
    <cfRule type="expression" dxfId="8384" priority="143">
      <formula>B226=""</formula>
    </cfRule>
  </conditionalFormatting>
  <conditionalFormatting sqref="C227">
    <cfRule type="expression" dxfId="8383" priority="142">
      <formula>B227=""</formula>
    </cfRule>
  </conditionalFormatting>
  <conditionalFormatting sqref="B308:B327">
    <cfRule type="containsBlanks" dxfId="8382" priority="141">
      <formula>LEN(TRIM(B308))=0</formula>
    </cfRule>
  </conditionalFormatting>
  <conditionalFormatting sqref="C308:C327">
    <cfRule type="expression" dxfId="8381" priority="140">
      <formula>B308=""</formula>
    </cfRule>
  </conditionalFormatting>
  <conditionalFormatting sqref="C309">
    <cfRule type="expression" dxfId="8380" priority="139">
      <formula>B309=""</formula>
    </cfRule>
  </conditionalFormatting>
  <conditionalFormatting sqref="C310:C320">
    <cfRule type="expression" dxfId="8379" priority="138">
      <formula>B310=""</formula>
    </cfRule>
  </conditionalFormatting>
  <conditionalFormatting sqref="C321">
    <cfRule type="expression" dxfId="8378" priority="137">
      <formula>B321=""</formula>
    </cfRule>
  </conditionalFormatting>
  <conditionalFormatting sqref="C322">
    <cfRule type="expression" dxfId="8377" priority="136">
      <formula>B322=""</formula>
    </cfRule>
  </conditionalFormatting>
  <conditionalFormatting sqref="C323">
    <cfRule type="expression" dxfId="8376" priority="135">
      <formula>B323=""</formula>
    </cfRule>
  </conditionalFormatting>
  <conditionalFormatting sqref="C324">
    <cfRule type="expression" dxfId="8375" priority="134">
      <formula>B324=""</formula>
    </cfRule>
  </conditionalFormatting>
  <conditionalFormatting sqref="C325">
    <cfRule type="expression" dxfId="8374" priority="133">
      <formula>B325=""</formula>
    </cfRule>
  </conditionalFormatting>
  <conditionalFormatting sqref="C326">
    <cfRule type="expression" dxfId="8373" priority="132">
      <formula>B326=""</formula>
    </cfRule>
  </conditionalFormatting>
  <conditionalFormatting sqref="C327">
    <cfRule type="expression" dxfId="8372" priority="131">
      <formula>B327=""</formula>
    </cfRule>
  </conditionalFormatting>
  <conditionalFormatting sqref="C308:C327">
    <cfRule type="expression" dxfId="8371" priority="130">
      <formula>B308=""</formula>
    </cfRule>
  </conditionalFormatting>
  <conditionalFormatting sqref="C309">
    <cfRule type="expression" dxfId="8370" priority="129">
      <formula>B309=""</formula>
    </cfRule>
  </conditionalFormatting>
  <conditionalFormatting sqref="C310:C320">
    <cfRule type="expression" dxfId="8369" priority="128">
      <formula>B310=""</formula>
    </cfRule>
  </conditionalFormatting>
  <conditionalFormatting sqref="C321">
    <cfRule type="expression" dxfId="8368" priority="127">
      <formula>B321=""</formula>
    </cfRule>
  </conditionalFormatting>
  <conditionalFormatting sqref="C322">
    <cfRule type="expression" dxfId="8367" priority="126">
      <formula>B322=""</formula>
    </cfRule>
  </conditionalFormatting>
  <conditionalFormatting sqref="C323">
    <cfRule type="expression" dxfId="8366" priority="125">
      <formula>B323=""</formula>
    </cfRule>
  </conditionalFormatting>
  <conditionalFormatting sqref="C324">
    <cfRule type="expression" dxfId="8365" priority="124">
      <formula>B324=""</formula>
    </cfRule>
  </conditionalFormatting>
  <conditionalFormatting sqref="C325">
    <cfRule type="expression" dxfId="8364" priority="123">
      <formula>B325=""</formula>
    </cfRule>
  </conditionalFormatting>
  <conditionalFormatting sqref="C326">
    <cfRule type="expression" dxfId="8363" priority="122">
      <formula>B326=""</formula>
    </cfRule>
  </conditionalFormatting>
  <conditionalFormatting sqref="C327">
    <cfRule type="expression" dxfId="8362" priority="121">
      <formula>B327=""</formula>
    </cfRule>
  </conditionalFormatting>
  <conditionalFormatting sqref="C308:C327">
    <cfRule type="expression" dxfId="8361" priority="120">
      <formula>B308=""</formula>
    </cfRule>
  </conditionalFormatting>
  <conditionalFormatting sqref="C309">
    <cfRule type="expression" dxfId="8360" priority="119">
      <formula>B309=""</formula>
    </cfRule>
  </conditionalFormatting>
  <conditionalFormatting sqref="C310:C320">
    <cfRule type="expression" dxfId="8359" priority="118">
      <formula>B310=""</formula>
    </cfRule>
  </conditionalFormatting>
  <conditionalFormatting sqref="C321">
    <cfRule type="expression" dxfId="8358" priority="117">
      <formula>B321=""</formula>
    </cfRule>
  </conditionalFormatting>
  <conditionalFormatting sqref="C322">
    <cfRule type="expression" dxfId="8357" priority="116">
      <formula>B322=""</formula>
    </cfRule>
  </conditionalFormatting>
  <conditionalFormatting sqref="C323">
    <cfRule type="expression" dxfId="8356" priority="115">
      <formula>B323=""</formula>
    </cfRule>
  </conditionalFormatting>
  <conditionalFormatting sqref="C324">
    <cfRule type="expression" dxfId="8355" priority="114">
      <formula>B324=""</formula>
    </cfRule>
  </conditionalFormatting>
  <conditionalFormatting sqref="C325">
    <cfRule type="expression" dxfId="8354" priority="113">
      <formula>B325=""</formula>
    </cfRule>
  </conditionalFormatting>
  <conditionalFormatting sqref="C326">
    <cfRule type="expression" dxfId="8353" priority="112">
      <formula>B326=""</formula>
    </cfRule>
  </conditionalFormatting>
  <conditionalFormatting sqref="C327">
    <cfRule type="expression" dxfId="8352" priority="111">
      <formula>B327=""</formula>
    </cfRule>
  </conditionalFormatting>
  <conditionalFormatting sqref="B308:B327">
    <cfRule type="containsBlanks" dxfId="8351" priority="110">
      <formula>LEN(TRIM(B308))=0</formula>
    </cfRule>
  </conditionalFormatting>
  <conditionalFormatting sqref="C308:C327">
    <cfRule type="expression" dxfId="8350" priority="109">
      <formula>B308=""</formula>
    </cfRule>
  </conditionalFormatting>
  <conditionalFormatting sqref="C308:C327">
    <cfRule type="expression" dxfId="8349" priority="108">
      <formula>B308=""</formula>
    </cfRule>
  </conditionalFormatting>
  <conditionalFormatting sqref="C309">
    <cfRule type="expression" dxfId="8348" priority="107">
      <formula>B309=""</formula>
    </cfRule>
  </conditionalFormatting>
  <conditionalFormatting sqref="C322">
    <cfRule type="expression" dxfId="8347" priority="106">
      <formula>B322=""</formula>
    </cfRule>
  </conditionalFormatting>
  <conditionalFormatting sqref="C323">
    <cfRule type="expression" dxfId="8346" priority="105">
      <formula>B323=""</formula>
    </cfRule>
  </conditionalFormatting>
  <conditionalFormatting sqref="C324">
    <cfRule type="expression" dxfId="8345" priority="104">
      <formula>B324=""</formula>
    </cfRule>
  </conditionalFormatting>
  <conditionalFormatting sqref="C325">
    <cfRule type="expression" dxfId="8344" priority="103">
      <formula>B325=""</formula>
    </cfRule>
  </conditionalFormatting>
  <conditionalFormatting sqref="C326">
    <cfRule type="expression" dxfId="8343" priority="102">
      <formula>B326=""</formula>
    </cfRule>
  </conditionalFormatting>
  <conditionalFormatting sqref="C327">
    <cfRule type="expression" dxfId="8342" priority="101">
      <formula>B327=""</formula>
    </cfRule>
  </conditionalFormatting>
  <conditionalFormatting sqref="C309">
    <cfRule type="expression" dxfId="8341" priority="100">
      <formula>B309=""</formula>
    </cfRule>
  </conditionalFormatting>
  <conditionalFormatting sqref="C322">
    <cfRule type="expression" dxfId="8340" priority="99">
      <formula>B322=""</formula>
    </cfRule>
  </conditionalFormatting>
  <conditionalFormatting sqref="C323">
    <cfRule type="expression" dxfId="8339" priority="98">
      <formula>B323=""</formula>
    </cfRule>
  </conditionalFormatting>
  <conditionalFormatting sqref="C324">
    <cfRule type="expression" dxfId="8338" priority="97">
      <formula>B324=""</formula>
    </cfRule>
  </conditionalFormatting>
  <conditionalFormatting sqref="C325">
    <cfRule type="expression" dxfId="8337" priority="96">
      <formula>B325=""</formula>
    </cfRule>
  </conditionalFormatting>
  <conditionalFormatting sqref="C326">
    <cfRule type="expression" dxfId="8336" priority="95">
      <formula>B326=""</formula>
    </cfRule>
  </conditionalFormatting>
  <conditionalFormatting sqref="C327">
    <cfRule type="expression" dxfId="8335" priority="94">
      <formula>B327=""</formula>
    </cfRule>
  </conditionalFormatting>
  <conditionalFormatting sqref="C309">
    <cfRule type="expression" dxfId="8334" priority="93">
      <formula>B309=""</formula>
    </cfRule>
  </conditionalFormatting>
  <conditionalFormatting sqref="C322">
    <cfRule type="expression" dxfId="8333" priority="92">
      <formula>B322=""</formula>
    </cfRule>
  </conditionalFormatting>
  <conditionalFormatting sqref="C323">
    <cfRule type="expression" dxfId="8332" priority="91">
      <formula>B323=""</formula>
    </cfRule>
  </conditionalFormatting>
  <conditionalFormatting sqref="C324">
    <cfRule type="expression" dxfId="8331" priority="90">
      <formula>B324=""</formula>
    </cfRule>
  </conditionalFormatting>
  <conditionalFormatting sqref="C325">
    <cfRule type="expression" dxfId="8330" priority="89">
      <formula>B325=""</formula>
    </cfRule>
  </conditionalFormatting>
  <conditionalFormatting sqref="C326">
    <cfRule type="expression" dxfId="8329" priority="88">
      <formula>B326=""</formula>
    </cfRule>
  </conditionalFormatting>
  <conditionalFormatting sqref="C327">
    <cfRule type="expression" dxfId="8328" priority="87">
      <formula>B327=""</formula>
    </cfRule>
  </conditionalFormatting>
  <conditionalFormatting sqref="B408:B427">
    <cfRule type="containsBlanks" dxfId="8327" priority="86">
      <formula>LEN(TRIM(B408))=0</formula>
    </cfRule>
  </conditionalFormatting>
  <conditionalFormatting sqref="C408:C427">
    <cfRule type="expression" dxfId="8326" priority="85">
      <formula>B408=""</formula>
    </cfRule>
  </conditionalFormatting>
  <conditionalFormatting sqref="C409">
    <cfRule type="expression" dxfId="8325" priority="84">
      <formula>B409=""</formula>
    </cfRule>
  </conditionalFormatting>
  <conditionalFormatting sqref="C410:C420">
    <cfRule type="expression" dxfId="8324" priority="83">
      <formula>B410=""</formula>
    </cfRule>
  </conditionalFormatting>
  <conditionalFormatting sqref="C421">
    <cfRule type="expression" dxfId="8323" priority="82">
      <formula>B421=""</formula>
    </cfRule>
  </conditionalFormatting>
  <conditionalFormatting sqref="C422">
    <cfRule type="expression" dxfId="8322" priority="81">
      <formula>B422=""</formula>
    </cfRule>
  </conditionalFormatting>
  <conditionalFormatting sqref="C423">
    <cfRule type="expression" dxfId="8321" priority="80">
      <formula>B423=""</formula>
    </cfRule>
  </conditionalFormatting>
  <conditionalFormatting sqref="C424">
    <cfRule type="expression" dxfId="8320" priority="79">
      <formula>B424=""</formula>
    </cfRule>
  </conditionalFormatting>
  <conditionalFormatting sqref="C425">
    <cfRule type="expression" dxfId="8319" priority="78">
      <formula>B425=""</formula>
    </cfRule>
  </conditionalFormatting>
  <conditionalFormatting sqref="C426">
    <cfRule type="expression" dxfId="8318" priority="77">
      <formula>B426=""</formula>
    </cfRule>
  </conditionalFormatting>
  <conditionalFormatting sqref="C427">
    <cfRule type="expression" dxfId="8317" priority="76">
      <formula>B427=""</formula>
    </cfRule>
  </conditionalFormatting>
  <conditionalFormatting sqref="C408:C427">
    <cfRule type="expression" dxfId="8316" priority="75">
      <formula>B408=""</formula>
    </cfRule>
  </conditionalFormatting>
  <conditionalFormatting sqref="C409">
    <cfRule type="expression" dxfId="8315" priority="74">
      <formula>B409=""</formula>
    </cfRule>
  </conditionalFormatting>
  <conditionalFormatting sqref="C410:C420">
    <cfRule type="expression" dxfId="8314" priority="73">
      <formula>B410=""</formula>
    </cfRule>
  </conditionalFormatting>
  <conditionalFormatting sqref="C421">
    <cfRule type="expression" dxfId="8313" priority="72">
      <formula>B421=""</formula>
    </cfRule>
  </conditionalFormatting>
  <conditionalFormatting sqref="C422">
    <cfRule type="expression" dxfId="8312" priority="71">
      <formula>B422=""</formula>
    </cfRule>
  </conditionalFormatting>
  <conditionalFormatting sqref="C423">
    <cfRule type="expression" dxfId="8311" priority="70">
      <formula>B423=""</formula>
    </cfRule>
  </conditionalFormatting>
  <conditionalFormatting sqref="C424">
    <cfRule type="expression" dxfId="8310" priority="69">
      <formula>B424=""</formula>
    </cfRule>
  </conditionalFormatting>
  <conditionalFormatting sqref="C425">
    <cfRule type="expression" dxfId="8309" priority="68">
      <formula>B425=""</formula>
    </cfRule>
  </conditionalFormatting>
  <conditionalFormatting sqref="C426">
    <cfRule type="expression" dxfId="8308" priority="67">
      <formula>B426=""</formula>
    </cfRule>
  </conditionalFormatting>
  <conditionalFormatting sqref="C427">
    <cfRule type="expression" dxfId="8307" priority="66">
      <formula>B427=""</formula>
    </cfRule>
  </conditionalFormatting>
  <conditionalFormatting sqref="C408:C427">
    <cfRule type="expression" dxfId="8306" priority="65">
      <formula>B408=""</formula>
    </cfRule>
  </conditionalFormatting>
  <conditionalFormatting sqref="C409">
    <cfRule type="expression" dxfId="8305" priority="64">
      <formula>B409=""</formula>
    </cfRule>
  </conditionalFormatting>
  <conditionalFormatting sqref="C410:C420">
    <cfRule type="expression" dxfId="8304" priority="63">
      <formula>B410=""</formula>
    </cfRule>
  </conditionalFormatting>
  <conditionalFormatting sqref="C421">
    <cfRule type="expression" dxfId="8303" priority="62">
      <formula>B421=""</formula>
    </cfRule>
  </conditionalFormatting>
  <conditionalFormatting sqref="C422">
    <cfRule type="expression" dxfId="8302" priority="61">
      <formula>B422=""</formula>
    </cfRule>
  </conditionalFormatting>
  <conditionalFormatting sqref="C423">
    <cfRule type="expression" dxfId="8301" priority="60">
      <formula>B423=""</formula>
    </cfRule>
  </conditionalFormatting>
  <conditionalFormatting sqref="C424">
    <cfRule type="expression" dxfId="8300" priority="59">
      <formula>B424=""</formula>
    </cfRule>
  </conditionalFormatting>
  <conditionalFormatting sqref="C425">
    <cfRule type="expression" dxfId="8299" priority="58">
      <formula>B425=""</formula>
    </cfRule>
  </conditionalFormatting>
  <conditionalFormatting sqref="C426">
    <cfRule type="expression" dxfId="8298" priority="57">
      <formula>B426=""</formula>
    </cfRule>
  </conditionalFormatting>
  <conditionalFormatting sqref="C427">
    <cfRule type="expression" dxfId="8297" priority="56">
      <formula>B427=""</formula>
    </cfRule>
  </conditionalFormatting>
  <conditionalFormatting sqref="B408:B427">
    <cfRule type="containsBlanks" dxfId="8296" priority="55">
      <formula>LEN(TRIM(B408))=0</formula>
    </cfRule>
  </conditionalFormatting>
  <conditionalFormatting sqref="C408:C427">
    <cfRule type="expression" dxfId="8295" priority="54">
      <formula>B408=""</formula>
    </cfRule>
  </conditionalFormatting>
  <conditionalFormatting sqref="C409">
    <cfRule type="expression" dxfId="8294" priority="53">
      <formula>B409=""</formula>
    </cfRule>
  </conditionalFormatting>
  <conditionalFormatting sqref="C410:C420">
    <cfRule type="expression" dxfId="8293" priority="52">
      <formula>B410=""</formula>
    </cfRule>
  </conditionalFormatting>
  <conditionalFormatting sqref="C421">
    <cfRule type="expression" dxfId="8292" priority="51">
      <formula>B421=""</formula>
    </cfRule>
  </conditionalFormatting>
  <conditionalFormatting sqref="C422">
    <cfRule type="expression" dxfId="8291" priority="50">
      <formula>B422=""</formula>
    </cfRule>
  </conditionalFormatting>
  <conditionalFormatting sqref="C423">
    <cfRule type="expression" dxfId="8290" priority="49">
      <formula>B423=""</formula>
    </cfRule>
  </conditionalFormatting>
  <conditionalFormatting sqref="C424">
    <cfRule type="expression" dxfId="8289" priority="48">
      <formula>B424=""</formula>
    </cfRule>
  </conditionalFormatting>
  <conditionalFormatting sqref="C425">
    <cfRule type="expression" dxfId="8288" priority="47">
      <formula>B425=""</formula>
    </cfRule>
  </conditionalFormatting>
  <conditionalFormatting sqref="C426">
    <cfRule type="expression" dxfId="8287" priority="46">
      <formula>B426=""</formula>
    </cfRule>
  </conditionalFormatting>
  <conditionalFormatting sqref="C427">
    <cfRule type="expression" dxfId="8286" priority="45">
      <formula>B427=""</formula>
    </cfRule>
  </conditionalFormatting>
  <conditionalFormatting sqref="C408:C427">
    <cfRule type="expression" dxfId="8285" priority="44">
      <formula>B408=""</formula>
    </cfRule>
  </conditionalFormatting>
  <conditionalFormatting sqref="C409">
    <cfRule type="expression" dxfId="8284" priority="43">
      <formula>B409=""</formula>
    </cfRule>
  </conditionalFormatting>
  <conditionalFormatting sqref="C410:C420">
    <cfRule type="expression" dxfId="8283" priority="42">
      <formula>B410=""</formula>
    </cfRule>
  </conditionalFormatting>
  <conditionalFormatting sqref="C421">
    <cfRule type="expression" dxfId="8282" priority="41">
      <formula>B421=""</formula>
    </cfRule>
  </conditionalFormatting>
  <conditionalFormatting sqref="C422">
    <cfRule type="expression" dxfId="8281" priority="40">
      <formula>B422=""</formula>
    </cfRule>
  </conditionalFormatting>
  <conditionalFormatting sqref="C423">
    <cfRule type="expression" dxfId="8280" priority="39">
      <formula>B423=""</formula>
    </cfRule>
  </conditionalFormatting>
  <conditionalFormatting sqref="C424">
    <cfRule type="expression" dxfId="8279" priority="38">
      <formula>B424=""</formula>
    </cfRule>
  </conditionalFormatting>
  <conditionalFormatting sqref="C425">
    <cfRule type="expression" dxfId="8278" priority="37">
      <formula>B425=""</formula>
    </cfRule>
  </conditionalFormatting>
  <conditionalFormatting sqref="C426">
    <cfRule type="expression" dxfId="8277" priority="36">
      <formula>B426=""</formula>
    </cfRule>
  </conditionalFormatting>
  <conditionalFormatting sqref="C427">
    <cfRule type="expression" dxfId="8276" priority="35">
      <formula>B427=""</formula>
    </cfRule>
  </conditionalFormatting>
  <conditionalFormatting sqref="C408:C427">
    <cfRule type="expression" dxfId="8275" priority="34">
      <formula>B408=""</formula>
    </cfRule>
  </conditionalFormatting>
  <conditionalFormatting sqref="C409">
    <cfRule type="expression" dxfId="8274" priority="33">
      <formula>B409=""</formula>
    </cfRule>
  </conditionalFormatting>
  <conditionalFormatting sqref="C410:C420">
    <cfRule type="expression" dxfId="8273" priority="32">
      <formula>B410=""</formula>
    </cfRule>
  </conditionalFormatting>
  <conditionalFormatting sqref="C421">
    <cfRule type="expression" dxfId="8272" priority="31">
      <formula>B421=""</formula>
    </cfRule>
  </conditionalFormatting>
  <conditionalFormatting sqref="C422">
    <cfRule type="expression" dxfId="8271" priority="30">
      <formula>B422=""</formula>
    </cfRule>
  </conditionalFormatting>
  <conditionalFormatting sqref="C423">
    <cfRule type="expression" dxfId="8270" priority="29">
      <formula>B423=""</formula>
    </cfRule>
  </conditionalFormatting>
  <conditionalFormatting sqref="C424">
    <cfRule type="expression" dxfId="8269" priority="28">
      <formula>B424=""</formula>
    </cfRule>
  </conditionalFormatting>
  <conditionalFormatting sqref="C425">
    <cfRule type="expression" dxfId="8268" priority="27">
      <formula>B425=""</formula>
    </cfRule>
  </conditionalFormatting>
  <conditionalFormatting sqref="C426">
    <cfRule type="expression" dxfId="8267" priority="26">
      <formula>B426=""</formula>
    </cfRule>
  </conditionalFormatting>
  <conditionalFormatting sqref="C427">
    <cfRule type="expression" dxfId="8266" priority="25">
      <formula>B427=""</formula>
    </cfRule>
  </conditionalFormatting>
  <conditionalFormatting sqref="B408:B427">
    <cfRule type="containsBlanks" dxfId="8265" priority="24">
      <formula>LEN(TRIM(B408))=0</formula>
    </cfRule>
  </conditionalFormatting>
  <conditionalFormatting sqref="C408:C427">
    <cfRule type="expression" dxfId="8264" priority="23">
      <formula>B408=""</formula>
    </cfRule>
  </conditionalFormatting>
  <conditionalFormatting sqref="C408:C427">
    <cfRule type="expression" dxfId="8263" priority="22">
      <formula>B408=""</formula>
    </cfRule>
  </conditionalFormatting>
  <conditionalFormatting sqref="C409">
    <cfRule type="expression" dxfId="8262" priority="21">
      <formula>B409=""</formula>
    </cfRule>
  </conditionalFormatting>
  <conditionalFormatting sqref="C422">
    <cfRule type="expression" dxfId="8261" priority="20">
      <formula>B422=""</formula>
    </cfRule>
  </conditionalFormatting>
  <conditionalFormatting sqref="C423">
    <cfRule type="expression" dxfId="8260" priority="19">
      <formula>B423=""</formula>
    </cfRule>
  </conditionalFormatting>
  <conditionalFormatting sqref="C424">
    <cfRule type="expression" dxfId="8259" priority="18">
      <formula>B424=""</formula>
    </cfRule>
  </conditionalFormatting>
  <conditionalFormatting sqref="C425">
    <cfRule type="expression" dxfId="8258" priority="17">
      <formula>B425=""</formula>
    </cfRule>
  </conditionalFormatting>
  <conditionalFormatting sqref="C426">
    <cfRule type="expression" dxfId="8257" priority="16">
      <formula>B426=""</formula>
    </cfRule>
  </conditionalFormatting>
  <conditionalFormatting sqref="C427">
    <cfRule type="expression" dxfId="8256" priority="15">
      <formula>B427=""</formula>
    </cfRule>
  </conditionalFormatting>
  <conditionalFormatting sqref="C409">
    <cfRule type="expression" dxfId="8255" priority="14">
      <formula>B409=""</formula>
    </cfRule>
  </conditionalFormatting>
  <conditionalFormatting sqref="C422">
    <cfRule type="expression" dxfId="8254" priority="13">
      <formula>B422=""</formula>
    </cfRule>
  </conditionalFormatting>
  <conditionalFormatting sqref="C423">
    <cfRule type="expression" dxfId="8253" priority="12">
      <formula>B423=""</formula>
    </cfRule>
  </conditionalFormatting>
  <conditionalFormatting sqref="C424">
    <cfRule type="expression" dxfId="8252" priority="11">
      <formula>B424=""</formula>
    </cfRule>
  </conditionalFormatting>
  <conditionalFormatting sqref="C425">
    <cfRule type="expression" dxfId="8251" priority="10">
      <formula>B425=""</formula>
    </cfRule>
  </conditionalFormatting>
  <conditionalFormatting sqref="C426">
    <cfRule type="expression" dxfId="8250" priority="9">
      <formula>B426=""</formula>
    </cfRule>
  </conditionalFormatting>
  <conditionalFormatting sqref="C427">
    <cfRule type="expression" dxfId="8249" priority="8">
      <formula>B427=""</formula>
    </cfRule>
  </conditionalFormatting>
  <conditionalFormatting sqref="C409">
    <cfRule type="expression" dxfId="8248" priority="7">
      <formula>B409=""</formula>
    </cfRule>
  </conditionalFormatting>
  <conditionalFormatting sqref="C422">
    <cfRule type="expression" dxfId="8247" priority="6">
      <formula>B422=""</formula>
    </cfRule>
  </conditionalFormatting>
  <conditionalFormatting sqref="C423">
    <cfRule type="expression" dxfId="8246" priority="5">
      <formula>B423=""</formula>
    </cfRule>
  </conditionalFormatting>
  <conditionalFormatting sqref="C424">
    <cfRule type="expression" dxfId="8245" priority="4">
      <formula>B424=""</formula>
    </cfRule>
  </conditionalFormatting>
  <conditionalFormatting sqref="C425">
    <cfRule type="expression" dxfId="8244" priority="3">
      <formula>B425=""</formula>
    </cfRule>
  </conditionalFormatting>
  <conditionalFormatting sqref="C426">
    <cfRule type="expression" dxfId="8243" priority="2">
      <formula>B426=""</formula>
    </cfRule>
  </conditionalFormatting>
  <conditionalFormatting sqref="C427">
    <cfRule type="expression" dxfId="8242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441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DATA!B1010</f>
        <v>Road works</v>
      </c>
    </row>
    <row r="2" spans="2:8" ht="25.8">
      <c r="C2" s="232" t="str">
        <f>'All Hours'!D1</f>
        <v>PLEASE INSERT TENDERER NAME ON INPUT DATA SHEET</v>
      </c>
      <c r="E2" s="920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DATA!B1010</f>
        <v>Road works</v>
      </c>
      <c r="C6" s="26"/>
      <c r="D6" s="211" t="s">
        <v>6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3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7</v>
      </c>
      <c r="C7" s="20"/>
      <c r="D7" s="21" t="s">
        <v>8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IF(B11="","",ROUND((F11*E11),2))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</v>
      </c>
      <c r="C29" s="20"/>
      <c r="D29" s="21" t="s">
        <v>8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5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/>
      </c>
      <c r="C32" s="59" t="str">
        <f t="shared" si="6"/>
        <v/>
      </c>
      <c r="D32" s="59"/>
      <c r="E32" s="895">
        <v>0</v>
      </c>
      <c r="F32" s="16" t="str">
        <f t="shared" ref="F32:F39" si="7">IF(B32="","",$F$29)</f>
        <v/>
      </c>
      <c r="G32" s="61" t="str">
        <f t="shared" si="5"/>
        <v/>
      </c>
      <c r="H32" s="62"/>
    </row>
    <row r="33" spans="2:8">
      <c r="B33" s="118" t="str">
        <f t="shared" ref="B33:C33" si="8">B11</f>
        <v/>
      </c>
      <c r="C33" s="59" t="str">
        <f t="shared" si="8"/>
        <v/>
      </c>
      <c r="D33" s="59"/>
      <c r="E33" s="895">
        <v>0</v>
      </c>
      <c r="F33" s="16" t="str">
        <f t="shared" si="7"/>
        <v/>
      </c>
      <c r="G33" s="61" t="str">
        <f t="shared" ref="G33:G39" si="9">IF(B33="","",(F33*E33))</f>
        <v/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5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5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5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5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5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5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9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11</v>
      </c>
      <c r="C51" s="20"/>
      <c r="D51" s="21" t="s">
        <v>8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9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/>
      </c>
      <c r="C54" s="59" t="str">
        <f t="shared" si="19"/>
        <v/>
      </c>
      <c r="D54" s="5"/>
      <c r="E54" s="899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18" t="str">
        <f t="shared" ref="B55:C55" si="21">B11</f>
        <v/>
      </c>
      <c r="C55" s="59" t="str">
        <f t="shared" si="21"/>
        <v/>
      </c>
      <c r="D55" s="5"/>
      <c r="E55" s="899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9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9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9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9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9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9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12</v>
      </c>
      <c r="C73" s="20"/>
      <c r="D73" s="21" t="s">
        <v>8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9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/>
      </c>
      <c r="C76" s="59" t="str">
        <f t="shared" si="29"/>
        <v/>
      </c>
      <c r="D76" s="5"/>
      <c r="E76" s="899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18" t="str">
        <f t="shared" si="29"/>
        <v/>
      </c>
      <c r="C77" s="59" t="str">
        <f t="shared" si="29"/>
        <v/>
      </c>
      <c r="D77" s="5"/>
      <c r="E77" s="899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9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9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9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9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9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9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900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241" priority="2031">
      <formula>LEN(TRIM(B8))=0</formula>
    </cfRule>
  </conditionalFormatting>
  <conditionalFormatting sqref="C8:C27">
    <cfRule type="expression" dxfId="8240" priority="1710">
      <formula>B8=""</formula>
    </cfRule>
  </conditionalFormatting>
  <conditionalFormatting sqref="C9 C11 C13 C15 C17:C27">
    <cfRule type="expression" dxfId="8239" priority="1709">
      <formula>B9=""</formula>
    </cfRule>
  </conditionalFormatting>
  <conditionalFormatting sqref="C20:C21">
    <cfRule type="expression" dxfId="8238" priority="1707">
      <formula>B20=""</formula>
    </cfRule>
  </conditionalFormatting>
  <conditionalFormatting sqref="C22">
    <cfRule type="expression" dxfId="8237" priority="1706">
      <formula>B22=""</formula>
    </cfRule>
  </conditionalFormatting>
  <conditionalFormatting sqref="C23">
    <cfRule type="expression" dxfId="8236" priority="1705">
      <formula>B23=""</formula>
    </cfRule>
  </conditionalFormatting>
  <conditionalFormatting sqref="C24">
    <cfRule type="expression" dxfId="8235" priority="1704">
      <formula>B24=""</formula>
    </cfRule>
  </conditionalFormatting>
  <conditionalFormatting sqref="C25">
    <cfRule type="expression" dxfId="8234" priority="1703">
      <formula>B25=""</formula>
    </cfRule>
  </conditionalFormatting>
  <conditionalFormatting sqref="C26">
    <cfRule type="expression" dxfId="8233" priority="1702">
      <formula>B26=""</formula>
    </cfRule>
  </conditionalFormatting>
  <conditionalFormatting sqref="C27">
    <cfRule type="expression" dxfId="8232" priority="1701">
      <formula>B27=""</formula>
    </cfRule>
  </conditionalFormatting>
  <conditionalFormatting sqref="C28">
    <cfRule type="expression" dxfId="8231" priority="1700">
      <formula>B28=""</formula>
    </cfRule>
  </conditionalFormatting>
  <conditionalFormatting sqref="D8 D10:D27">
    <cfRule type="expression" dxfId="8230" priority="1699">
      <formula>B8=""</formula>
    </cfRule>
  </conditionalFormatting>
  <conditionalFormatting sqref="D9 D11 D13 D15 D17:D27">
    <cfRule type="expression" dxfId="8229" priority="1698">
      <formula>B9=""</formula>
    </cfRule>
  </conditionalFormatting>
  <conditionalFormatting sqref="D20:D21">
    <cfRule type="expression" dxfId="8228" priority="1696">
      <formula>B20=""</formula>
    </cfRule>
  </conditionalFormatting>
  <conditionalFormatting sqref="D22">
    <cfRule type="expression" dxfId="8227" priority="1695">
      <formula>B22=""</formula>
    </cfRule>
  </conditionalFormatting>
  <conditionalFormatting sqref="D23">
    <cfRule type="expression" dxfId="8226" priority="1694">
      <formula>B23=""</formula>
    </cfRule>
  </conditionalFormatting>
  <conditionalFormatting sqref="D24">
    <cfRule type="expression" dxfId="8225" priority="1693">
      <formula>B24=""</formula>
    </cfRule>
  </conditionalFormatting>
  <conditionalFormatting sqref="D25">
    <cfRule type="expression" dxfId="8224" priority="1692">
      <formula>B25=""</formula>
    </cfRule>
  </conditionalFormatting>
  <conditionalFormatting sqref="D26">
    <cfRule type="expression" dxfId="8223" priority="1691">
      <formula>B26=""</formula>
    </cfRule>
  </conditionalFormatting>
  <conditionalFormatting sqref="D27">
    <cfRule type="expression" dxfId="8222" priority="1690">
      <formula>B27=""</formula>
    </cfRule>
  </conditionalFormatting>
  <conditionalFormatting sqref="D28">
    <cfRule type="expression" dxfId="8221" priority="1689">
      <formula>B28=""</formula>
    </cfRule>
  </conditionalFormatting>
  <conditionalFormatting sqref="E8:E27">
    <cfRule type="expression" dxfId="8220" priority="1688">
      <formula>B8=""</formula>
    </cfRule>
  </conditionalFormatting>
  <conditionalFormatting sqref="E9:E27">
    <cfRule type="expression" dxfId="8219" priority="1687">
      <formula>B9=""</formula>
    </cfRule>
  </conditionalFormatting>
  <conditionalFormatting sqref="E20:E21">
    <cfRule type="expression" dxfId="8218" priority="1685">
      <formula>B20=""</formula>
    </cfRule>
  </conditionalFormatting>
  <conditionalFormatting sqref="E22">
    <cfRule type="expression" dxfId="8217" priority="1684">
      <formula>B22=""</formula>
    </cfRule>
  </conditionalFormatting>
  <conditionalFormatting sqref="E23">
    <cfRule type="expression" dxfId="8216" priority="1683">
      <formula>B23=""</formula>
    </cfRule>
  </conditionalFormatting>
  <conditionalFormatting sqref="E24">
    <cfRule type="expression" dxfId="8215" priority="1682">
      <formula>B24=""</formula>
    </cfRule>
  </conditionalFormatting>
  <conditionalFormatting sqref="E25">
    <cfRule type="expression" dxfId="8214" priority="1681">
      <formula>B25=""</formula>
    </cfRule>
  </conditionalFormatting>
  <conditionalFormatting sqref="E26">
    <cfRule type="expression" dxfId="8213" priority="1680">
      <formula>B26=""</formula>
    </cfRule>
  </conditionalFormatting>
  <conditionalFormatting sqref="E27">
    <cfRule type="expression" dxfId="8212" priority="1679">
      <formula>B27=""</formula>
    </cfRule>
  </conditionalFormatting>
  <conditionalFormatting sqref="E28">
    <cfRule type="expression" dxfId="8211" priority="1678">
      <formula>B28=""</formula>
    </cfRule>
  </conditionalFormatting>
  <conditionalFormatting sqref="F8 F10:F27">
    <cfRule type="expression" dxfId="8210" priority="1677">
      <formula>B8=""</formula>
    </cfRule>
  </conditionalFormatting>
  <conditionalFormatting sqref="F9 F11 F13 F15 F17:F27">
    <cfRule type="expression" dxfId="8209" priority="1676">
      <formula>B9=""</formula>
    </cfRule>
  </conditionalFormatting>
  <conditionalFormatting sqref="F20:F21">
    <cfRule type="expression" dxfId="8208" priority="1674">
      <formula>B20=""</formula>
    </cfRule>
  </conditionalFormatting>
  <conditionalFormatting sqref="F22">
    <cfRule type="expression" dxfId="8207" priority="1673">
      <formula>B22=""</formula>
    </cfRule>
  </conditionalFormatting>
  <conditionalFormatting sqref="F23">
    <cfRule type="expression" dxfId="8206" priority="1672">
      <formula>B23=""</formula>
    </cfRule>
  </conditionalFormatting>
  <conditionalFormatting sqref="F24">
    <cfRule type="expression" dxfId="8205" priority="1671">
      <formula>B24=""</formula>
    </cfRule>
  </conditionalFormatting>
  <conditionalFormatting sqref="F25">
    <cfRule type="expression" dxfId="8204" priority="1670">
      <formula>B25=""</formula>
    </cfRule>
  </conditionalFormatting>
  <conditionalFormatting sqref="F26">
    <cfRule type="expression" dxfId="8203" priority="1669">
      <formula>B26=""</formula>
    </cfRule>
  </conditionalFormatting>
  <conditionalFormatting sqref="F27">
    <cfRule type="expression" dxfId="8202" priority="1668">
      <formula>B27=""</formula>
    </cfRule>
  </conditionalFormatting>
  <conditionalFormatting sqref="F28">
    <cfRule type="expression" dxfId="8201" priority="1667">
      <formula>B28=""</formula>
    </cfRule>
  </conditionalFormatting>
  <conditionalFormatting sqref="E9 E11 E13 E15 E17:E27">
    <cfRule type="expression" dxfId="8200" priority="1666">
      <formula>B9=""</formula>
    </cfRule>
  </conditionalFormatting>
  <conditionalFormatting sqref="E20:E21">
    <cfRule type="expression" dxfId="8199" priority="1664">
      <formula>B20=""</formula>
    </cfRule>
  </conditionalFormatting>
  <conditionalFormatting sqref="E22">
    <cfRule type="expression" dxfId="8198" priority="1663">
      <formula>B22=""</formula>
    </cfRule>
  </conditionalFormatting>
  <conditionalFormatting sqref="E23">
    <cfRule type="expression" dxfId="8197" priority="1662">
      <formula>B23=""</formula>
    </cfRule>
  </conditionalFormatting>
  <conditionalFormatting sqref="E24">
    <cfRule type="expression" dxfId="8196" priority="1661">
      <formula>B24=""</formula>
    </cfRule>
  </conditionalFormatting>
  <conditionalFormatting sqref="E25">
    <cfRule type="expression" dxfId="8195" priority="1660">
      <formula>B25=""</formula>
    </cfRule>
  </conditionalFormatting>
  <conditionalFormatting sqref="E26">
    <cfRule type="expression" dxfId="8194" priority="1659">
      <formula>B26=""</formula>
    </cfRule>
  </conditionalFormatting>
  <conditionalFormatting sqref="E27">
    <cfRule type="expression" dxfId="8193" priority="1658">
      <formula>B27=""</formula>
    </cfRule>
  </conditionalFormatting>
  <conditionalFormatting sqref="E28">
    <cfRule type="expression" dxfId="8192" priority="1657">
      <formula>B28=""</formula>
    </cfRule>
  </conditionalFormatting>
  <conditionalFormatting sqref="G8:G28">
    <cfRule type="expression" dxfId="8191" priority="1646">
      <formula>B8=""</formula>
    </cfRule>
  </conditionalFormatting>
  <conditionalFormatting sqref="H8 H10:H27">
    <cfRule type="expression" dxfId="8190" priority="1645">
      <formula>B8=""</formula>
    </cfRule>
  </conditionalFormatting>
  <conditionalFormatting sqref="H9 H11 H13 H15 H17:H27">
    <cfRule type="expression" dxfId="8189" priority="1644">
      <formula>B9=""</formula>
    </cfRule>
  </conditionalFormatting>
  <conditionalFormatting sqref="H20:H21">
    <cfRule type="expression" dxfId="8188" priority="1642">
      <formula>B20=""</formula>
    </cfRule>
  </conditionalFormatting>
  <conditionalFormatting sqref="H22">
    <cfRule type="expression" dxfId="8187" priority="1641">
      <formula>B22=""</formula>
    </cfRule>
  </conditionalFormatting>
  <conditionalFormatting sqref="H23">
    <cfRule type="expression" dxfId="8186" priority="1640">
      <formula>B23=""</formula>
    </cfRule>
  </conditionalFormatting>
  <conditionalFormatting sqref="H24">
    <cfRule type="expression" dxfId="8185" priority="1639">
      <formula>B24=""</formula>
    </cfRule>
  </conditionalFormatting>
  <conditionalFormatting sqref="H25">
    <cfRule type="expression" dxfId="8184" priority="1638">
      <formula>B25=""</formula>
    </cfRule>
  </conditionalFormatting>
  <conditionalFormatting sqref="H26">
    <cfRule type="expression" dxfId="8183" priority="1637">
      <formula>B26=""</formula>
    </cfRule>
  </conditionalFormatting>
  <conditionalFormatting sqref="H27">
    <cfRule type="expression" dxfId="8182" priority="1636">
      <formula>B27=""</formula>
    </cfRule>
  </conditionalFormatting>
  <conditionalFormatting sqref="H28">
    <cfRule type="expression" dxfId="8181" priority="1635">
      <formula>B28=""</formula>
    </cfRule>
  </conditionalFormatting>
  <conditionalFormatting sqref="C30:C50">
    <cfRule type="expression" dxfId="8180" priority="1633">
      <formula>B30=""</formula>
    </cfRule>
  </conditionalFormatting>
  <conditionalFormatting sqref="C31 C33 C35 C37 C39 C41 C43 C45 C47 C49">
    <cfRule type="expression" dxfId="8179" priority="1632">
      <formula>B31=""</formula>
    </cfRule>
  </conditionalFormatting>
  <conditionalFormatting sqref="C32:C42">
    <cfRule type="expression" dxfId="8178" priority="1631">
      <formula>B32=""</formula>
    </cfRule>
  </conditionalFormatting>
  <conditionalFormatting sqref="C43">
    <cfRule type="expression" dxfId="8177" priority="1630">
      <formula>B43=""</formula>
    </cfRule>
  </conditionalFormatting>
  <conditionalFormatting sqref="C44">
    <cfRule type="expression" dxfId="8176" priority="1629">
      <formula>B44=""</formula>
    </cfRule>
  </conditionalFormatting>
  <conditionalFormatting sqref="C45">
    <cfRule type="expression" dxfId="8175" priority="1628">
      <formula>B45=""</formula>
    </cfRule>
  </conditionalFormatting>
  <conditionalFormatting sqref="C46">
    <cfRule type="expression" dxfId="8174" priority="1627">
      <formula>B46=""</formula>
    </cfRule>
  </conditionalFormatting>
  <conditionalFormatting sqref="C47">
    <cfRule type="expression" dxfId="8173" priority="1626">
      <formula>B47=""</formula>
    </cfRule>
  </conditionalFormatting>
  <conditionalFormatting sqref="C48">
    <cfRule type="expression" dxfId="8172" priority="1625">
      <formula>B48=""</formula>
    </cfRule>
  </conditionalFormatting>
  <conditionalFormatting sqref="C49">
    <cfRule type="expression" dxfId="8171" priority="1624">
      <formula>B49=""</formula>
    </cfRule>
  </conditionalFormatting>
  <conditionalFormatting sqref="C50">
    <cfRule type="expression" dxfId="8170" priority="1623">
      <formula>B50=""</formula>
    </cfRule>
  </conditionalFormatting>
  <conditionalFormatting sqref="D30 D32 D34 D36 D38 D40 D42 D44 D46 D48">
    <cfRule type="expression" dxfId="8169" priority="1622">
      <formula>B30=""</formula>
    </cfRule>
  </conditionalFormatting>
  <conditionalFormatting sqref="D31 D33 D35 D37 D39 D41 D43 D45 D47 D49">
    <cfRule type="expression" dxfId="8168" priority="1621">
      <formula>B31=""</formula>
    </cfRule>
  </conditionalFormatting>
  <conditionalFormatting sqref="D32:D42">
    <cfRule type="expression" dxfId="8167" priority="1620">
      <formula>B32=""</formula>
    </cfRule>
  </conditionalFormatting>
  <conditionalFormatting sqref="D43">
    <cfRule type="expression" dxfId="8166" priority="1619">
      <formula>B43=""</formula>
    </cfRule>
  </conditionalFormatting>
  <conditionalFormatting sqref="D44">
    <cfRule type="expression" dxfId="8165" priority="1618">
      <formula>B44=""</formula>
    </cfRule>
  </conditionalFormatting>
  <conditionalFormatting sqref="D45">
    <cfRule type="expression" dxfId="8164" priority="1617">
      <formula>B45=""</formula>
    </cfRule>
  </conditionalFormatting>
  <conditionalFormatting sqref="D46">
    <cfRule type="expression" dxfId="8163" priority="1616">
      <formula>B46=""</formula>
    </cfRule>
  </conditionalFormatting>
  <conditionalFormatting sqref="D47">
    <cfRule type="expression" dxfId="8162" priority="1615">
      <formula>B47=""</formula>
    </cfRule>
  </conditionalFormatting>
  <conditionalFormatting sqref="D48">
    <cfRule type="expression" dxfId="8161" priority="1614">
      <formula>B48=""</formula>
    </cfRule>
  </conditionalFormatting>
  <conditionalFormatting sqref="D49">
    <cfRule type="expression" dxfId="8160" priority="1613">
      <formula>B49=""</formula>
    </cfRule>
  </conditionalFormatting>
  <conditionalFormatting sqref="D50">
    <cfRule type="expression" dxfId="8159" priority="1612">
      <formula>B50=""</formula>
    </cfRule>
  </conditionalFormatting>
  <conditionalFormatting sqref="E30 E32 E34 E36 E38 E40 E42 E44 E46 E48">
    <cfRule type="expression" dxfId="8158" priority="1611">
      <formula>B30=""</formula>
    </cfRule>
  </conditionalFormatting>
  <conditionalFormatting sqref="E31 E33 E35 E37 E39 E41 E43 E45 E47 E49">
    <cfRule type="expression" dxfId="8157" priority="1610">
      <formula>B31=""</formula>
    </cfRule>
  </conditionalFormatting>
  <conditionalFormatting sqref="E32:E42">
    <cfRule type="expression" dxfId="8156" priority="1609">
      <formula>B32=""</formula>
    </cfRule>
  </conditionalFormatting>
  <conditionalFormatting sqref="E43">
    <cfRule type="expression" dxfId="8155" priority="1608">
      <formula>B43=""</formula>
    </cfRule>
  </conditionalFormatting>
  <conditionalFormatting sqref="E44">
    <cfRule type="expression" dxfId="8154" priority="1607">
      <formula>B44=""</formula>
    </cfRule>
  </conditionalFormatting>
  <conditionalFormatting sqref="E45">
    <cfRule type="expression" dxfId="8153" priority="1606">
      <formula>B45=""</formula>
    </cfRule>
  </conditionalFormatting>
  <conditionalFormatting sqref="E46">
    <cfRule type="expression" dxfId="8152" priority="1605">
      <formula>B46=""</formula>
    </cfRule>
  </conditionalFormatting>
  <conditionalFormatting sqref="E47">
    <cfRule type="expression" dxfId="8151" priority="1604">
      <formula>B47=""</formula>
    </cfRule>
  </conditionalFormatting>
  <conditionalFormatting sqref="E48">
    <cfRule type="expression" dxfId="8150" priority="1603">
      <formula>B48=""</formula>
    </cfRule>
  </conditionalFormatting>
  <conditionalFormatting sqref="E49">
    <cfRule type="expression" dxfId="8149" priority="1602">
      <formula>B49=""</formula>
    </cfRule>
  </conditionalFormatting>
  <conditionalFormatting sqref="E50">
    <cfRule type="expression" dxfId="8148" priority="1601">
      <formula>B50=""</formula>
    </cfRule>
  </conditionalFormatting>
  <conditionalFormatting sqref="F30 F32 F34 F36 F38 F40 F42 F44 F46 F48">
    <cfRule type="expression" dxfId="8147" priority="1600">
      <formula>B30=""</formula>
    </cfRule>
  </conditionalFormatting>
  <conditionalFormatting sqref="F31 F33 F35 F37 F39 F41 F43 F45 F47 F49">
    <cfRule type="expression" dxfId="8146" priority="1599">
      <formula>B31=""</formula>
    </cfRule>
  </conditionalFormatting>
  <conditionalFormatting sqref="F32:F42">
    <cfRule type="expression" dxfId="8145" priority="1598">
      <formula>B32=""</formula>
    </cfRule>
  </conditionalFormatting>
  <conditionalFormatting sqref="F43">
    <cfRule type="expression" dxfId="8144" priority="1597">
      <formula>B43=""</formula>
    </cfRule>
  </conditionalFormatting>
  <conditionalFormatting sqref="F44">
    <cfRule type="expression" dxfId="8143" priority="1596">
      <formula>B44=""</formula>
    </cfRule>
  </conditionalFormatting>
  <conditionalFormatting sqref="F45">
    <cfRule type="expression" dxfId="8142" priority="1595">
      <formula>B45=""</formula>
    </cfRule>
  </conditionalFormatting>
  <conditionalFormatting sqref="F46">
    <cfRule type="expression" dxfId="8141" priority="1594">
      <formula>B46=""</formula>
    </cfRule>
  </conditionalFormatting>
  <conditionalFormatting sqref="F47">
    <cfRule type="expression" dxfId="8140" priority="1593">
      <formula>B47=""</formula>
    </cfRule>
  </conditionalFormatting>
  <conditionalFormatting sqref="F48">
    <cfRule type="expression" dxfId="8139" priority="1592">
      <formula>B48=""</formula>
    </cfRule>
  </conditionalFormatting>
  <conditionalFormatting sqref="F49">
    <cfRule type="expression" dxfId="8138" priority="1591">
      <formula>B49=""</formula>
    </cfRule>
  </conditionalFormatting>
  <conditionalFormatting sqref="F50">
    <cfRule type="expression" dxfId="8137" priority="1590">
      <formula>B50=""</formula>
    </cfRule>
  </conditionalFormatting>
  <conditionalFormatting sqref="E31 E33 E35 E37 E39 E41 E43 E45 E47 E49">
    <cfRule type="expression" dxfId="8136" priority="1589">
      <formula>B31=""</formula>
    </cfRule>
  </conditionalFormatting>
  <conditionalFormatting sqref="E32:E42">
    <cfRule type="expression" dxfId="8135" priority="1588">
      <formula>B32=""</formula>
    </cfRule>
  </conditionalFormatting>
  <conditionalFormatting sqref="E43">
    <cfRule type="expression" dxfId="8134" priority="1587">
      <formula>B43=""</formula>
    </cfRule>
  </conditionalFormatting>
  <conditionalFormatting sqref="E44">
    <cfRule type="expression" dxfId="8133" priority="1586">
      <formula>B44=""</formula>
    </cfRule>
  </conditionalFormatting>
  <conditionalFormatting sqref="E45">
    <cfRule type="expression" dxfId="8132" priority="1585">
      <formula>B45=""</formula>
    </cfRule>
  </conditionalFormatting>
  <conditionalFormatting sqref="E46">
    <cfRule type="expression" dxfId="8131" priority="1584">
      <formula>B46=""</formula>
    </cfRule>
  </conditionalFormatting>
  <conditionalFormatting sqref="E47">
    <cfRule type="expression" dxfId="8130" priority="1583">
      <formula>B47=""</formula>
    </cfRule>
  </conditionalFormatting>
  <conditionalFormatting sqref="E48">
    <cfRule type="expression" dxfId="8129" priority="1582">
      <formula>B48=""</formula>
    </cfRule>
  </conditionalFormatting>
  <conditionalFormatting sqref="E49">
    <cfRule type="expression" dxfId="8128" priority="1581">
      <formula>B49=""</formula>
    </cfRule>
  </conditionalFormatting>
  <conditionalFormatting sqref="E50">
    <cfRule type="expression" dxfId="8127" priority="1580">
      <formula>B50=""</formula>
    </cfRule>
  </conditionalFormatting>
  <conditionalFormatting sqref="G30 G32 G34 G36 G38 G40 G42 G44 G46 G48">
    <cfRule type="expression" dxfId="8126" priority="1579">
      <formula>B30=""</formula>
    </cfRule>
  </conditionalFormatting>
  <conditionalFormatting sqref="G31 G33 G35 G37 G39 G41 G43 G45 G47 G49">
    <cfRule type="expression" dxfId="8125" priority="1578">
      <formula>B31=""</formula>
    </cfRule>
  </conditionalFormatting>
  <conditionalFormatting sqref="G32:G42">
    <cfRule type="expression" dxfId="8124" priority="1577">
      <formula>B32=""</formula>
    </cfRule>
  </conditionalFormatting>
  <conditionalFormatting sqref="G43">
    <cfRule type="expression" dxfId="8123" priority="1576">
      <formula>B43=""</formula>
    </cfRule>
  </conditionalFormatting>
  <conditionalFormatting sqref="G44">
    <cfRule type="expression" dxfId="8122" priority="1575">
      <formula>B44=""</formula>
    </cfRule>
  </conditionalFormatting>
  <conditionalFormatting sqref="G45">
    <cfRule type="expression" dxfId="8121" priority="1574">
      <formula>B45=""</formula>
    </cfRule>
  </conditionalFormatting>
  <conditionalFormatting sqref="G46">
    <cfRule type="expression" dxfId="8120" priority="1573">
      <formula>B46=""</formula>
    </cfRule>
  </conditionalFormatting>
  <conditionalFormatting sqref="G47">
    <cfRule type="expression" dxfId="8119" priority="1572">
      <formula>B47=""</formula>
    </cfRule>
  </conditionalFormatting>
  <conditionalFormatting sqref="G48">
    <cfRule type="expression" dxfId="8118" priority="1571">
      <formula>B48=""</formula>
    </cfRule>
  </conditionalFormatting>
  <conditionalFormatting sqref="G49">
    <cfRule type="expression" dxfId="8117" priority="1570">
      <formula>B49=""</formula>
    </cfRule>
  </conditionalFormatting>
  <conditionalFormatting sqref="G50">
    <cfRule type="expression" dxfId="8116" priority="1569">
      <formula>B50=""</formula>
    </cfRule>
  </conditionalFormatting>
  <conditionalFormatting sqref="H30 H32 H34 H36 H38 H40 H42 H44 H46 H48">
    <cfRule type="expression" dxfId="8115" priority="1568">
      <formula>B30=""</formula>
    </cfRule>
  </conditionalFormatting>
  <conditionalFormatting sqref="H31 H33 H35 H37 H39 H41 H43 H45 H47 H49">
    <cfRule type="expression" dxfId="8114" priority="1567">
      <formula>B31=""</formula>
    </cfRule>
  </conditionalFormatting>
  <conditionalFormatting sqref="H32:H42">
    <cfRule type="expression" dxfId="8113" priority="1566">
      <formula>B32=""</formula>
    </cfRule>
  </conditionalFormatting>
  <conditionalFormatting sqref="H43">
    <cfRule type="expression" dxfId="8112" priority="1565">
      <formula>B43=""</formula>
    </cfRule>
  </conditionalFormatting>
  <conditionalFormatting sqref="H44">
    <cfRule type="expression" dxfId="8111" priority="1564">
      <formula>B44=""</formula>
    </cfRule>
  </conditionalFormatting>
  <conditionalFormatting sqref="H45">
    <cfRule type="expression" dxfId="8110" priority="1563">
      <formula>B45=""</formula>
    </cfRule>
  </conditionalFormatting>
  <conditionalFormatting sqref="H46">
    <cfRule type="expression" dxfId="8109" priority="1562">
      <formula>B46=""</formula>
    </cfRule>
  </conditionalFormatting>
  <conditionalFormatting sqref="H47">
    <cfRule type="expression" dxfId="8108" priority="1561">
      <formula>B47=""</formula>
    </cfRule>
  </conditionalFormatting>
  <conditionalFormatting sqref="H48">
    <cfRule type="expression" dxfId="8107" priority="1560">
      <formula>B48=""</formula>
    </cfRule>
  </conditionalFormatting>
  <conditionalFormatting sqref="H49">
    <cfRule type="expression" dxfId="8106" priority="1559">
      <formula>B49=""</formula>
    </cfRule>
  </conditionalFormatting>
  <conditionalFormatting sqref="H50">
    <cfRule type="expression" dxfId="8105" priority="1558">
      <formula>B50=""</formula>
    </cfRule>
  </conditionalFormatting>
  <conditionalFormatting sqref="C52:C71">
    <cfRule type="expression" dxfId="8104" priority="1556">
      <formula>B52=""</formula>
    </cfRule>
  </conditionalFormatting>
  <conditionalFormatting sqref="C53 C55 C57 C59 C61 C63 C65 C67 C69 C71">
    <cfRule type="expression" dxfId="8103" priority="1555">
      <formula>B53=""</formula>
    </cfRule>
  </conditionalFormatting>
  <conditionalFormatting sqref="C54:C64">
    <cfRule type="expression" dxfId="8102" priority="1554">
      <formula>B54=""</formula>
    </cfRule>
  </conditionalFormatting>
  <conditionalFormatting sqref="C65">
    <cfRule type="expression" dxfId="8101" priority="1553">
      <formula>B65=""</formula>
    </cfRule>
  </conditionalFormatting>
  <conditionalFormatting sqref="C66">
    <cfRule type="expression" dxfId="8100" priority="1552">
      <formula>B66=""</formula>
    </cfRule>
  </conditionalFormatting>
  <conditionalFormatting sqref="C67">
    <cfRule type="expression" dxfId="8099" priority="1551">
      <formula>B67=""</formula>
    </cfRule>
  </conditionalFormatting>
  <conditionalFormatting sqref="C68">
    <cfRule type="expression" dxfId="8098" priority="1550">
      <formula>B68=""</formula>
    </cfRule>
  </conditionalFormatting>
  <conditionalFormatting sqref="C69">
    <cfRule type="expression" dxfId="8097" priority="1549">
      <formula>B69=""</formula>
    </cfRule>
  </conditionalFormatting>
  <conditionalFormatting sqref="C70">
    <cfRule type="expression" dxfId="8096" priority="1548">
      <formula>B70=""</formula>
    </cfRule>
  </conditionalFormatting>
  <conditionalFormatting sqref="C71">
    <cfRule type="expression" dxfId="8095" priority="1547">
      <formula>B71=""</formula>
    </cfRule>
  </conditionalFormatting>
  <conditionalFormatting sqref="C72">
    <cfRule type="expression" dxfId="8094" priority="1546">
      <formula>B72=""</formula>
    </cfRule>
  </conditionalFormatting>
  <conditionalFormatting sqref="D52 D54 D56 D58 D60 D62 D64 D66 D68 D70">
    <cfRule type="expression" dxfId="8093" priority="1545">
      <formula>B52=""</formula>
    </cfRule>
  </conditionalFormatting>
  <conditionalFormatting sqref="D53 D55 D57 D59 D61 D63 D65 D67 D69 D71">
    <cfRule type="expression" dxfId="8092" priority="1544">
      <formula>B53=""</formula>
    </cfRule>
  </conditionalFormatting>
  <conditionalFormatting sqref="D54:D64">
    <cfRule type="expression" dxfId="8091" priority="1543">
      <formula>B54=""</formula>
    </cfRule>
  </conditionalFormatting>
  <conditionalFormatting sqref="D65">
    <cfRule type="expression" dxfId="8090" priority="1542">
      <formula>B65=""</formula>
    </cfRule>
  </conditionalFormatting>
  <conditionalFormatting sqref="D66">
    <cfRule type="expression" dxfId="8089" priority="1541">
      <formula>B66=""</formula>
    </cfRule>
  </conditionalFormatting>
  <conditionalFormatting sqref="D67">
    <cfRule type="expression" dxfId="8088" priority="1540">
      <formula>B67=""</formula>
    </cfRule>
  </conditionalFormatting>
  <conditionalFormatting sqref="D68">
    <cfRule type="expression" dxfId="8087" priority="1539">
      <formula>B68=""</formula>
    </cfRule>
  </conditionalFormatting>
  <conditionalFormatting sqref="D69">
    <cfRule type="expression" dxfId="8086" priority="1538">
      <formula>B69=""</formula>
    </cfRule>
  </conditionalFormatting>
  <conditionalFormatting sqref="D70">
    <cfRule type="expression" dxfId="8085" priority="1537">
      <formula>B70=""</formula>
    </cfRule>
  </conditionalFormatting>
  <conditionalFormatting sqref="D71">
    <cfRule type="expression" dxfId="8084" priority="1536">
      <formula>B71=""</formula>
    </cfRule>
  </conditionalFormatting>
  <conditionalFormatting sqref="D72">
    <cfRule type="expression" dxfId="8083" priority="1535">
      <formula>B72=""</formula>
    </cfRule>
  </conditionalFormatting>
  <conditionalFormatting sqref="E52 E54 E56 E58 E60 E62 E64 E66 E68 E70">
    <cfRule type="expression" dxfId="8082" priority="1534">
      <formula>B52=""</formula>
    </cfRule>
  </conditionalFormatting>
  <conditionalFormatting sqref="E53 E55 E57 E59 E61 E63 E65 E67 E69 E71">
    <cfRule type="expression" dxfId="8081" priority="1533">
      <formula>B53=""</formula>
    </cfRule>
  </conditionalFormatting>
  <conditionalFormatting sqref="E54:E64">
    <cfRule type="expression" dxfId="8080" priority="1532">
      <formula>B54=""</formula>
    </cfRule>
  </conditionalFormatting>
  <conditionalFormatting sqref="E65">
    <cfRule type="expression" dxfId="8079" priority="1531">
      <formula>B65=""</formula>
    </cfRule>
  </conditionalFormatting>
  <conditionalFormatting sqref="E66">
    <cfRule type="expression" dxfId="8078" priority="1530">
      <formula>B66=""</formula>
    </cfRule>
  </conditionalFormatting>
  <conditionalFormatting sqref="E67">
    <cfRule type="expression" dxfId="8077" priority="1529">
      <formula>B67=""</formula>
    </cfRule>
  </conditionalFormatting>
  <conditionalFormatting sqref="E68">
    <cfRule type="expression" dxfId="8076" priority="1528">
      <formula>B68=""</formula>
    </cfRule>
  </conditionalFormatting>
  <conditionalFormatting sqref="E69">
    <cfRule type="expression" dxfId="8075" priority="1527">
      <formula>B69=""</formula>
    </cfRule>
  </conditionalFormatting>
  <conditionalFormatting sqref="E70">
    <cfRule type="expression" dxfId="8074" priority="1526">
      <formula>B70=""</formula>
    </cfRule>
  </conditionalFormatting>
  <conditionalFormatting sqref="E71">
    <cfRule type="expression" dxfId="8073" priority="1525">
      <formula>B71=""</formula>
    </cfRule>
  </conditionalFormatting>
  <conditionalFormatting sqref="E72">
    <cfRule type="expression" dxfId="8072" priority="1524">
      <formula>B72=""</formula>
    </cfRule>
  </conditionalFormatting>
  <conditionalFormatting sqref="F52 F54 F56 F58 F60 F62 F64 F66 F68 F70">
    <cfRule type="expression" dxfId="8071" priority="1523">
      <formula>B52=""</formula>
    </cfRule>
  </conditionalFormatting>
  <conditionalFormatting sqref="F53 F55 F57 F59 F61 F63 F65 F67 F69 F71">
    <cfRule type="expression" dxfId="8070" priority="1522">
      <formula>B53=""</formula>
    </cfRule>
  </conditionalFormatting>
  <conditionalFormatting sqref="F54:F64">
    <cfRule type="expression" dxfId="8069" priority="1521">
      <formula>B54=""</formula>
    </cfRule>
  </conditionalFormatting>
  <conditionalFormatting sqref="F65">
    <cfRule type="expression" dxfId="8068" priority="1520">
      <formula>B65=""</formula>
    </cfRule>
  </conditionalFormatting>
  <conditionalFormatting sqref="F66">
    <cfRule type="expression" dxfId="8067" priority="1519">
      <formula>B66=""</formula>
    </cfRule>
  </conditionalFormatting>
  <conditionalFormatting sqref="F67">
    <cfRule type="expression" dxfId="8066" priority="1518">
      <formula>B67=""</formula>
    </cfRule>
  </conditionalFormatting>
  <conditionalFormatting sqref="F68">
    <cfRule type="expression" dxfId="8065" priority="1517">
      <formula>B68=""</formula>
    </cfRule>
  </conditionalFormatting>
  <conditionalFormatting sqref="F69">
    <cfRule type="expression" dxfId="8064" priority="1516">
      <formula>B69=""</formula>
    </cfRule>
  </conditionalFormatting>
  <conditionalFormatting sqref="F70">
    <cfRule type="expression" dxfId="8063" priority="1515">
      <formula>B70=""</formula>
    </cfRule>
  </conditionalFormatting>
  <conditionalFormatting sqref="F71">
    <cfRule type="expression" dxfId="8062" priority="1514">
      <formula>B71=""</formula>
    </cfRule>
  </conditionalFormatting>
  <conditionalFormatting sqref="F72">
    <cfRule type="expression" dxfId="8061" priority="1513">
      <formula>B72=""</formula>
    </cfRule>
  </conditionalFormatting>
  <conditionalFormatting sqref="E53 E55 E57 E59 E61 E63 E65 E67 E69 E71">
    <cfRule type="expression" dxfId="8060" priority="1512">
      <formula>B53=""</formula>
    </cfRule>
  </conditionalFormatting>
  <conditionalFormatting sqref="E54:E64">
    <cfRule type="expression" dxfId="8059" priority="1511">
      <formula>B54=""</formula>
    </cfRule>
  </conditionalFormatting>
  <conditionalFormatting sqref="E65">
    <cfRule type="expression" dxfId="8058" priority="1510">
      <formula>B65=""</formula>
    </cfRule>
  </conditionalFormatting>
  <conditionalFormatting sqref="E66">
    <cfRule type="expression" dxfId="8057" priority="1509">
      <formula>B66=""</formula>
    </cfRule>
  </conditionalFormatting>
  <conditionalFormatting sqref="E67">
    <cfRule type="expression" dxfId="8056" priority="1508">
      <formula>B67=""</formula>
    </cfRule>
  </conditionalFormatting>
  <conditionalFormatting sqref="E68">
    <cfRule type="expression" dxfId="8055" priority="1507">
      <formula>B68=""</formula>
    </cfRule>
  </conditionalFormatting>
  <conditionalFormatting sqref="E69">
    <cfRule type="expression" dxfId="8054" priority="1506">
      <formula>B69=""</formula>
    </cfRule>
  </conditionalFormatting>
  <conditionalFormatting sqref="E70">
    <cfRule type="expression" dxfId="8053" priority="1505">
      <formula>B70=""</formula>
    </cfRule>
  </conditionalFormatting>
  <conditionalFormatting sqref="E71">
    <cfRule type="expression" dxfId="8052" priority="1504">
      <formula>B71=""</formula>
    </cfRule>
  </conditionalFormatting>
  <conditionalFormatting sqref="E72">
    <cfRule type="expression" dxfId="8051" priority="1503">
      <formula>B72=""</formula>
    </cfRule>
  </conditionalFormatting>
  <conditionalFormatting sqref="G52 G54 G56 G58 G60 G62 G64 G66 G68 G70">
    <cfRule type="expression" dxfId="8050" priority="1502">
      <formula>B52=""</formula>
    </cfRule>
  </conditionalFormatting>
  <conditionalFormatting sqref="G53 G55 G57 G59 G61 G63 G65 G67 G69 G71">
    <cfRule type="expression" dxfId="8049" priority="1501">
      <formula>B53=""</formula>
    </cfRule>
  </conditionalFormatting>
  <conditionalFormatting sqref="G54:G64">
    <cfRule type="expression" dxfId="8048" priority="1500">
      <formula>B54=""</formula>
    </cfRule>
  </conditionalFormatting>
  <conditionalFormatting sqref="G65">
    <cfRule type="expression" dxfId="8047" priority="1499">
      <formula>B65=""</formula>
    </cfRule>
  </conditionalFormatting>
  <conditionalFormatting sqref="G66">
    <cfRule type="expression" dxfId="8046" priority="1498">
      <formula>B66=""</formula>
    </cfRule>
  </conditionalFormatting>
  <conditionalFormatting sqref="G67">
    <cfRule type="expression" dxfId="8045" priority="1497">
      <formula>B67=""</formula>
    </cfRule>
  </conditionalFormatting>
  <conditionalFormatting sqref="G68">
    <cfRule type="expression" dxfId="8044" priority="1496">
      <formula>B68=""</formula>
    </cfRule>
  </conditionalFormatting>
  <conditionalFormatting sqref="G69">
    <cfRule type="expression" dxfId="8043" priority="1495">
      <formula>B69=""</formula>
    </cfRule>
  </conditionalFormatting>
  <conditionalFormatting sqref="G70">
    <cfRule type="expression" dxfId="8042" priority="1494">
      <formula>B70=""</formula>
    </cfRule>
  </conditionalFormatting>
  <conditionalFormatting sqref="G71">
    <cfRule type="expression" dxfId="8041" priority="1493">
      <formula>B71=""</formula>
    </cfRule>
  </conditionalFormatting>
  <conditionalFormatting sqref="G72">
    <cfRule type="expression" dxfId="8040" priority="1492">
      <formula>B72=""</formula>
    </cfRule>
  </conditionalFormatting>
  <conditionalFormatting sqref="H52 H54 H56 H58 H60 H62 H64 H66 H68 H70">
    <cfRule type="expression" dxfId="8039" priority="1491">
      <formula>B52=""</formula>
    </cfRule>
  </conditionalFormatting>
  <conditionalFormatting sqref="H53 H55 H57 H59 H61 H63 H65 H67 H69 H71">
    <cfRule type="expression" dxfId="8038" priority="1490">
      <formula>B53=""</formula>
    </cfRule>
  </conditionalFormatting>
  <conditionalFormatting sqref="H54:H64">
    <cfRule type="expression" dxfId="8037" priority="1489">
      <formula>B54=""</formula>
    </cfRule>
  </conditionalFormatting>
  <conditionalFormatting sqref="H65">
    <cfRule type="expression" dxfId="8036" priority="1488">
      <formula>B65=""</formula>
    </cfRule>
  </conditionalFormatting>
  <conditionalFormatting sqref="H66">
    <cfRule type="expression" dxfId="8035" priority="1487">
      <formula>B66=""</formula>
    </cfRule>
  </conditionalFormatting>
  <conditionalFormatting sqref="H67">
    <cfRule type="expression" dxfId="8034" priority="1486">
      <formula>B67=""</formula>
    </cfRule>
  </conditionalFormatting>
  <conditionalFormatting sqref="H68">
    <cfRule type="expression" dxfId="8033" priority="1485">
      <formula>B68=""</formula>
    </cfRule>
  </conditionalFormatting>
  <conditionalFormatting sqref="H69">
    <cfRule type="expression" dxfId="8032" priority="1484">
      <formula>B69=""</formula>
    </cfRule>
  </conditionalFormatting>
  <conditionalFormatting sqref="H70">
    <cfRule type="expression" dxfId="8031" priority="1483">
      <formula>B70=""</formula>
    </cfRule>
  </conditionalFormatting>
  <conditionalFormatting sqref="H71">
    <cfRule type="expression" dxfId="8030" priority="1482">
      <formula>B71=""</formula>
    </cfRule>
  </conditionalFormatting>
  <conditionalFormatting sqref="H72">
    <cfRule type="expression" dxfId="8029" priority="1481">
      <formula>B72=""</formula>
    </cfRule>
  </conditionalFormatting>
  <conditionalFormatting sqref="C74:C94">
    <cfRule type="expression" dxfId="8028" priority="1479">
      <formula>B74=""</formula>
    </cfRule>
  </conditionalFormatting>
  <conditionalFormatting sqref="C75 C77 C79 C81 C83 C85 C87 C89 C91 C93">
    <cfRule type="expression" dxfId="8027" priority="1478">
      <formula>B75=""</formula>
    </cfRule>
  </conditionalFormatting>
  <conditionalFormatting sqref="C76:C86">
    <cfRule type="expression" dxfId="8026" priority="1477">
      <formula>B76=""</formula>
    </cfRule>
  </conditionalFormatting>
  <conditionalFormatting sqref="C87">
    <cfRule type="expression" dxfId="8025" priority="1476">
      <formula>B87=""</formula>
    </cfRule>
  </conditionalFormatting>
  <conditionalFormatting sqref="C88">
    <cfRule type="expression" dxfId="8024" priority="1475">
      <formula>B88=""</formula>
    </cfRule>
  </conditionalFormatting>
  <conditionalFormatting sqref="C89">
    <cfRule type="expression" dxfId="8023" priority="1474">
      <formula>B89=""</formula>
    </cfRule>
  </conditionalFormatting>
  <conditionalFormatting sqref="C90">
    <cfRule type="expression" dxfId="8022" priority="1473">
      <formula>B90=""</formula>
    </cfRule>
  </conditionalFormatting>
  <conditionalFormatting sqref="C91">
    <cfRule type="expression" dxfId="8021" priority="1472">
      <formula>B91=""</formula>
    </cfRule>
  </conditionalFormatting>
  <conditionalFormatting sqref="C92">
    <cfRule type="expression" dxfId="8020" priority="1471">
      <formula>B92=""</formula>
    </cfRule>
  </conditionalFormatting>
  <conditionalFormatting sqref="C93">
    <cfRule type="expression" dxfId="8019" priority="1470">
      <formula>B93=""</formula>
    </cfRule>
  </conditionalFormatting>
  <conditionalFormatting sqref="C94">
    <cfRule type="expression" dxfId="8018" priority="1469">
      <formula>B94=""</formula>
    </cfRule>
  </conditionalFormatting>
  <conditionalFormatting sqref="D74 D76 D78 D80 D82 D84 D86 D88 D90 D92">
    <cfRule type="expression" dxfId="8017" priority="1468">
      <formula>B74=""</formula>
    </cfRule>
  </conditionalFormatting>
  <conditionalFormatting sqref="D75 D77 D79 D81 D83 D85 D87 D89 D91 D93">
    <cfRule type="expression" dxfId="8016" priority="1467">
      <formula>B75=""</formula>
    </cfRule>
  </conditionalFormatting>
  <conditionalFormatting sqref="D76:D86">
    <cfRule type="expression" dxfId="8015" priority="1466">
      <formula>B76=""</formula>
    </cfRule>
  </conditionalFormatting>
  <conditionalFormatting sqref="D87">
    <cfRule type="expression" dxfId="8014" priority="1465">
      <formula>B87=""</formula>
    </cfRule>
  </conditionalFormatting>
  <conditionalFormatting sqref="D88">
    <cfRule type="expression" dxfId="8013" priority="1464">
      <formula>B88=""</formula>
    </cfRule>
  </conditionalFormatting>
  <conditionalFormatting sqref="D89">
    <cfRule type="expression" dxfId="8012" priority="1463">
      <formula>B89=""</formula>
    </cfRule>
  </conditionalFormatting>
  <conditionalFormatting sqref="D90">
    <cfRule type="expression" dxfId="8011" priority="1462">
      <formula>B90=""</formula>
    </cfRule>
  </conditionalFormatting>
  <conditionalFormatting sqref="D91">
    <cfRule type="expression" dxfId="8010" priority="1461">
      <formula>B91=""</formula>
    </cfRule>
  </conditionalFormatting>
  <conditionalFormatting sqref="D92">
    <cfRule type="expression" dxfId="8009" priority="1460">
      <formula>B92=""</formula>
    </cfRule>
  </conditionalFormatting>
  <conditionalFormatting sqref="D93">
    <cfRule type="expression" dxfId="8008" priority="1459">
      <formula>B93=""</formula>
    </cfRule>
  </conditionalFormatting>
  <conditionalFormatting sqref="D94">
    <cfRule type="expression" dxfId="8007" priority="1458">
      <formula>B94=""</formula>
    </cfRule>
  </conditionalFormatting>
  <conditionalFormatting sqref="E74 E76 E78 E80 E82 E84 E86 E88 E90 E92">
    <cfRule type="expression" dxfId="8006" priority="1457">
      <formula>B74=""</formula>
    </cfRule>
  </conditionalFormatting>
  <conditionalFormatting sqref="E75 E77 E79 E81 E83 E85 E87 E89 E91 E93">
    <cfRule type="expression" dxfId="8005" priority="1456">
      <formula>B75=""</formula>
    </cfRule>
  </conditionalFormatting>
  <conditionalFormatting sqref="E76:E86">
    <cfRule type="expression" dxfId="8004" priority="1455">
      <formula>B76=""</formula>
    </cfRule>
  </conditionalFormatting>
  <conditionalFormatting sqref="E87">
    <cfRule type="expression" dxfId="8003" priority="1454">
      <formula>B87=""</formula>
    </cfRule>
  </conditionalFormatting>
  <conditionalFormatting sqref="E88">
    <cfRule type="expression" dxfId="8002" priority="1453">
      <formula>B88=""</formula>
    </cfRule>
  </conditionalFormatting>
  <conditionalFormatting sqref="E89">
    <cfRule type="expression" dxfId="8001" priority="1452">
      <formula>B89=""</formula>
    </cfRule>
  </conditionalFormatting>
  <conditionalFormatting sqref="E90">
    <cfRule type="expression" dxfId="8000" priority="1451">
      <formula>B90=""</formula>
    </cfRule>
  </conditionalFormatting>
  <conditionalFormatting sqref="E91">
    <cfRule type="expression" dxfId="7999" priority="1450">
      <formula>B91=""</formula>
    </cfRule>
  </conditionalFormatting>
  <conditionalFormatting sqref="E92">
    <cfRule type="expression" dxfId="7998" priority="1449">
      <formula>B92=""</formula>
    </cfRule>
  </conditionalFormatting>
  <conditionalFormatting sqref="E93">
    <cfRule type="expression" dxfId="7997" priority="1448">
      <formula>B93=""</formula>
    </cfRule>
  </conditionalFormatting>
  <conditionalFormatting sqref="E94">
    <cfRule type="expression" dxfId="7996" priority="1447">
      <formula>B94=""</formula>
    </cfRule>
  </conditionalFormatting>
  <conditionalFormatting sqref="F74 F76 F78 F80 F82 F84 F86 F88 F90 F92">
    <cfRule type="expression" dxfId="7995" priority="1446">
      <formula>B74=""</formula>
    </cfRule>
  </conditionalFormatting>
  <conditionalFormatting sqref="F75 F77 F79 F81 F83 F85 F87 F89 F91 F93">
    <cfRule type="expression" dxfId="7994" priority="1445">
      <formula>B75=""</formula>
    </cfRule>
  </conditionalFormatting>
  <conditionalFormatting sqref="F76:F86">
    <cfRule type="expression" dxfId="7993" priority="1444">
      <formula>B76=""</formula>
    </cfRule>
  </conditionalFormatting>
  <conditionalFormatting sqref="F87">
    <cfRule type="expression" dxfId="7992" priority="1443">
      <formula>B87=""</formula>
    </cfRule>
  </conditionalFormatting>
  <conditionalFormatting sqref="F88">
    <cfRule type="expression" dxfId="7991" priority="1442">
      <formula>B88=""</formula>
    </cfRule>
  </conditionalFormatting>
  <conditionalFormatting sqref="F89">
    <cfRule type="expression" dxfId="7990" priority="1441">
      <formula>B89=""</formula>
    </cfRule>
  </conditionalFormatting>
  <conditionalFormatting sqref="F90">
    <cfRule type="expression" dxfId="7989" priority="1440">
      <formula>B90=""</formula>
    </cfRule>
  </conditionalFormatting>
  <conditionalFormatting sqref="F91">
    <cfRule type="expression" dxfId="7988" priority="1439">
      <formula>B91=""</formula>
    </cfRule>
  </conditionalFormatting>
  <conditionalFormatting sqref="F92">
    <cfRule type="expression" dxfId="7987" priority="1438">
      <formula>B92=""</formula>
    </cfRule>
  </conditionalFormatting>
  <conditionalFormatting sqref="F93">
    <cfRule type="expression" dxfId="7986" priority="1437">
      <formula>B93=""</formula>
    </cfRule>
  </conditionalFormatting>
  <conditionalFormatting sqref="F94">
    <cfRule type="expression" dxfId="7985" priority="1436">
      <formula>B94=""</formula>
    </cfRule>
  </conditionalFormatting>
  <conditionalFormatting sqref="E75 E77 E79 E81 E83 E85 E87 E89 E91 E93">
    <cfRule type="expression" dxfId="7984" priority="1435">
      <formula>B75=""</formula>
    </cfRule>
  </conditionalFormatting>
  <conditionalFormatting sqref="E76:E86">
    <cfRule type="expression" dxfId="7983" priority="1434">
      <formula>B76=""</formula>
    </cfRule>
  </conditionalFormatting>
  <conditionalFormatting sqref="E87">
    <cfRule type="expression" dxfId="7982" priority="1433">
      <formula>B87=""</formula>
    </cfRule>
  </conditionalFormatting>
  <conditionalFormatting sqref="E88">
    <cfRule type="expression" dxfId="7981" priority="1432">
      <formula>B88=""</formula>
    </cfRule>
  </conditionalFormatting>
  <conditionalFormatting sqref="E89">
    <cfRule type="expression" dxfId="7980" priority="1431">
      <formula>B89=""</formula>
    </cfRule>
  </conditionalFormatting>
  <conditionalFormatting sqref="E90">
    <cfRule type="expression" dxfId="7979" priority="1430">
      <formula>B90=""</formula>
    </cfRule>
  </conditionalFormatting>
  <conditionalFormatting sqref="E91">
    <cfRule type="expression" dxfId="7978" priority="1429">
      <formula>B91=""</formula>
    </cfRule>
  </conditionalFormatting>
  <conditionalFormatting sqref="E92">
    <cfRule type="expression" dxfId="7977" priority="1428">
      <formula>B92=""</formula>
    </cfRule>
  </conditionalFormatting>
  <conditionalFormatting sqref="E93">
    <cfRule type="expression" dxfId="7976" priority="1427">
      <formula>B93=""</formula>
    </cfRule>
  </conditionalFormatting>
  <conditionalFormatting sqref="E94">
    <cfRule type="expression" dxfId="7975" priority="1426">
      <formula>B94=""</formula>
    </cfRule>
  </conditionalFormatting>
  <conditionalFormatting sqref="G74 G76 G78 G80 G82 G84 G86 G88 G90 G92">
    <cfRule type="expression" dxfId="7974" priority="1425">
      <formula>B74=""</formula>
    </cfRule>
  </conditionalFormatting>
  <conditionalFormatting sqref="G75 G77 G79 G81 G83 G85 G87 G89 G91 G93">
    <cfRule type="expression" dxfId="7973" priority="1424">
      <formula>B75=""</formula>
    </cfRule>
  </conditionalFormatting>
  <conditionalFormatting sqref="G76:G86">
    <cfRule type="expression" dxfId="7972" priority="1423">
      <formula>B76=""</formula>
    </cfRule>
  </conditionalFormatting>
  <conditionalFormatting sqref="G87">
    <cfRule type="expression" dxfId="7971" priority="1422">
      <formula>B87=""</formula>
    </cfRule>
  </conditionalFormatting>
  <conditionalFormatting sqref="G88">
    <cfRule type="expression" dxfId="7970" priority="1421">
      <formula>B88=""</formula>
    </cfRule>
  </conditionalFormatting>
  <conditionalFormatting sqref="G89">
    <cfRule type="expression" dxfId="7969" priority="1420">
      <formula>B89=""</formula>
    </cfRule>
  </conditionalFormatting>
  <conditionalFormatting sqref="G90">
    <cfRule type="expression" dxfId="7968" priority="1419">
      <formula>B90=""</formula>
    </cfRule>
  </conditionalFormatting>
  <conditionalFormatting sqref="G91">
    <cfRule type="expression" dxfId="7967" priority="1418">
      <formula>B91=""</formula>
    </cfRule>
  </conditionalFormatting>
  <conditionalFormatting sqref="G92">
    <cfRule type="expression" dxfId="7966" priority="1417">
      <formula>B92=""</formula>
    </cfRule>
  </conditionalFormatting>
  <conditionalFormatting sqref="G93">
    <cfRule type="expression" dxfId="7965" priority="1416">
      <formula>B93=""</formula>
    </cfRule>
  </conditionalFormatting>
  <conditionalFormatting sqref="G94">
    <cfRule type="expression" dxfId="7964" priority="1415">
      <formula>B94=""</formula>
    </cfRule>
  </conditionalFormatting>
  <conditionalFormatting sqref="H74 H76 H78 H80 H82 H84 H86 H88 H90 H92">
    <cfRule type="expression" dxfId="7963" priority="1414">
      <formula>B74=""</formula>
    </cfRule>
  </conditionalFormatting>
  <conditionalFormatting sqref="H75 H77 H79 H81 H83 H85 H87 H89 H91 H93">
    <cfRule type="expression" dxfId="7962" priority="1413">
      <formula>B75=""</formula>
    </cfRule>
  </conditionalFormatting>
  <conditionalFormatting sqref="H76:H86">
    <cfRule type="expression" dxfId="7961" priority="1412">
      <formula>B76=""</formula>
    </cfRule>
  </conditionalFormatting>
  <conditionalFormatting sqref="H87">
    <cfRule type="expression" dxfId="7960" priority="1411">
      <formula>B87=""</formula>
    </cfRule>
  </conditionalFormatting>
  <conditionalFormatting sqref="H88">
    <cfRule type="expression" dxfId="7959" priority="1410">
      <formula>B88=""</formula>
    </cfRule>
  </conditionalFormatting>
  <conditionalFormatting sqref="H89">
    <cfRule type="expression" dxfId="7958" priority="1409">
      <formula>B89=""</formula>
    </cfRule>
  </conditionalFormatting>
  <conditionalFormatting sqref="H90">
    <cfRule type="expression" dxfId="7957" priority="1408">
      <formula>B90=""</formula>
    </cfRule>
  </conditionalFormatting>
  <conditionalFormatting sqref="H91">
    <cfRule type="expression" dxfId="7956" priority="1407">
      <formula>B91=""</formula>
    </cfRule>
  </conditionalFormatting>
  <conditionalFormatting sqref="H92">
    <cfRule type="expression" dxfId="7955" priority="1406">
      <formula>B92=""</formula>
    </cfRule>
  </conditionalFormatting>
  <conditionalFormatting sqref="H93">
    <cfRule type="expression" dxfId="7954" priority="1405">
      <formula>B93=""</formula>
    </cfRule>
  </conditionalFormatting>
  <conditionalFormatting sqref="H94">
    <cfRule type="expression" dxfId="7953" priority="1404">
      <formula>B94=""</formula>
    </cfRule>
  </conditionalFormatting>
  <conditionalFormatting sqref="C49">
    <cfRule type="expression" dxfId="7952" priority="1402">
      <formula>B49=""</formula>
    </cfRule>
  </conditionalFormatting>
  <conditionalFormatting sqref="C71">
    <cfRule type="expression" dxfId="7951" priority="1400">
      <formula>B71=""</formula>
    </cfRule>
  </conditionalFormatting>
  <conditionalFormatting sqref="C93">
    <cfRule type="expression" dxfId="7950" priority="1398">
      <formula>B93=""</formula>
    </cfRule>
  </conditionalFormatting>
  <conditionalFormatting sqref="C9 C11 C13 C15 C17:C27">
    <cfRule type="expression" dxfId="7949" priority="530">
      <formula>B9=""</formula>
    </cfRule>
  </conditionalFormatting>
  <conditionalFormatting sqref="C20:C21">
    <cfRule type="expression" dxfId="7948" priority="528">
      <formula>B20=""</formula>
    </cfRule>
  </conditionalFormatting>
  <conditionalFormatting sqref="C22">
    <cfRule type="expression" dxfId="7947" priority="527">
      <formula>B22=""</formula>
    </cfRule>
  </conditionalFormatting>
  <conditionalFormatting sqref="C23">
    <cfRule type="expression" dxfId="7946" priority="526">
      <formula>B23=""</formula>
    </cfRule>
  </conditionalFormatting>
  <conditionalFormatting sqref="C24">
    <cfRule type="expression" dxfId="7945" priority="525">
      <formula>B24=""</formula>
    </cfRule>
  </conditionalFormatting>
  <conditionalFormatting sqref="C25">
    <cfRule type="expression" dxfId="7944" priority="524">
      <formula>B25=""</formula>
    </cfRule>
  </conditionalFormatting>
  <conditionalFormatting sqref="C26">
    <cfRule type="expression" dxfId="7943" priority="523">
      <formula>B26=""</formula>
    </cfRule>
  </conditionalFormatting>
  <conditionalFormatting sqref="C27">
    <cfRule type="expression" dxfId="7942" priority="522">
      <formula>B27=""</formula>
    </cfRule>
  </conditionalFormatting>
  <conditionalFormatting sqref="C28">
    <cfRule type="expression" dxfId="7941" priority="521">
      <formula>B28=""</formula>
    </cfRule>
  </conditionalFormatting>
  <conditionalFormatting sqref="C30:C50">
    <cfRule type="expression" dxfId="7940" priority="519">
      <formula>B30=""</formula>
    </cfRule>
  </conditionalFormatting>
  <conditionalFormatting sqref="C31 C33 C35 C37 C39 C41 C43 C45 C47 C49">
    <cfRule type="expression" dxfId="7939" priority="518">
      <formula>B31=""</formula>
    </cfRule>
  </conditionalFormatting>
  <conditionalFormatting sqref="C32:C42">
    <cfRule type="expression" dxfId="7938" priority="517">
      <formula>B32=""</formula>
    </cfRule>
  </conditionalFormatting>
  <conditionalFormatting sqref="C43">
    <cfRule type="expression" dxfId="7937" priority="516">
      <formula>B43=""</formula>
    </cfRule>
  </conditionalFormatting>
  <conditionalFormatting sqref="C44">
    <cfRule type="expression" dxfId="7936" priority="515">
      <formula>B44=""</formula>
    </cfRule>
  </conditionalFormatting>
  <conditionalFormatting sqref="C45">
    <cfRule type="expression" dxfId="7935" priority="514">
      <formula>B45=""</formula>
    </cfRule>
  </conditionalFormatting>
  <conditionalFormatting sqref="C46">
    <cfRule type="expression" dxfId="7934" priority="513">
      <formula>B46=""</formula>
    </cfRule>
  </conditionalFormatting>
  <conditionalFormatting sqref="C47">
    <cfRule type="expression" dxfId="7933" priority="512">
      <formula>B47=""</formula>
    </cfRule>
  </conditionalFormatting>
  <conditionalFormatting sqref="C48">
    <cfRule type="expression" dxfId="7932" priority="511">
      <formula>B48=""</formula>
    </cfRule>
  </conditionalFormatting>
  <conditionalFormatting sqref="C49">
    <cfRule type="expression" dxfId="7931" priority="510">
      <formula>B49=""</formula>
    </cfRule>
  </conditionalFormatting>
  <conditionalFormatting sqref="C50">
    <cfRule type="expression" dxfId="7930" priority="509">
      <formula>B50=""</formula>
    </cfRule>
  </conditionalFormatting>
  <conditionalFormatting sqref="C52:C71">
    <cfRule type="expression" dxfId="7929" priority="507">
      <formula>B52=""</formula>
    </cfRule>
  </conditionalFormatting>
  <conditionalFormatting sqref="C53 C55 C57 C59 C61 C63 C65 C67 C69 C71">
    <cfRule type="expression" dxfId="7928" priority="506">
      <formula>B53=""</formula>
    </cfRule>
  </conditionalFormatting>
  <conditionalFormatting sqref="C54:C64">
    <cfRule type="expression" dxfId="7927" priority="505">
      <formula>B54=""</formula>
    </cfRule>
  </conditionalFormatting>
  <conditionalFormatting sqref="C65">
    <cfRule type="expression" dxfId="7926" priority="504">
      <formula>B65=""</formula>
    </cfRule>
  </conditionalFormatting>
  <conditionalFormatting sqref="C66">
    <cfRule type="expression" dxfId="7925" priority="503">
      <formula>B66=""</formula>
    </cfRule>
  </conditionalFormatting>
  <conditionalFormatting sqref="C67">
    <cfRule type="expression" dxfId="7924" priority="502">
      <formula>B67=""</formula>
    </cfRule>
  </conditionalFormatting>
  <conditionalFormatting sqref="C68">
    <cfRule type="expression" dxfId="7923" priority="501">
      <formula>B68=""</formula>
    </cfRule>
  </conditionalFormatting>
  <conditionalFormatting sqref="C69">
    <cfRule type="expression" dxfId="7922" priority="500">
      <formula>B69=""</formula>
    </cfRule>
  </conditionalFormatting>
  <conditionalFormatting sqref="C70">
    <cfRule type="expression" dxfId="7921" priority="499">
      <formula>B70=""</formula>
    </cfRule>
  </conditionalFormatting>
  <conditionalFormatting sqref="C71">
    <cfRule type="expression" dxfId="7920" priority="498">
      <formula>B71=""</formula>
    </cfRule>
  </conditionalFormatting>
  <conditionalFormatting sqref="C72">
    <cfRule type="expression" dxfId="7919" priority="497">
      <formula>B72=""</formula>
    </cfRule>
  </conditionalFormatting>
  <conditionalFormatting sqref="C74:C94">
    <cfRule type="expression" dxfId="7918" priority="495">
      <formula>B74=""</formula>
    </cfRule>
  </conditionalFormatting>
  <conditionalFormatting sqref="C75 C77 C79 C81 C83 C85 C87 C89 C91 C93">
    <cfRule type="expression" dxfId="7917" priority="494">
      <formula>B75=""</formula>
    </cfRule>
  </conditionalFormatting>
  <conditionalFormatting sqref="C76:C86">
    <cfRule type="expression" dxfId="7916" priority="493">
      <formula>B76=""</formula>
    </cfRule>
  </conditionalFormatting>
  <conditionalFormatting sqref="C87">
    <cfRule type="expression" dxfId="7915" priority="492">
      <formula>B87=""</formula>
    </cfRule>
  </conditionalFormatting>
  <conditionalFormatting sqref="C88">
    <cfRule type="expression" dxfId="7914" priority="491">
      <formula>B88=""</formula>
    </cfRule>
  </conditionalFormatting>
  <conditionalFormatting sqref="C89">
    <cfRule type="expression" dxfId="7913" priority="490">
      <formula>B89=""</formula>
    </cfRule>
  </conditionalFormatting>
  <conditionalFormatting sqref="C90">
    <cfRule type="expression" dxfId="7912" priority="489">
      <formula>B90=""</formula>
    </cfRule>
  </conditionalFormatting>
  <conditionalFormatting sqref="C91">
    <cfRule type="expression" dxfId="7911" priority="488">
      <formula>B91=""</formula>
    </cfRule>
  </conditionalFormatting>
  <conditionalFormatting sqref="C92">
    <cfRule type="expression" dxfId="7910" priority="487">
      <formula>B92=""</formula>
    </cfRule>
  </conditionalFormatting>
  <conditionalFormatting sqref="C93">
    <cfRule type="expression" dxfId="7909" priority="486">
      <formula>B93=""</formula>
    </cfRule>
  </conditionalFormatting>
  <conditionalFormatting sqref="C94">
    <cfRule type="expression" dxfId="7908" priority="485">
      <formula>B94=""</formula>
    </cfRule>
  </conditionalFormatting>
  <conditionalFormatting sqref="C8 C10:C27">
    <cfRule type="expression" dxfId="7907" priority="388">
      <formula>B8=""</formula>
    </cfRule>
  </conditionalFormatting>
  <conditionalFormatting sqref="C9 C11 C13 C15 C17:C27">
    <cfRule type="expression" dxfId="7906" priority="387">
      <formula>B9=""</formula>
    </cfRule>
  </conditionalFormatting>
  <conditionalFormatting sqref="C20:C21">
    <cfRule type="expression" dxfId="7905" priority="385">
      <formula>B20=""</formula>
    </cfRule>
  </conditionalFormatting>
  <conditionalFormatting sqref="C22">
    <cfRule type="expression" dxfId="7904" priority="384">
      <formula>B22=""</formula>
    </cfRule>
  </conditionalFormatting>
  <conditionalFormatting sqref="C23">
    <cfRule type="expression" dxfId="7903" priority="383">
      <formula>B23=""</formula>
    </cfRule>
  </conditionalFormatting>
  <conditionalFormatting sqref="C24">
    <cfRule type="expression" dxfId="7902" priority="382">
      <formula>B24=""</formula>
    </cfRule>
  </conditionalFormatting>
  <conditionalFormatting sqref="C25">
    <cfRule type="expression" dxfId="7901" priority="381">
      <formula>B25=""</formula>
    </cfRule>
  </conditionalFormatting>
  <conditionalFormatting sqref="C26">
    <cfRule type="expression" dxfId="7900" priority="380">
      <formula>B26=""</formula>
    </cfRule>
  </conditionalFormatting>
  <conditionalFormatting sqref="C27">
    <cfRule type="expression" dxfId="7899" priority="379">
      <formula>B27=""</formula>
    </cfRule>
  </conditionalFormatting>
  <conditionalFormatting sqref="D8 D10 D12 D14 D16 D18:D27">
    <cfRule type="expression" dxfId="7898" priority="378">
      <formula>B8=""</formula>
    </cfRule>
  </conditionalFormatting>
  <conditionalFormatting sqref="D9 D11 D13 D15 D17:D27">
    <cfRule type="expression" dxfId="7897" priority="377">
      <formula>B9=""</formula>
    </cfRule>
  </conditionalFormatting>
  <conditionalFormatting sqref="D20:D21">
    <cfRule type="expression" dxfId="7896" priority="375">
      <formula>B20=""</formula>
    </cfRule>
  </conditionalFormatting>
  <conditionalFormatting sqref="D22">
    <cfRule type="expression" dxfId="7895" priority="374">
      <formula>B22=""</formula>
    </cfRule>
  </conditionalFormatting>
  <conditionalFormatting sqref="D23">
    <cfRule type="expression" dxfId="7894" priority="373">
      <formula>B23=""</formula>
    </cfRule>
  </conditionalFormatting>
  <conditionalFormatting sqref="D24">
    <cfRule type="expression" dxfId="7893" priority="372">
      <formula>B24=""</formula>
    </cfRule>
  </conditionalFormatting>
  <conditionalFormatting sqref="D25">
    <cfRule type="expression" dxfId="7892" priority="371">
      <formula>B25=""</formula>
    </cfRule>
  </conditionalFormatting>
  <conditionalFormatting sqref="D26">
    <cfRule type="expression" dxfId="7891" priority="370">
      <formula>B26=""</formula>
    </cfRule>
  </conditionalFormatting>
  <conditionalFormatting sqref="D27">
    <cfRule type="expression" dxfId="7890" priority="369">
      <formula>B27=""</formula>
    </cfRule>
  </conditionalFormatting>
  <conditionalFormatting sqref="E9 E11 E13 E15 E17:E27">
    <cfRule type="expression" dxfId="7889" priority="367">
      <formula>B9=""</formula>
    </cfRule>
  </conditionalFormatting>
  <conditionalFormatting sqref="E20:E21">
    <cfRule type="expression" dxfId="7888" priority="365">
      <formula>B20=""</formula>
    </cfRule>
  </conditionalFormatting>
  <conditionalFormatting sqref="E22">
    <cfRule type="expression" dxfId="7887" priority="364">
      <formula>B22=""</formula>
    </cfRule>
  </conditionalFormatting>
  <conditionalFormatting sqref="E23">
    <cfRule type="expression" dxfId="7886" priority="363">
      <formula>B23=""</formula>
    </cfRule>
  </conditionalFormatting>
  <conditionalFormatting sqref="E24">
    <cfRule type="expression" dxfId="7885" priority="362">
      <formula>B24=""</formula>
    </cfRule>
  </conditionalFormatting>
  <conditionalFormatting sqref="E25">
    <cfRule type="expression" dxfId="7884" priority="361">
      <formula>B25=""</formula>
    </cfRule>
  </conditionalFormatting>
  <conditionalFormatting sqref="E26">
    <cfRule type="expression" dxfId="7883" priority="360">
      <formula>B26=""</formula>
    </cfRule>
  </conditionalFormatting>
  <conditionalFormatting sqref="E27">
    <cfRule type="expression" dxfId="7882" priority="359">
      <formula>B27=""</formula>
    </cfRule>
  </conditionalFormatting>
  <conditionalFormatting sqref="F8:F27">
    <cfRule type="expression" dxfId="7881" priority="358">
      <formula>B8=""</formula>
    </cfRule>
  </conditionalFormatting>
  <conditionalFormatting sqref="F9 F11 F13 F15 F17:F27">
    <cfRule type="expression" dxfId="7880" priority="357">
      <formula>B9=""</formula>
    </cfRule>
  </conditionalFormatting>
  <conditionalFormatting sqref="F20:F21">
    <cfRule type="expression" dxfId="7879" priority="355">
      <formula>B20=""</formula>
    </cfRule>
  </conditionalFormatting>
  <conditionalFormatting sqref="F22">
    <cfRule type="expression" dxfId="7878" priority="354">
      <formula>B22=""</formula>
    </cfRule>
  </conditionalFormatting>
  <conditionalFormatting sqref="F23">
    <cfRule type="expression" dxfId="7877" priority="353">
      <formula>B23=""</formula>
    </cfRule>
  </conditionalFormatting>
  <conditionalFormatting sqref="F24">
    <cfRule type="expression" dxfId="7876" priority="352">
      <formula>B24=""</formula>
    </cfRule>
  </conditionalFormatting>
  <conditionalFormatting sqref="F25">
    <cfRule type="expression" dxfId="7875" priority="351">
      <formula>B25=""</formula>
    </cfRule>
  </conditionalFormatting>
  <conditionalFormatting sqref="F26">
    <cfRule type="expression" dxfId="7874" priority="350">
      <formula>B26=""</formula>
    </cfRule>
  </conditionalFormatting>
  <conditionalFormatting sqref="F27">
    <cfRule type="expression" dxfId="7873" priority="349">
      <formula>B27=""</formula>
    </cfRule>
  </conditionalFormatting>
  <conditionalFormatting sqref="E9 E11 E13 E15 E17:E27">
    <cfRule type="expression" dxfId="7872" priority="348">
      <formula>B9=""</formula>
    </cfRule>
  </conditionalFormatting>
  <conditionalFormatting sqref="E20:E21">
    <cfRule type="expression" dxfId="7871" priority="346">
      <formula>B20=""</formula>
    </cfRule>
  </conditionalFormatting>
  <conditionalFormatting sqref="E22">
    <cfRule type="expression" dxfId="7870" priority="345">
      <formula>B22=""</formula>
    </cfRule>
  </conditionalFormatting>
  <conditionalFormatting sqref="E23">
    <cfRule type="expression" dxfId="7869" priority="344">
      <formula>B23=""</formula>
    </cfRule>
  </conditionalFormatting>
  <conditionalFormatting sqref="E24">
    <cfRule type="expression" dxfId="7868" priority="343">
      <formula>B24=""</formula>
    </cfRule>
  </conditionalFormatting>
  <conditionalFormatting sqref="E25">
    <cfRule type="expression" dxfId="7867" priority="342">
      <formula>B25=""</formula>
    </cfRule>
  </conditionalFormatting>
  <conditionalFormatting sqref="E26">
    <cfRule type="expression" dxfId="7866" priority="341">
      <formula>B26=""</formula>
    </cfRule>
  </conditionalFormatting>
  <conditionalFormatting sqref="E27">
    <cfRule type="expression" dxfId="7865" priority="340">
      <formula>B27=""</formula>
    </cfRule>
  </conditionalFormatting>
  <conditionalFormatting sqref="G9 G11 G13 G15 G17:G27">
    <cfRule type="expression" dxfId="7864" priority="338">
      <formula>B9=""</formula>
    </cfRule>
  </conditionalFormatting>
  <conditionalFormatting sqref="G20:G21">
    <cfRule type="expression" dxfId="7863" priority="336">
      <formula>B20=""</formula>
    </cfRule>
  </conditionalFormatting>
  <conditionalFormatting sqref="G22">
    <cfRule type="expression" dxfId="7862" priority="335">
      <formula>B22=""</formula>
    </cfRule>
  </conditionalFormatting>
  <conditionalFormatting sqref="G23">
    <cfRule type="expression" dxfId="7861" priority="334">
      <formula>B23=""</formula>
    </cfRule>
  </conditionalFormatting>
  <conditionalFormatting sqref="G24">
    <cfRule type="expression" dxfId="7860" priority="333">
      <formula>B24=""</formula>
    </cfRule>
  </conditionalFormatting>
  <conditionalFormatting sqref="G25">
    <cfRule type="expression" dxfId="7859" priority="332">
      <formula>B25=""</formula>
    </cfRule>
  </conditionalFormatting>
  <conditionalFormatting sqref="G26">
    <cfRule type="expression" dxfId="7858" priority="331">
      <formula>B26=""</formula>
    </cfRule>
  </conditionalFormatting>
  <conditionalFormatting sqref="G27">
    <cfRule type="expression" dxfId="7857" priority="330">
      <formula>B27=""</formula>
    </cfRule>
  </conditionalFormatting>
  <conditionalFormatting sqref="H8 H10 H12 H14 H16 H18:H27">
    <cfRule type="expression" dxfId="7856" priority="329">
      <formula>B8=""</formula>
    </cfRule>
  </conditionalFormatting>
  <conditionalFormatting sqref="H9 H11 H13 H15 H17:H27">
    <cfRule type="expression" dxfId="7855" priority="328">
      <formula>B9=""</formula>
    </cfRule>
  </conditionalFormatting>
  <conditionalFormatting sqref="H20:H21">
    <cfRule type="expression" dxfId="7854" priority="326">
      <formula>B20=""</formula>
    </cfRule>
  </conditionalFormatting>
  <conditionalFormatting sqref="H22">
    <cfRule type="expression" dxfId="7853" priority="325">
      <formula>B22=""</formula>
    </cfRule>
  </conditionalFormatting>
  <conditionalFormatting sqref="H23">
    <cfRule type="expression" dxfId="7852" priority="324">
      <formula>B23=""</formula>
    </cfRule>
  </conditionalFormatting>
  <conditionalFormatting sqref="H24">
    <cfRule type="expression" dxfId="7851" priority="323">
      <formula>B24=""</formula>
    </cfRule>
  </conditionalFormatting>
  <conditionalFormatting sqref="H25">
    <cfRule type="expression" dxfId="7850" priority="322">
      <formula>B25=""</formula>
    </cfRule>
  </conditionalFormatting>
  <conditionalFormatting sqref="H26">
    <cfRule type="expression" dxfId="7849" priority="321">
      <formula>B26=""</formula>
    </cfRule>
  </conditionalFormatting>
  <conditionalFormatting sqref="H27">
    <cfRule type="expression" dxfId="7848" priority="320">
      <formula>B27=""</formula>
    </cfRule>
  </conditionalFormatting>
  <conditionalFormatting sqref="F8 F10 F12 F14 F16 F18:F27">
    <cfRule type="expression" dxfId="7847" priority="319">
      <formula>B8=""</formula>
    </cfRule>
  </conditionalFormatting>
  <conditionalFormatting sqref="F9 F11 F13 F15 F17:F27">
    <cfRule type="expression" dxfId="7846" priority="318">
      <formula>B9=""</formula>
    </cfRule>
  </conditionalFormatting>
  <conditionalFormatting sqref="F20:F21">
    <cfRule type="expression" dxfId="7845" priority="316">
      <formula>B20=""</formula>
    </cfRule>
  </conditionalFormatting>
  <conditionalFormatting sqref="F22">
    <cfRule type="expression" dxfId="7844" priority="315">
      <formula>B22=""</formula>
    </cfRule>
  </conditionalFormatting>
  <conditionalFormatting sqref="F23">
    <cfRule type="expression" dxfId="7843" priority="314">
      <formula>B23=""</formula>
    </cfRule>
  </conditionalFormatting>
  <conditionalFormatting sqref="F24">
    <cfRule type="expression" dxfId="7842" priority="313">
      <formula>B24=""</formula>
    </cfRule>
  </conditionalFormatting>
  <conditionalFormatting sqref="F25">
    <cfRule type="expression" dxfId="7841" priority="312">
      <formula>B25=""</formula>
    </cfRule>
  </conditionalFormatting>
  <conditionalFormatting sqref="F26">
    <cfRule type="expression" dxfId="7840" priority="311">
      <formula>B26=""</formula>
    </cfRule>
  </conditionalFormatting>
  <conditionalFormatting sqref="F27">
    <cfRule type="expression" dxfId="7839" priority="310">
      <formula>B27=""</formula>
    </cfRule>
  </conditionalFormatting>
  <conditionalFormatting sqref="C30:C49">
    <cfRule type="expression" dxfId="7838" priority="308">
      <formula>B30=""</formula>
    </cfRule>
  </conditionalFormatting>
  <conditionalFormatting sqref="C31 C33 C35 C37 C39 C41 C43 C45 C47 C49">
    <cfRule type="expression" dxfId="7837" priority="307">
      <formula>B31=""</formula>
    </cfRule>
  </conditionalFormatting>
  <conditionalFormatting sqref="C32:C42">
    <cfRule type="expression" dxfId="7836" priority="306">
      <formula>B32=""</formula>
    </cfRule>
  </conditionalFormatting>
  <conditionalFormatting sqref="C43">
    <cfRule type="expression" dxfId="7835" priority="305">
      <formula>B43=""</formula>
    </cfRule>
  </conditionalFormatting>
  <conditionalFormatting sqref="C44">
    <cfRule type="expression" dxfId="7834" priority="304">
      <formula>B44=""</formula>
    </cfRule>
  </conditionalFormatting>
  <conditionalFormatting sqref="C45">
    <cfRule type="expression" dxfId="7833" priority="303">
      <formula>B45=""</formula>
    </cfRule>
  </conditionalFormatting>
  <conditionalFormatting sqref="C46">
    <cfRule type="expression" dxfId="7832" priority="302">
      <formula>B46=""</formula>
    </cfRule>
  </conditionalFormatting>
  <conditionalFormatting sqref="C47">
    <cfRule type="expression" dxfId="7831" priority="301">
      <formula>B47=""</formula>
    </cfRule>
  </conditionalFormatting>
  <conditionalFormatting sqref="C48">
    <cfRule type="expression" dxfId="7830" priority="300">
      <formula>B48=""</formula>
    </cfRule>
  </conditionalFormatting>
  <conditionalFormatting sqref="C49">
    <cfRule type="expression" dxfId="7829" priority="299">
      <formula>B49=""</formula>
    </cfRule>
  </conditionalFormatting>
  <conditionalFormatting sqref="D30 D32 D34 D36 D38 D40 D42 D44 D46 D48">
    <cfRule type="expression" dxfId="7828" priority="298">
      <formula>B30=""</formula>
    </cfRule>
  </conditionalFormatting>
  <conditionalFormatting sqref="D31 D33 D35 D37 D39 D41 D43 D45 D47 D49">
    <cfRule type="expression" dxfId="7827" priority="297">
      <formula>B31=""</formula>
    </cfRule>
  </conditionalFormatting>
  <conditionalFormatting sqref="D32:D42">
    <cfRule type="expression" dxfId="7826" priority="296">
      <formula>B32=""</formula>
    </cfRule>
  </conditionalFormatting>
  <conditionalFormatting sqref="D43">
    <cfRule type="expression" dxfId="7825" priority="295">
      <formula>B43=""</formula>
    </cfRule>
  </conditionalFormatting>
  <conditionalFormatting sqref="D44">
    <cfRule type="expression" dxfId="7824" priority="294">
      <formula>B44=""</formula>
    </cfRule>
  </conditionalFormatting>
  <conditionalFormatting sqref="D45">
    <cfRule type="expression" dxfId="7823" priority="293">
      <formula>B45=""</formula>
    </cfRule>
  </conditionalFormatting>
  <conditionalFormatting sqref="D46">
    <cfRule type="expression" dxfId="7822" priority="292">
      <formula>B46=""</formula>
    </cfRule>
  </conditionalFormatting>
  <conditionalFormatting sqref="D47">
    <cfRule type="expression" dxfId="7821" priority="291">
      <formula>B47=""</formula>
    </cfRule>
  </conditionalFormatting>
  <conditionalFormatting sqref="D48">
    <cfRule type="expression" dxfId="7820" priority="290">
      <formula>B48=""</formula>
    </cfRule>
  </conditionalFormatting>
  <conditionalFormatting sqref="D49">
    <cfRule type="expression" dxfId="7819" priority="289">
      <formula>B49=""</formula>
    </cfRule>
  </conditionalFormatting>
  <conditionalFormatting sqref="E30 E32 E34 E36 E38 E40 E42 E44 E46 E48">
    <cfRule type="expression" dxfId="7818" priority="288">
      <formula>B30=""</formula>
    </cfRule>
  </conditionalFormatting>
  <conditionalFormatting sqref="E31 E33 E35 E37 E39 E41 E43 E45 E47 E49">
    <cfRule type="expression" dxfId="7817" priority="287">
      <formula>B31=""</formula>
    </cfRule>
  </conditionalFormatting>
  <conditionalFormatting sqref="E32:E42">
    <cfRule type="expression" dxfId="7816" priority="286">
      <formula>B32=""</formula>
    </cfRule>
  </conditionalFormatting>
  <conditionalFormatting sqref="E43">
    <cfRule type="expression" dxfId="7815" priority="285">
      <formula>B43=""</formula>
    </cfRule>
  </conditionalFormatting>
  <conditionalFormatting sqref="E44">
    <cfRule type="expression" dxfId="7814" priority="284">
      <formula>B44=""</formula>
    </cfRule>
  </conditionalFormatting>
  <conditionalFormatting sqref="E45">
    <cfRule type="expression" dxfId="7813" priority="283">
      <formula>B45=""</formula>
    </cfRule>
  </conditionalFormatting>
  <conditionalFormatting sqref="E46">
    <cfRule type="expression" dxfId="7812" priority="282">
      <formula>B46=""</formula>
    </cfRule>
  </conditionalFormatting>
  <conditionalFormatting sqref="E47">
    <cfRule type="expression" dxfId="7811" priority="281">
      <formula>B47=""</formula>
    </cfRule>
  </conditionalFormatting>
  <conditionalFormatting sqref="E48">
    <cfRule type="expression" dxfId="7810" priority="280">
      <formula>B48=""</formula>
    </cfRule>
  </conditionalFormatting>
  <conditionalFormatting sqref="E49">
    <cfRule type="expression" dxfId="7809" priority="279">
      <formula>B49=""</formula>
    </cfRule>
  </conditionalFormatting>
  <conditionalFormatting sqref="F30 F32 F34 F36 F38 F40 F42 F44 F46 F48">
    <cfRule type="expression" dxfId="7808" priority="278">
      <formula>B30=""</formula>
    </cfRule>
  </conditionalFormatting>
  <conditionalFormatting sqref="F31 F33 F35 F37 F39 F41 F43 F45 F47 F49">
    <cfRule type="expression" dxfId="7807" priority="277">
      <formula>B31=""</formula>
    </cfRule>
  </conditionalFormatting>
  <conditionalFormatting sqref="F32:F42">
    <cfRule type="expression" dxfId="7806" priority="276">
      <formula>B32=""</formula>
    </cfRule>
  </conditionalFormatting>
  <conditionalFormatting sqref="F43">
    <cfRule type="expression" dxfId="7805" priority="275">
      <formula>B43=""</formula>
    </cfRule>
  </conditionalFormatting>
  <conditionalFormatting sqref="F44">
    <cfRule type="expression" dxfId="7804" priority="274">
      <formula>B44=""</formula>
    </cfRule>
  </conditionalFormatting>
  <conditionalFormatting sqref="F45">
    <cfRule type="expression" dxfId="7803" priority="273">
      <formula>B45=""</formula>
    </cfRule>
  </conditionalFormatting>
  <conditionalFormatting sqref="F46">
    <cfRule type="expression" dxfId="7802" priority="272">
      <formula>B46=""</formula>
    </cfRule>
  </conditionalFormatting>
  <conditionalFormatting sqref="F47">
    <cfRule type="expression" dxfId="7801" priority="271">
      <formula>B47=""</formula>
    </cfRule>
  </conditionalFormatting>
  <conditionalFormatting sqref="F48">
    <cfRule type="expression" dxfId="7800" priority="270">
      <formula>B48=""</formula>
    </cfRule>
  </conditionalFormatting>
  <conditionalFormatting sqref="F49">
    <cfRule type="expression" dxfId="7799" priority="269">
      <formula>B49=""</formula>
    </cfRule>
  </conditionalFormatting>
  <conditionalFormatting sqref="E31 E33 E35 E37 E39 E41 E43 E45 E47 E49">
    <cfRule type="expression" dxfId="7798" priority="268">
      <formula>B31=""</formula>
    </cfRule>
  </conditionalFormatting>
  <conditionalFormatting sqref="E32:E42">
    <cfRule type="expression" dxfId="7797" priority="267">
      <formula>B32=""</formula>
    </cfRule>
  </conditionalFormatting>
  <conditionalFormatting sqref="E43">
    <cfRule type="expression" dxfId="7796" priority="266">
      <formula>B43=""</formula>
    </cfRule>
  </conditionalFormatting>
  <conditionalFormatting sqref="E44">
    <cfRule type="expression" dxfId="7795" priority="265">
      <formula>B44=""</formula>
    </cfRule>
  </conditionalFormatting>
  <conditionalFormatting sqref="E45">
    <cfRule type="expression" dxfId="7794" priority="264">
      <formula>B45=""</formula>
    </cfRule>
  </conditionalFormatting>
  <conditionalFormatting sqref="E46">
    <cfRule type="expression" dxfId="7793" priority="263">
      <formula>B46=""</formula>
    </cfRule>
  </conditionalFormatting>
  <conditionalFormatting sqref="E47">
    <cfRule type="expression" dxfId="7792" priority="262">
      <formula>B47=""</formula>
    </cfRule>
  </conditionalFormatting>
  <conditionalFormatting sqref="E48">
    <cfRule type="expression" dxfId="7791" priority="261">
      <formula>B48=""</formula>
    </cfRule>
  </conditionalFormatting>
  <conditionalFormatting sqref="E49">
    <cfRule type="expression" dxfId="7790" priority="260">
      <formula>B49=""</formula>
    </cfRule>
  </conditionalFormatting>
  <conditionalFormatting sqref="G30 G32 G34 G36 G38 G40 G42 G44 G46 G48">
    <cfRule type="expression" dxfId="7789" priority="259">
      <formula>B30=""</formula>
    </cfRule>
  </conditionalFormatting>
  <conditionalFormatting sqref="G31 G33 G35 G37 G39 G41 G43 G45 G47 G49">
    <cfRule type="expression" dxfId="7788" priority="258">
      <formula>B31=""</formula>
    </cfRule>
  </conditionalFormatting>
  <conditionalFormatting sqref="G32:G42">
    <cfRule type="expression" dxfId="7787" priority="257">
      <formula>B32=""</formula>
    </cfRule>
  </conditionalFormatting>
  <conditionalFormatting sqref="G43">
    <cfRule type="expression" dxfId="7786" priority="256">
      <formula>B43=""</formula>
    </cfRule>
  </conditionalFormatting>
  <conditionalFormatting sqref="G44">
    <cfRule type="expression" dxfId="7785" priority="255">
      <formula>B44=""</formula>
    </cfRule>
  </conditionalFormatting>
  <conditionalFormatting sqref="G45">
    <cfRule type="expression" dxfId="7784" priority="254">
      <formula>B45=""</formula>
    </cfRule>
  </conditionalFormatting>
  <conditionalFormatting sqref="G46">
    <cfRule type="expression" dxfId="7783" priority="253">
      <formula>B46=""</formula>
    </cfRule>
  </conditionalFormatting>
  <conditionalFormatting sqref="G47">
    <cfRule type="expression" dxfId="7782" priority="252">
      <formula>B47=""</formula>
    </cfRule>
  </conditionalFormatting>
  <conditionalFormatting sqref="G48">
    <cfRule type="expression" dxfId="7781" priority="251">
      <formula>B48=""</formula>
    </cfRule>
  </conditionalFormatting>
  <conditionalFormatting sqref="G49">
    <cfRule type="expression" dxfId="7780" priority="250">
      <formula>B49=""</formula>
    </cfRule>
  </conditionalFormatting>
  <conditionalFormatting sqref="H30 H32 H34 H36 H38 H40 H42 H44 H46 H48">
    <cfRule type="expression" dxfId="7779" priority="249">
      <formula>B30=""</formula>
    </cfRule>
  </conditionalFormatting>
  <conditionalFormatting sqref="H31 H33 H35 H37 H39 H41 H43 H45 H47 H49">
    <cfRule type="expression" dxfId="7778" priority="248">
      <formula>B31=""</formula>
    </cfRule>
  </conditionalFormatting>
  <conditionalFormatting sqref="H32:H42">
    <cfRule type="expression" dxfId="7777" priority="247">
      <formula>B32=""</formula>
    </cfRule>
  </conditionalFormatting>
  <conditionalFormatting sqref="H43">
    <cfRule type="expression" dxfId="7776" priority="246">
      <formula>B43=""</formula>
    </cfRule>
  </conditionalFormatting>
  <conditionalFormatting sqref="H44">
    <cfRule type="expression" dxfId="7775" priority="245">
      <formula>B44=""</formula>
    </cfRule>
  </conditionalFormatting>
  <conditionalFormatting sqref="H45">
    <cfRule type="expression" dxfId="7774" priority="244">
      <formula>B45=""</formula>
    </cfRule>
  </conditionalFormatting>
  <conditionalFormatting sqref="H46">
    <cfRule type="expression" dxfId="7773" priority="243">
      <formula>B46=""</formula>
    </cfRule>
  </conditionalFormatting>
  <conditionalFormatting sqref="H47">
    <cfRule type="expression" dxfId="7772" priority="242">
      <formula>B47=""</formula>
    </cfRule>
  </conditionalFormatting>
  <conditionalFormatting sqref="H48">
    <cfRule type="expression" dxfId="7771" priority="241">
      <formula>B48=""</formula>
    </cfRule>
  </conditionalFormatting>
  <conditionalFormatting sqref="H49">
    <cfRule type="expression" dxfId="7770" priority="240">
      <formula>B49=""</formula>
    </cfRule>
  </conditionalFormatting>
  <conditionalFormatting sqref="C30:C49">
    <cfRule type="expression" dxfId="7769" priority="238">
      <formula>B30=""</formula>
    </cfRule>
  </conditionalFormatting>
  <conditionalFormatting sqref="C31 C33 C35 C37 C39 C41 C43 C45 C47 C49">
    <cfRule type="expression" dxfId="7768" priority="237">
      <formula>B31=""</formula>
    </cfRule>
  </conditionalFormatting>
  <conditionalFormatting sqref="C32:C42">
    <cfRule type="expression" dxfId="7767" priority="236">
      <formula>B32=""</formula>
    </cfRule>
  </conditionalFormatting>
  <conditionalFormatting sqref="C43">
    <cfRule type="expression" dxfId="7766" priority="235">
      <formula>B43=""</formula>
    </cfRule>
  </conditionalFormatting>
  <conditionalFormatting sqref="C44">
    <cfRule type="expression" dxfId="7765" priority="234">
      <formula>B44=""</formula>
    </cfRule>
  </conditionalFormatting>
  <conditionalFormatting sqref="C45">
    <cfRule type="expression" dxfId="7764" priority="233">
      <formula>B45=""</formula>
    </cfRule>
  </conditionalFormatting>
  <conditionalFormatting sqref="C46">
    <cfRule type="expression" dxfId="7763" priority="232">
      <formula>B46=""</formula>
    </cfRule>
  </conditionalFormatting>
  <conditionalFormatting sqref="C47">
    <cfRule type="expression" dxfId="7762" priority="231">
      <formula>B47=""</formula>
    </cfRule>
  </conditionalFormatting>
  <conditionalFormatting sqref="C48">
    <cfRule type="expression" dxfId="7761" priority="230">
      <formula>B48=""</formula>
    </cfRule>
  </conditionalFormatting>
  <conditionalFormatting sqref="C49">
    <cfRule type="expression" dxfId="7760" priority="229">
      <formula>B49=""</formula>
    </cfRule>
  </conditionalFormatting>
  <conditionalFormatting sqref="C30 C32 C34 C36 C38 C40 C42 C44 C46 C48">
    <cfRule type="expression" dxfId="7759" priority="227">
      <formula>B30=""</formula>
    </cfRule>
  </conditionalFormatting>
  <conditionalFormatting sqref="C31 C33 C35 C37 C39 C41 C43 C45 C47 C49">
    <cfRule type="expression" dxfId="7758" priority="226">
      <formula>B31=""</formula>
    </cfRule>
  </conditionalFormatting>
  <conditionalFormatting sqref="C32:C42">
    <cfRule type="expression" dxfId="7757" priority="225">
      <formula>B32=""</formula>
    </cfRule>
  </conditionalFormatting>
  <conditionalFormatting sqref="C43">
    <cfRule type="expression" dxfId="7756" priority="224">
      <formula>B43=""</formula>
    </cfRule>
  </conditionalFormatting>
  <conditionalFormatting sqref="C44">
    <cfRule type="expression" dxfId="7755" priority="223">
      <formula>B44=""</formula>
    </cfRule>
  </conditionalFormatting>
  <conditionalFormatting sqref="C45">
    <cfRule type="expression" dxfId="7754" priority="222">
      <formula>B45=""</formula>
    </cfRule>
  </conditionalFormatting>
  <conditionalFormatting sqref="C46">
    <cfRule type="expression" dxfId="7753" priority="221">
      <formula>B46=""</formula>
    </cfRule>
  </conditionalFormatting>
  <conditionalFormatting sqref="C47">
    <cfRule type="expression" dxfId="7752" priority="220">
      <formula>B47=""</formula>
    </cfRule>
  </conditionalFormatting>
  <conditionalFormatting sqref="C48">
    <cfRule type="expression" dxfId="7751" priority="219">
      <formula>B48=""</formula>
    </cfRule>
  </conditionalFormatting>
  <conditionalFormatting sqref="C49">
    <cfRule type="expression" dxfId="7750" priority="218">
      <formula>B49=""</formula>
    </cfRule>
  </conditionalFormatting>
  <conditionalFormatting sqref="D30 D32 D34 D36 D38 D40 D42 D44 D46 D48">
    <cfRule type="expression" dxfId="7749" priority="217">
      <formula>B30=""</formula>
    </cfRule>
  </conditionalFormatting>
  <conditionalFormatting sqref="D31 D33 D35 D37 D39 D41 D43 D45 D47 D49">
    <cfRule type="expression" dxfId="7748" priority="216">
      <formula>B31=""</formula>
    </cfRule>
  </conditionalFormatting>
  <conditionalFormatting sqref="D32:D42">
    <cfRule type="expression" dxfId="7747" priority="215">
      <formula>B32=""</formula>
    </cfRule>
  </conditionalFormatting>
  <conditionalFormatting sqref="D43">
    <cfRule type="expression" dxfId="7746" priority="214">
      <formula>B43=""</formula>
    </cfRule>
  </conditionalFormatting>
  <conditionalFormatting sqref="D44">
    <cfRule type="expression" dxfId="7745" priority="213">
      <formula>B44=""</formula>
    </cfRule>
  </conditionalFormatting>
  <conditionalFormatting sqref="D45">
    <cfRule type="expression" dxfId="7744" priority="212">
      <formula>B45=""</formula>
    </cfRule>
  </conditionalFormatting>
  <conditionalFormatting sqref="D46">
    <cfRule type="expression" dxfId="7743" priority="211">
      <formula>B46=""</formula>
    </cfRule>
  </conditionalFormatting>
  <conditionalFormatting sqref="D47">
    <cfRule type="expression" dxfId="7742" priority="210">
      <formula>B47=""</formula>
    </cfRule>
  </conditionalFormatting>
  <conditionalFormatting sqref="D48">
    <cfRule type="expression" dxfId="7741" priority="209">
      <formula>B48=""</formula>
    </cfRule>
  </conditionalFormatting>
  <conditionalFormatting sqref="D49">
    <cfRule type="expression" dxfId="7740" priority="208">
      <formula>B49=""</formula>
    </cfRule>
  </conditionalFormatting>
  <conditionalFormatting sqref="E30:E49">
    <cfRule type="expression" dxfId="7739" priority="207">
      <formula>B30=""</formula>
    </cfRule>
  </conditionalFormatting>
  <conditionalFormatting sqref="E31 E33 E35 E37 E39 E41 E43 E45 E47 E49">
    <cfRule type="expression" dxfId="7738" priority="206">
      <formula>B31=""</formula>
    </cfRule>
  </conditionalFormatting>
  <conditionalFormatting sqref="E32:E42">
    <cfRule type="expression" dxfId="7737" priority="205">
      <formula>B32=""</formula>
    </cfRule>
  </conditionalFormatting>
  <conditionalFormatting sqref="E43">
    <cfRule type="expression" dxfId="7736" priority="204">
      <formula>B43=""</formula>
    </cfRule>
  </conditionalFormatting>
  <conditionalFormatting sqref="E44">
    <cfRule type="expression" dxfId="7735" priority="203">
      <formula>B44=""</formula>
    </cfRule>
  </conditionalFormatting>
  <conditionalFormatting sqref="E45">
    <cfRule type="expression" dxfId="7734" priority="202">
      <formula>B45=""</formula>
    </cfRule>
  </conditionalFormatting>
  <conditionalFormatting sqref="E46">
    <cfRule type="expression" dxfId="7733" priority="201">
      <formula>B46=""</formula>
    </cfRule>
  </conditionalFormatting>
  <conditionalFormatting sqref="E47">
    <cfRule type="expression" dxfId="7732" priority="200">
      <formula>B47=""</formula>
    </cfRule>
  </conditionalFormatting>
  <conditionalFormatting sqref="E48">
    <cfRule type="expression" dxfId="7731" priority="199">
      <formula>B48=""</formula>
    </cfRule>
  </conditionalFormatting>
  <conditionalFormatting sqref="E49">
    <cfRule type="expression" dxfId="7730" priority="198">
      <formula>B49=""</formula>
    </cfRule>
  </conditionalFormatting>
  <conditionalFormatting sqref="F30:F49">
    <cfRule type="expression" dxfId="7729" priority="197">
      <formula>B30=""</formula>
    </cfRule>
  </conditionalFormatting>
  <conditionalFormatting sqref="F31 F33 F35 F37 F39 F41 F43 F45 F47 F49">
    <cfRule type="expression" dxfId="7728" priority="196">
      <formula>B31=""</formula>
    </cfRule>
  </conditionalFormatting>
  <conditionalFormatting sqref="F32:F42">
    <cfRule type="expression" dxfId="7727" priority="195">
      <formula>B32=""</formula>
    </cfRule>
  </conditionalFormatting>
  <conditionalFormatting sqref="F43">
    <cfRule type="expression" dxfId="7726" priority="194">
      <formula>B43=""</formula>
    </cfRule>
  </conditionalFormatting>
  <conditionalFormatting sqref="F44">
    <cfRule type="expression" dxfId="7725" priority="193">
      <formula>B44=""</formula>
    </cfRule>
  </conditionalFormatting>
  <conditionalFormatting sqref="F45">
    <cfRule type="expression" dxfId="7724" priority="192">
      <formula>B45=""</formula>
    </cfRule>
  </conditionalFormatting>
  <conditionalFormatting sqref="F46">
    <cfRule type="expression" dxfId="7723" priority="191">
      <formula>B46=""</formula>
    </cfRule>
  </conditionalFormatting>
  <conditionalFormatting sqref="F47">
    <cfRule type="expression" dxfId="7722" priority="190">
      <formula>B47=""</formula>
    </cfRule>
  </conditionalFormatting>
  <conditionalFormatting sqref="F48">
    <cfRule type="expression" dxfId="7721" priority="189">
      <formula>B48=""</formula>
    </cfRule>
  </conditionalFormatting>
  <conditionalFormatting sqref="F49">
    <cfRule type="expression" dxfId="7720" priority="188">
      <formula>B49=""</formula>
    </cfRule>
  </conditionalFormatting>
  <conditionalFormatting sqref="E31 E33 E35 E37 E39 E41 E43 E45 E47 E49">
    <cfRule type="expression" dxfId="7719" priority="187">
      <formula>B31=""</formula>
    </cfRule>
  </conditionalFormatting>
  <conditionalFormatting sqref="E32:E42">
    <cfRule type="expression" dxfId="7718" priority="186">
      <formula>B32=""</formula>
    </cfRule>
  </conditionalFormatting>
  <conditionalFormatting sqref="E43">
    <cfRule type="expression" dxfId="7717" priority="185">
      <formula>B43=""</formula>
    </cfRule>
  </conditionalFormatting>
  <conditionalFormatting sqref="E44">
    <cfRule type="expression" dxfId="7716" priority="184">
      <formula>B44=""</formula>
    </cfRule>
  </conditionalFormatting>
  <conditionalFormatting sqref="E45">
    <cfRule type="expression" dxfId="7715" priority="183">
      <formula>B45=""</formula>
    </cfRule>
  </conditionalFormatting>
  <conditionalFormatting sqref="E46">
    <cfRule type="expression" dxfId="7714" priority="182">
      <formula>B46=""</formula>
    </cfRule>
  </conditionalFormatting>
  <conditionalFormatting sqref="E47">
    <cfRule type="expression" dxfId="7713" priority="181">
      <formula>B47=""</formula>
    </cfRule>
  </conditionalFormatting>
  <conditionalFormatting sqref="E48">
    <cfRule type="expression" dxfId="7712" priority="180">
      <formula>B48=""</formula>
    </cfRule>
  </conditionalFormatting>
  <conditionalFormatting sqref="E49">
    <cfRule type="expression" dxfId="7711" priority="179">
      <formula>B49=""</formula>
    </cfRule>
  </conditionalFormatting>
  <conditionalFormatting sqref="G30:G49">
    <cfRule type="expression" dxfId="7710" priority="178">
      <formula>B30=""</formula>
    </cfRule>
  </conditionalFormatting>
  <conditionalFormatting sqref="G31 G33 G35 G37 G39 G41 G43 G45 G47 G49">
    <cfRule type="expression" dxfId="7709" priority="177">
      <formula>B31=""</formula>
    </cfRule>
  </conditionalFormatting>
  <conditionalFormatting sqref="G32:G42">
    <cfRule type="expression" dxfId="7708" priority="176">
      <formula>B32=""</formula>
    </cfRule>
  </conditionalFormatting>
  <conditionalFormatting sqref="G43">
    <cfRule type="expression" dxfId="7707" priority="175">
      <formula>B43=""</formula>
    </cfRule>
  </conditionalFormatting>
  <conditionalFormatting sqref="G44">
    <cfRule type="expression" dxfId="7706" priority="174">
      <formula>B44=""</formula>
    </cfRule>
  </conditionalFormatting>
  <conditionalFormatting sqref="G45">
    <cfRule type="expression" dxfId="7705" priority="173">
      <formula>B45=""</formula>
    </cfRule>
  </conditionalFormatting>
  <conditionalFormatting sqref="G46">
    <cfRule type="expression" dxfId="7704" priority="172">
      <formula>B46=""</formula>
    </cfRule>
  </conditionalFormatting>
  <conditionalFormatting sqref="G47">
    <cfRule type="expression" dxfId="7703" priority="171">
      <formula>B47=""</formula>
    </cfRule>
  </conditionalFormatting>
  <conditionalFormatting sqref="G48">
    <cfRule type="expression" dxfId="7702" priority="170">
      <formula>B48=""</formula>
    </cfRule>
  </conditionalFormatting>
  <conditionalFormatting sqref="G49">
    <cfRule type="expression" dxfId="7701" priority="169">
      <formula>B49=""</formula>
    </cfRule>
  </conditionalFormatting>
  <conditionalFormatting sqref="H30 H32 H34 H36 H38 H40 H42 H44 H46 H48">
    <cfRule type="expression" dxfId="7700" priority="168">
      <formula>B30=""</formula>
    </cfRule>
  </conditionalFormatting>
  <conditionalFormatting sqref="H31 H33 H35 H37 H39 H41 H43 H45 H47 H49">
    <cfRule type="expression" dxfId="7699" priority="167">
      <formula>B31=""</formula>
    </cfRule>
  </conditionalFormatting>
  <conditionalFormatting sqref="H32:H42">
    <cfRule type="expression" dxfId="7698" priority="166">
      <formula>B32=""</formula>
    </cfRule>
  </conditionalFormatting>
  <conditionalFormatting sqref="H43">
    <cfRule type="expression" dxfId="7697" priority="165">
      <formula>B43=""</formula>
    </cfRule>
  </conditionalFormatting>
  <conditionalFormatting sqref="H44">
    <cfRule type="expression" dxfId="7696" priority="164">
      <formula>B44=""</formula>
    </cfRule>
  </conditionalFormatting>
  <conditionalFormatting sqref="H45">
    <cfRule type="expression" dxfId="7695" priority="163">
      <formula>B45=""</formula>
    </cfRule>
  </conditionalFormatting>
  <conditionalFormatting sqref="H46">
    <cfRule type="expression" dxfId="7694" priority="162">
      <formula>B46=""</formula>
    </cfRule>
  </conditionalFormatting>
  <conditionalFormatting sqref="H47">
    <cfRule type="expression" dxfId="7693" priority="161">
      <formula>B47=""</formula>
    </cfRule>
  </conditionalFormatting>
  <conditionalFormatting sqref="H48">
    <cfRule type="expression" dxfId="7692" priority="160">
      <formula>B48=""</formula>
    </cfRule>
  </conditionalFormatting>
  <conditionalFormatting sqref="H49">
    <cfRule type="expression" dxfId="7691" priority="159">
      <formula>B49=""</formula>
    </cfRule>
  </conditionalFormatting>
  <conditionalFormatting sqref="F30 F32 F34 F36 F38 F40 F42 F44 F46 F48">
    <cfRule type="expression" dxfId="7690" priority="158">
      <formula>B30=""</formula>
    </cfRule>
  </conditionalFormatting>
  <conditionalFormatting sqref="F31 F33 F35 F37 F39 F41 F43 F45 F47 F49">
    <cfRule type="expression" dxfId="7689" priority="157">
      <formula>B31=""</formula>
    </cfRule>
  </conditionalFormatting>
  <conditionalFormatting sqref="F32:F42">
    <cfRule type="expression" dxfId="7688" priority="156">
      <formula>B32=""</formula>
    </cfRule>
  </conditionalFormatting>
  <conditionalFormatting sqref="F43">
    <cfRule type="expression" dxfId="7687" priority="155">
      <formula>B43=""</formula>
    </cfRule>
  </conditionalFormatting>
  <conditionalFormatting sqref="F44">
    <cfRule type="expression" dxfId="7686" priority="154">
      <formula>B44=""</formula>
    </cfRule>
  </conditionalFormatting>
  <conditionalFormatting sqref="F45">
    <cfRule type="expression" dxfId="7685" priority="153">
      <formula>B45=""</formula>
    </cfRule>
  </conditionalFormatting>
  <conditionalFormatting sqref="F46">
    <cfRule type="expression" dxfId="7684" priority="152">
      <formula>B46=""</formula>
    </cfRule>
  </conditionalFormatting>
  <conditionalFormatting sqref="F47">
    <cfRule type="expression" dxfId="7683" priority="151">
      <formula>B47=""</formula>
    </cfRule>
  </conditionalFormatting>
  <conditionalFormatting sqref="F48">
    <cfRule type="expression" dxfId="7682" priority="150">
      <formula>B48=""</formula>
    </cfRule>
  </conditionalFormatting>
  <conditionalFormatting sqref="F49">
    <cfRule type="expression" dxfId="7681" priority="149">
      <formula>B49=""</formula>
    </cfRule>
  </conditionalFormatting>
  <conditionalFormatting sqref="C52:C71">
    <cfRule type="expression" dxfId="7680" priority="146">
      <formula>B52=""</formula>
    </cfRule>
  </conditionalFormatting>
  <conditionalFormatting sqref="C53 C55 C57 C59 C61 C63 C65 C67 C69 C71">
    <cfRule type="expression" dxfId="7679" priority="145">
      <formula>B53=""</formula>
    </cfRule>
  </conditionalFormatting>
  <conditionalFormatting sqref="C54:C64">
    <cfRule type="expression" dxfId="7678" priority="144">
      <formula>B54=""</formula>
    </cfRule>
  </conditionalFormatting>
  <conditionalFormatting sqref="C65">
    <cfRule type="expression" dxfId="7677" priority="143">
      <formula>B65=""</formula>
    </cfRule>
  </conditionalFormatting>
  <conditionalFormatting sqref="C66">
    <cfRule type="expression" dxfId="7676" priority="142">
      <formula>B66=""</formula>
    </cfRule>
  </conditionalFormatting>
  <conditionalFormatting sqref="C67">
    <cfRule type="expression" dxfId="7675" priority="141">
      <formula>B67=""</formula>
    </cfRule>
  </conditionalFormatting>
  <conditionalFormatting sqref="C68">
    <cfRule type="expression" dxfId="7674" priority="140">
      <formula>B68=""</formula>
    </cfRule>
  </conditionalFormatting>
  <conditionalFormatting sqref="C69">
    <cfRule type="expression" dxfId="7673" priority="139">
      <formula>B69=""</formula>
    </cfRule>
  </conditionalFormatting>
  <conditionalFormatting sqref="C70">
    <cfRule type="expression" dxfId="7672" priority="138">
      <formula>B70=""</formula>
    </cfRule>
  </conditionalFormatting>
  <conditionalFormatting sqref="C71">
    <cfRule type="expression" dxfId="7671" priority="137">
      <formula>B71=""</formula>
    </cfRule>
  </conditionalFormatting>
  <conditionalFormatting sqref="C71">
    <cfRule type="expression" dxfId="7670" priority="135">
      <formula>B71=""</formula>
    </cfRule>
  </conditionalFormatting>
  <conditionalFormatting sqref="C52:C71">
    <cfRule type="expression" dxfId="7669" priority="133">
      <formula>B52=""</formula>
    </cfRule>
  </conditionalFormatting>
  <conditionalFormatting sqref="C53 C55 C57 C59 C61 C63 C65 C67 C69 C71">
    <cfRule type="expression" dxfId="7668" priority="132">
      <formula>B53=""</formula>
    </cfRule>
  </conditionalFormatting>
  <conditionalFormatting sqref="C54:C64">
    <cfRule type="expression" dxfId="7667" priority="131">
      <formula>B54=""</formula>
    </cfRule>
  </conditionalFormatting>
  <conditionalFormatting sqref="C65">
    <cfRule type="expression" dxfId="7666" priority="130">
      <formula>B65=""</formula>
    </cfRule>
  </conditionalFormatting>
  <conditionalFormatting sqref="C66">
    <cfRule type="expression" dxfId="7665" priority="129">
      <formula>B66=""</formula>
    </cfRule>
  </conditionalFormatting>
  <conditionalFormatting sqref="C67">
    <cfRule type="expression" dxfId="7664" priority="128">
      <formula>B67=""</formula>
    </cfRule>
  </conditionalFormatting>
  <conditionalFormatting sqref="C68">
    <cfRule type="expression" dxfId="7663" priority="127">
      <formula>B68=""</formula>
    </cfRule>
  </conditionalFormatting>
  <conditionalFormatting sqref="C69">
    <cfRule type="expression" dxfId="7662" priority="126">
      <formula>B69=""</formula>
    </cfRule>
  </conditionalFormatting>
  <conditionalFormatting sqref="C70">
    <cfRule type="expression" dxfId="7661" priority="125">
      <formula>B70=""</formula>
    </cfRule>
  </conditionalFormatting>
  <conditionalFormatting sqref="C71">
    <cfRule type="expression" dxfId="7660" priority="124">
      <formula>B71=""</formula>
    </cfRule>
  </conditionalFormatting>
  <conditionalFormatting sqref="C52:C71">
    <cfRule type="expression" dxfId="7659" priority="122">
      <formula>B52=""</formula>
    </cfRule>
  </conditionalFormatting>
  <conditionalFormatting sqref="C53 C55 C57 C59 C61 C63 C65 C67 C69 C71">
    <cfRule type="expression" dxfId="7658" priority="121">
      <formula>B53=""</formula>
    </cfRule>
  </conditionalFormatting>
  <conditionalFormatting sqref="C54:C64">
    <cfRule type="expression" dxfId="7657" priority="120">
      <formula>B54=""</formula>
    </cfRule>
  </conditionalFormatting>
  <conditionalFormatting sqref="C65">
    <cfRule type="expression" dxfId="7656" priority="119">
      <formula>B65=""</formula>
    </cfRule>
  </conditionalFormatting>
  <conditionalFormatting sqref="C66">
    <cfRule type="expression" dxfId="7655" priority="118">
      <formula>B66=""</formula>
    </cfRule>
  </conditionalFormatting>
  <conditionalFormatting sqref="C67">
    <cfRule type="expression" dxfId="7654" priority="117">
      <formula>B67=""</formula>
    </cfRule>
  </conditionalFormatting>
  <conditionalFormatting sqref="C68">
    <cfRule type="expression" dxfId="7653" priority="116">
      <formula>B68=""</formula>
    </cfRule>
  </conditionalFormatting>
  <conditionalFormatting sqref="C69">
    <cfRule type="expression" dxfId="7652" priority="115">
      <formula>B69=""</formula>
    </cfRule>
  </conditionalFormatting>
  <conditionalFormatting sqref="C70">
    <cfRule type="expression" dxfId="7651" priority="114">
      <formula>B70=""</formula>
    </cfRule>
  </conditionalFormatting>
  <conditionalFormatting sqref="C71">
    <cfRule type="expression" dxfId="7650" priority="113">
      <formula>B71=""</formula>
    </cfRule>
  </conditionalFormatting>
  <conditionalFormatting sqref="C52:C71">
    <cfRule type="expression" dxfId="7649" priority="111">
      <formula>B52=""</formula>
    </cfRule>
  </conditionalFormatting>
  <conditionalFormatting sqref="C53 C55 C57 C59 C61 C63 C65 C67 C69 C71">
    <cfRule type="expression" dxfId="7648" priority="110">
      <formula>B53=""</formula>
    </cfRule>
  </conditionalFormatting>
  <conditionalFormatting sqref="C54:C64">
    <cfRule type="expression" dxfId="7647" priority="109">
      <formula>B54=""</formula>
    </cfRule>
  </conditionalFormatting>
  <conditionalFormatting sqref="C65">
    <cfRule type="expression" dxfId="7646" priority="108">
      <formula>B65=""</formula>
    </cfRule>
  </conditionalFormatting>
  <conditionalFormatting sqref="C66">
    <cfRule type="expression" dxfId="7645" priority="107">
      <formula>B66=""</formula>
    </cfRule>
  </conditionalFormatting>
  <conditionalFormatting sqref="C67">
    <cfRule type="expression" dxfId="7644" priority="106">
      <formula>B67=""</formula>
    </cfRule>
  </conditionalFormatting>
  <conditionalFormatting sqref="C68">
    <cfRule type="expression" dxfId="7643" priority="105">
      <formula>B68=""</formula>
    </cfRule>
  </conditionalFormatting>
  <conditionalFormatting sqref="C69">
    <cfRule type="expression" dxfId="7642" priority="104">
      <formula>B69=""</formula>
    </cfRule>
  </conditionalFormatting>
  <conditionalFormatting sqref="C70">
    <cfRule type="expression" dxfId="7641" priority="103">
      <formula>B70=""</formula>
    </cfRule>
  </conditionalFormatting>
  <conditionalFormatting sqref="C71">
    <cfRule type="expression" dxfId="7640" priority="102">
      <formula>B71=""</formula>
    </cfRule>
  </conditionalFormatting>
  <conditionalFormatting sqref="C52 C54 C56 C58 C60 C62 C64 C66 C68 C70">
    <cfRule type="expression" dxfId="7639" priority="100">
      <formula>B52=""</formula>
    </cfRule>
  </conditionalFormatting>
  <conditionalFormatting sqref="C53 C55 C57 C59 C61 C63 C65 C67 C69 C71">
    <cfRule type="expression" dxfId="7638" priority="99">
      <formula>B53=""</formula>
    </cfRule>
  </conditionalFormatting>
  <conditionalFormatting sqref="C54:C64">
    <cfRule type="expression" dxfId="7637" priority="98">
      <formula>B54=""</formula>
    </cfRule>
  </conditionalFormatting>
  <conditionalFormatting sqref="C65">
    <cfRule type="expression" dxfId="7636" priority="97">
      <formula>B65=""</formula>
    </cfRule>
  </conditionalFormatting>
  <conditionalFormatting sqref="C66">
    <cfRule type="expression" dxfId="7635" priority="96">
      <formula>B66=""</formula>
    </cfRule>
  </conditionalFormatting>
  <conditionalFormatting sqref="C67">
    <cfRule type="expression" dxfId="7634" priority="95">
      <formula>B67=""</formula>
    </cfRule>
  </conditionalFormatting>
  <conditionalFormatting sqref="C68">
    <cfRule type="expression" dxfId="7633" priority="94">
      <formula>B68=""</formula>
    </cfRule>
  </conditionalFormatting>
  <conditionalFormatting sqref="C69">
    <cfRule type="expression" dxfId="7632" priority="93">
      <formula>B69=""</formula>
    </cfRule>
  </conditionalFormatting>
  <conditionalFormatting sqref="C70">
    <cfRule type="expression" dxfId="7631" priority="92">
      <formula>B70=""</formula>
    </cfRule>
  </conditionalFormatting>
  <conditionalFormatting sqref="C71">
    <cfRule type="expression" dxfId="7630" priority="91">
      <formula>B71=""</formula>
    </cfRule>
  </conditionalFormatting>
  <conditionalFormatting sqref="C74:C93">
    <cfRule type="expression" dxfId="7629" priority="88">
      <formula>B74=""</formula>
    </cfRule>
  </conditionalFormatting>
  <conditionalFormatting sqref="C75 C77 C79 C81 C83 C85 C87 C89 C91 C93">
    <cfRule type="expression" dxfId="7628" priority="87">
      <formula>B75=""</formula>
    </cfRule>
  </conditionalFormatting>
  <conditionalFormatting sqref="C76:C86">
    <cfRule type="expression" dxfId="7627" priority="86">
      <formula>B76=""</formula>
    </cfRule>
  </conditionalFormatting>
  <conditionalFormatting sqref="C87">
    <cfRule type="expression" dxfId="7626" priority="85">
      <formula>B87=""</formula>
    </cfRule>
  </conditionalFormatting>
  <conditionalFormatting sqref="C88">
    <cfRule type="expression" dxfId="7625" priority="84">
      <formula>B88=""</formula>
    </cfRule>
  </conditionalFormatting>
  <conditionalFormatting sqref="C89">
    <cfRule type="expression" dxfId="7624" priority="83">
      <formula>B89=""</formula>
    </cfRule>
  </conditionalFormatting>
  <conditionalFormatting sqref="C90">
    <cfRule type="expression" dxfId="7623" priority="82">
      <formula>B90=""</formula>
    </cfRule>
  </conditionalFormatting>
  <conditionalFormatting sqref="C91">
    <cfRule type="expression" dxfId="7622" priority="81">
      <formula>B91=""</formula>
    </cfRule>
  </conditionalFormatting>
  <conditionalFormatting sqref="C92">
    <cfRule type="expression" dxfId="7621" priority="80">
      <formula>B92=""</formula>
    </cfRule>
  </conditionalFormatting>
  <conditionalFormatting sqref="C93">
    <cfRule type="expression" dxfId="7620" priority="79">
      <formula>B93=""</formula>
    </cfRule>
  </conditionalFormatting>
  <conditionalFormatting sqref="C93">
    <cfRule type="expression" dxfId="7619" priority="77">
      <formula>B93=""</formula>
    </cfRule>
  </conditionalFormatting>
  <conditionalFormatting sqref="C74:C93">
    <cfRule type="expression" dxfId="7618" priority="75">
      <formula>B74=""</formula>
    </cfRule>
  </conditionalFormatting>
  <conditionalFormatting sqref="C75 C77 C79 C81 C83 C85 C87 C89 C91 C93">
    <cfRule type="expression" dxfId="7617" priority="74">
      <formula>B75=""</formula>
    </cfRule>
  </conditionalFormatting>
  <conditionalFormatting sqref="C76:C86">
    <cfRule type="expression" dxfId="7616" priority="73">
      <formula>B76=""</formula>
    </cfRule>
  </conditionalFormatting>
  <conditionalFormatting sqref="C87">
    <cfRule type="expression" dxfId="7615" priority="72">
      <formula>B87=""</formula>
    </cfRule>
  </conditionalFormatting>
  <conditionalFormatting sqref="C88">
    <cfRule type="expression" dxfId="7614" priority="71">
      <formula>B88=""</formula>
    </cfRule>
  </conditionalFormatting>
  <conditionalFormatting sqref="C89">
    <cfRule type="expression" dxfId="7613" priority="70">
      <formula>B89=""</formula>
    </cfRule>
  </conditionalFormatting>
  <conditionalFormatting sqref="C90">
    <cfRule type="expression" dxfId="7612" priority="69">
      <formula>B90=""</formula>
    </cfRule>
  </conditionalFormatting>
  <conditionalFormatting sqref="C91">
    <cfRule type="expression" dxfId="7611" priority="68">
      <formula>B91=""</formula>
    </cfRule>
  </conditionalFormatting>
  <conditionalFormatting sqref="C92">
    <cfRule type="expression" dxfId="7610" priority="67">
      <formula>B92=""</formula>
    </cfRule>
  </conditionalFormatting>
  <conditionalFormatting sqref="C93">
    <cfRule type="expression" dxfId="7609" priority="66">
      <formula>B93=""</formula>
    </cfRule>
  </conditionalFormatting>
  <conditionalFormatting sqref="C74:C93">
    <cfRule type="expression" dxfId="7608" priority="63">
      <formula>B74=""</formula>
    </cfRule>
  </conditionalFormatting>
  <conditionalFormatting sqref="C75 C77 C79 C81 C83 C85 C87 C89 C91 C93">
    <cfRule type="expression" dxfId="7607" priority="62">
      <formula>B75=""</formula>
    </cfRule>
  </conditionalFormatting>
  <conditionalFormatting sqref="C76:C86">
    <cfRule type="expression" dxfId="7606" priority="61">
      <formula>B76=""</formula>
    </cfRule>
  </conditionalFormatting>
  <conditionalFormatting sqref="C87">
    <cfRule type="expression" dxfId="7605" priority="60">
      <formula>B87=""</formula>
    </cfRule>
  </conditionalFormatting>
  <conditionalFormatting sqref="C88">
    <cfRule type="expression" dxfId="7604" priority="59">
      <formula>B88=""</formula>
    </cfRule>
  </conditionalFormatting>
  <conditionalFormatting sqref="C89">
    <cfRule type="expression" dxfId="7603" priority="58">
      <formula>B89=""</formula>
    </cfRule>
  </conditionalFormatting>
  <conditionalFormatting sqref="C90">
    <cfRule type="expression" dxfId="7602" priority="57">
      <formula>B90=""</formula>
    </cfRule>
  </conditionalFormatting>
  <conditionalFormatting sqref="C91">
    <cfRule type="expression" dxfId="7601" priority="56">
      <formula>B91=""</formula>
    </cfRule>
  </conditionalFormatting>
  <conditionalFormatting sqref="C92">
    <cfRule type="expression" dxfId="7600" priority="55">
      <formula>B92=""</formula>
    </cfRule>
  </conditionalFormatting>
  <conditionalFormatting sqref="C93">
    <cfRule type="expression" dxfId="7599" priority="54">
      <formula>B93=""</formula>
    </cfRule>
  </conditionalFormatting>
  <conditionalFormatting sqref="C93">
    <cfRule type="expression" dxfId="7598" priority="52">
      <formula>B93=""</formula>
    </cfRule>
  </conditionalFormatting>
  <conditionalFormatting sqref="C74:C93">
    <cfRule type="expression" dxfId="7597" priority="50">
      <formula>B74=""</formula>
    </cfRule>
  </conditionalFormatting>
  <conditionalFormatting sqref="C75 C77 C79 C81 C83 C85 C87 C89 C91 C93">
    <cfRule type="expression" dxfId="7596" priority="49">
      <formula>B75=""</formula>
    </cfRule>
  </conditionalFormatting>
  <conditionalFormatting sqref="C76:C86">
    <cfRule type="expression" dxfId="7595" priority="48">
      <formula>B76=""</formula>
    </cfRule>
  </conditionalFormatting>
  <conditionalFormatting sqref="C87">
    <cfRule type="expression" dxfId="7594" priority="47">
      <formula>B87=""</formula>
    </cfRule>
  </conditionalFormatting>
  <conditionalFormatting sqref="C88">
    <cfRule type="expression" dxfId="7593" priority="46">
      <formula>B88=""</formula>
    </cfRule>
  </conditionalFormatting>
  <conditionalFormatting sqref="C89">
    <cfRule type="expression" dxfId="7592" priority="45">
      <formula>B89=""</formula>
    </cfRule>
  </conditionalFormatting>
  <conditionalFormatting sqref="C90">
    <cfRule type="expression" dxfId="7591" priority="44">
      <formula>B90=""</formula>
    </cfRule>
  </conditionalFormatting>
  <conditionalFormatting sqref="C91">
    <cfRule type="expression" dxfId="7590" priority="43">
      <formula>B91=""</formula>
    </cfRule>
  </conditionalFormatting>
  <conditionalFormatting sqref="C92">
    <cfRule type="expression" dxfId="7589" priority="42">
      <formula>B92=""</formula>
    </cfRule>
  </conditionalFormatting>
  <conditionalFormatting sqref="C93">
    <cfRule type="expression" dxfId="7588" priority="41">
      <formula>B93=""</formula>
    </cfRule>
  </conditionalFormatting>
  <conditionalFormatting sqref="C74:C93">
    <cfRule type="expression" dxfId="7587" priority="39">
      <formula>B74=""</formula>
    </cfRule>
  </conditionalFormatting>
  <conditionalFormatting sqref="C75 C77 C79 C81 C83 C85 C87 C89 C91 C93">
    <cfRule type="expression" dxfId="7586" priority="38">
      <formula>B75=""</formula>
    </cfRule>
  </conditionalFormatting>
  <conditionalFormatting sqref="C76:C86">
    <cfRule type="expression" dxfId="7585" priority="37">
      <formula>B76=""</formula>
    </cfRule>
  </conditionalFormatting>
  <conditionalFormatting sqref="C87">
    <cfRule type="expression" dxfId="7584" priority="36">
      <formula>B87=""</formula>
    </cfRule>
  </conditionalFormatting>
  <conditionalFormatting sqref="C88">
    <cfRule type="expression" dxfId="7583" priority="35">
      <formula>B88=""</formula>
    </cfRule>
  </conditionalFormatting>
  <conditionalFormatting sqref="C89">
    <cfRule type="expression" dxfId="7582" priority="34">
      <formula>B89=""</formula>
    </cfRule>
  </conditionalFormatting>
  <conditionalFormatting sqref="C90">
    <cfRule type="expression" dxfId="7581" priority="33">
      <formula>B90=""</formula>
    </cfRule>
  </conditionalFormatting>
  <conditionalFormatting sqref="C91">
    <cfRule type="expression" dxfId="7580" priority="32">
      <formula>B91=""</formula>
    </cfRule>
  </conditionalFormatting>
  <conditionalFormatting sqref="C92">
    <cfRule type="expression" dxfId="7579" priority="31">
      <formula>B92=""</formula>
    </cfRule>
  </conditionalFormatting>
  <conditionalFormatting sqref="C93">
    <cfRule type="expression" dxfId="7578" priority="30">
      <formula>B93=""</formula>
    </cfRule>
  </conditionalFormatting>
  <conditionalFormatting sqref="C74:C93">
    <cfRule type="expression" dxfId="7577" priority="28">
      <formula>B74=""</formula>
    </cfRule>
  </conditionalFormatting>
  <conditionalFormatting sqref="C75 C77 C79 C81 C83 C85 C87 C89 C91 C93">
    <cfRule type="expression" dxfId="7576" priority="27">
      <formula>B75=""</formula>
    </cfRule>
  </conditionalFormatting>
  <conditionalFormatting sqref="C76:C86">
    <cfRule type="expression" dxfId="7575" priority="26">
      <formula>B76=""</formula>
    </cfRule>
  </conditionalFormatting>
  <conditionalFormatting sqref="C87">
    <cfRule type="expression" dxfId="7574" priority="25">
      <formula>B87=""</formula>
    </cfRule>
  </conditionalFormatting>
  <conditionalFormatting sqref="C88">
    <cfRule type="expression" dxfId="7573" priority="24">
      <formula>B88=""</formula>
    </cfRule>
  </conditionalFormatting>
  <conditionalFormatting sqref="C89">
    <cfRule type="expression" dxfId="7572" priority="23">
      <formula>B89=""</formula>
    </cfRule>
  </conditionalFormatting>
  <conditionalFormatting sqref="C90">
    <cfRule type="expression" dxfId="7571" priority="22">
      <formula>B90=""</formula>
    </cfRule>
  </conditionalFormatting>
  <conditionalFormatting sqref="C91">
    <cfRule type="expression" dxfId="7570" priority="21">
      <formula>B91=""</formula>
    </cfRule>
  </conditionalFormatting>
  <conditionalFormatting sqref="C92">
    <cfRule type="expression" dxfId="7569" priority="20">
      <formula>B92=""</formula>
    </cfRule>
  </conditionalFormatting>
  <conditionalFormatting sqref="C93">
    <cfRule type="expression" dxfId="7568" priority="19">
      <formula>B93=""</formula>
    </cfRule>
  </conditionalFormatting>
  <conditionalFormatting sqref="C74 C76 C78 C80 C82 C84 C86 C88 C90 C92">
    <cfRule type="expression" dxfId="7567" priority="17">
      <formula>B74=""</formula>
    </cfRule>
  </conditionalFormatting>
  <conditionalFormatting sqref="C75 C77 C79 C81 C83 C85 C87 C89 C91 C93">
    <cfRule type="expression" dxfId="7566" priority="16">
      <formula>B75=""</formula>
    </cfRule>
  </conditionalFormatting>
  <conditionalFormatting sqref="C76:C86">
    <cfRule type="expression" dxfId="7565" priority="15">
      <formula>B76=""</formula>
    </cfRule>
  </conditionalFormatting>
  <conditionalFormatting sqref="C87">
    <cfRule type="expression" dxfId="7564" priority="14">
      <formula>B87=""</formula>
    </cfRule>
  </conditionalFormatting>
  <conditionalFormatting sqref="C88">
    <cfRule type="expression" dxfId="7563" priority="13">
      <formula>B88=""</formula>
    </cfRule>
  </conditionalFormatting>
  <conditionalFormatting sqref="C89">
    <cfRule type="expression" dxfId="7562" priority="12">
      <formula>B89=""</formula>
    </cfRule>
  </conditionalFormatting>
  <conditionalFormatting sqref="C90">
    <cfRule type="expression" dxfId="7561" priority="11">
      <formula>B90=""</formula>
    </cfRule>
  </conditionalFormatting>
  <conditionalFormatting sqref="C91">
    <cfRule type="expression" dxfId="7560" priority="10">
      <formula>B91=""</formula>
    </cfRule>
  </conditionalFormatting>
  <conditionalFormatting sqref="C92">
    <cfRule type="expression" dxfId="7559" priority="9">
      <formula>B92=""</formula>
    </cfRule>
  </conditionalFormatting>
  <conditionalFormatting sqref="C93">
    <cfRule type="expression" dxfId="7558" priority="8">
      <formula>B93=""</formula>
    </cfRule>
  </conditionalFormatting>
  <conditionalFormatting sqref="C8:C27">
    <cfRule type="expression" dxfId="7557" priority="7">
      <formula>B8=""</formula>
    </cfRule>
  </conditionalFormatting>
  <conditionalFormatting sqref="C9 C11 C13 C15 C17 C19 C21:C27">
    <cfRule type="expression" dxfId="7556" priority="6">
      <formula>B9=""</formula>
    </cfRule>
  </conditionalFormatting>
  <conditionalFormatting sqref="C8:C27">
    <cfRule type="expression" dxfId="7555" priority="5">
      <formula>B8=""</formula>
    </cfRule>
  </conditionalFormatting>
  <conditionalFormatting sqref="C9 C11 C13 C15 C17 C19 C21:C27">
    <cfRule type="expression" dxfId="7554" priority="4">
      <formula>B9=""</formula>
    </cfRule>
  </conditionalFormatting>
  <conditionalFormatting sqref="C8:C27">
    <cfRule type="expression" dxfId="7553" priority="3">
      <formula>B8=""</formula>
    </cfRule>
  </conditionalFormatting>
  <conditionalFormatting sqref="C9 C11 C13 C15 C17 C19 C21:C27">
    <cfRule type="expression" dxfId="7552" priority="2">
      <formula>B9=""</formula>
    </cfRule>
  </conditionalFormatting>
  <conditionalFormatting sqref="B8:B27">
    <cfRule type="containsBlanks" dxfId="7551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DATA!B1011</f>
        <v>Structures</v>
      </c>
    </row>
    <row r="2" spans="2:8" ht="25.8">
      <c r="C2" s="232" t="str">
        <f>'All Hours'!D1</f>
        <v>PLEASE INSERT TENDERER NAME ON INPUT DATA SHEET</v>
      </c>
      <c r="E2" s="920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DATA!B1011</f>
        <v>Structures</v>
      </c>
      <c r="C6" s="26"/>
      <c r="D6" s="211" t="s">
        <v>6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3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5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210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210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5"/>
      <c r="F40" s="16"/>
      <c r="G40" s="61"/>
      <c r="H40" s="62"/>
    </row>
    <row r="41" spans="2:8" hidden="1">
      <c r="B41" s="118"/>
      <c r="C41" s="210"/>
      <c r="D41" s="59"/>
      <c r="E41" s="895"/>
      <c r="F41" s="16"/>
      <c r="G41" s="61"/>
      <c r="H41" s="62"/>
    </row>
    <row r="42" spans="2:8" hidden="1">
      <c r="B42" s="118"/>
      <c r="C42" s="210"/>
      <c r="D42" s="59"/>
      <c r="E42" s="895"/>
      <c r="F42" s="16"/>
      <c r="G42" s="61"/>
      <c r="H42" s="62"/>
    </row>
    <row r="43" spans="2:8" hidden="1">
      <c r="B43" s="118"/>
      <c r="C43" s="210"/>
      <c r="D43" s="59"/>
      <c r="E43" s="895"/>
      <c r="F43" s="16"/>
      <c r="G43" s="61"/>
      <c r="H43" s="62"/>
    </row>
    <row r="44" spans="2:8" hidden="1">
      <c r="B44" s="118"/>
      <c r="C44" s="210"/>
      <c r="D44" s="59"/>
      <c r="E44" s="895"/>
      <c r="F44" s="16"/>
      <c r="G44" s="61"/>
      <c r="H44" s="62"/>
    </row>
    <row r="45" spans="2:8" hidden="1">
      <c r="B45" s="118"/>
      <c r="C45" s="210"/>
      <c r="D45" s="59"/>
      <c r="E45" s="895"/>
      <c r="F45" s="16"/>
      <c r="G45" s="61"/>
      <c r="H45" s="62"/>
    </row>
    <row r="46" spans="2:8" hidden="1">
      <c r="B46" s="118"/>
      <c r="C46" s="210"/>
      <c r="D46" s="59"/>
      <c r="E46" s="895"/>
      <c r="F46" s="16"/>
      <c r="G46" s="61"/>
      <c r="H46" s="62"/>
    </row>
    <row r="47" spans="2:8" hidden="1">
      <c r="B47" s="118"/>
      <c r="C47" s="210"/>
      <c r="D47" s="59"/>
      <c r="E47" s="895"/>
      <c r="F47" s="16"/>
      <c r="G47" s="61"/>
      <c r="H47" s="62"/>
    </row>
    <row r="48" spans="2:8" hidden="1">
      <c r="B48" s="118"/>
      <c r="C48" s="210"/>
      <c r="D48" s="59"/>
      <c r="E48" s="895"/>
      <c r="F48" s="16"/>
      <c r="G48" s="61"/>
      <c r="H48" s="62"/>
    </row>
    <row r="49" spans="2:8" hidden="1">
      <c r="B49" s="118"/>
      <c r="C49" s="210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210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210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9"/>
      <c r="F62" s="16"/>
      <c r="G62" s="6"/>
      <c r="H62" s="7"/>
    </row>
    <row r="63" spans="2:8" hidden="1">
      <c r="B63" s="118"/>
      <c r="C63" s="210"/>
      <c r="D63" s="5"/>
      <c r="E63" s="899"/>
      <c r="F63" s="16"/>
      <c r="G63" s="6"/>
      <c r="H63" s="7"/>
    </row>
    <row r="64" spans="2:8" hidden="1">
      <c r="B64" s="118"/>
      <c r="C64" s="210"/>
      <c r="D64" s="5"/>
      <c r="E64" s="899"/>
      <c r="F64" s="16"/>
      <c r="G64" s="6"/>
      <c r="H64" s="7"/>
    </row>
    <row r="65" spans="2:8" hidden="1">
      <c r="B65" s="118"/>
      <c r="C65" s="210"/>
      <c r="D65" s="5"/>
      <c r="E65" s="899"/>
      <c r="F65" s="16"/>
      <c r="G65" s="6"/>
      <c r="H65" s="7"/>
    </row>
    <row r="66" spans="2:8" hidden="1">
      <c r="B66" s="118"/>
      <c r="C66" s="210"/>
      <c r="D66" s="5"/>
      <c r="E66" s="899"/>
      <c r="F66" s="16"/>
      <c r="G66" s="6"/>
      <c r="H66" s="7"/>
    </row>
    <row r="67" spans="2:8" hidden="1">
      <c r="B67" s="118"/>
      <c r="C67" s="210"/>
      <c r="D67" s="5"/>
      <c r="E67" s="899"/>
      <c r="F67" s="16"/>
      <c r="G67" s="6"/>
      <c r="H67" s="7"/>
    </row>
    <row r="68" spans="2:8" hidden="1">
      <c r="B68" s="118"/>
      <c r="C68" s="210"/>
      <c r="D68" s="5"/>
      <c r="E68" s="899"/>
      <c r="F68" s="16"/>
      <c r="G68" s="6"/>
      <c r="H68" s="7"/>
    </row>
    <row r="69" spans="2:8" hidden="1">
      <c r="B69" s="118"/>
      <c r="C69" s="210"/>
      <c r="D69" s="5"/>
      <c r="E69" s="899"/>
      <c r="F69" s="16"/>
      <c r="G69" s="6"/>
      <c r="H69" s="7"/>
    </row>
    <row r="70" spans="2:8" hidden="1">
      <c r="B70" s="118"/>
      <c r="C70" s="210"/>
      <c r="D70" s="5"/>
      <c r="E70" s="899"/>
      <c r="F70" s="16"/>
      <c r="G70" s="6"/>
      <c r="H70" s="7"/>
    </row>
    <row r="71" spans="2:8" hidden="1">
      <c r="B71" s="118"/>
      <c r="C71" s="210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210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210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9"/>
      <c r="F84" s="16"/>
      <c r="G84" s="6"/>
      <c r="H84" s="7"/>
    </row>
    <row r="85" spans="2:8" hidden="1">
      <c r="B85" s="118"/>
      <c r="C85" s="210"/>
      <c r="D85" s="5"/>
      <c r="E85" s="899"/>
      <c r="F85" s="16"/>
      <c r="G85" s="6"/>
      <c r="H85" s="7"/>
    </row>
    <row r="86" spans="2:8" hidden="1">
      <c r="B86" s="118"/>
      <c r="C86" s="210"/>
      <c r="D86" s="5"/>
      <c r="E86" s="899"/>
      <c r="F86" s="16"/>
      <c r="G86" s="6"/>
      <c r="H86" s="7"/>
    </row>
    <row r="87" spans="2:8" hidden="1">
      <c r="B87" s="118"/>
      <c r="C87" s="210"/>
      <c r="D87" s="5"/>
      <c r="E87" s="899"/>
      <c r="F87" s="16"/>
      <c r="G87" s="6"/>
      <c r="H87" s="7"/>
    </row>
    <row r="88" spans="2:8" hidden="1">
      <c r="B88" s="118"/>
      <c r="C88" s="210"/>
      <c r="D88" s="5"/>
      <c r="E88" s="899"/>
      <c r="F88" s="16"/>
      <c r="G88" s="6"/>
      <c r="H88" s="7"/>
    </row>
    <row r="89" spans="2:8" hidden="1">
      <c r="B89" s="118"/>
      <c r="C89" s="210"/>
      <c r="D89" s="5"/>
      <c r="E89" s="899"/>
      <c r="F89" s="16"/>
      <c r="G89" s="6"/>
      <c r="H89" s="7"/>
    </row>
    <row r="90" spans="2:8" hidden="1">
      <c r="B90" s="118"/>
      <c r="C90" s="210"/>
      <c r="D90" s="5"/>
      <c r="E90" s="899"/>
      <c r="F90" s="16"/>
      <c r="G90" s="6"/>
      <c r="H90" s="7"/>
    </row>
    <row r="91" spans="2:8" hidden="1">
      <c r="B91" s="118"/>
      <c r="C91" s="210"/>
      <c r="D91" s="5"/>
      <c r="E91" s="899"/>
      <c r="F91" s="16"/>
      <c r="G91" s="6"/>
      <c r="H91" s="7"/>
    </row>
    <row r="92" spans="2:8" hidden="1">
      <c r="B92" s="118"/>
      <c r="C92" s="210"/>
      <c r="D92" s="5"/>
      <c r="E92" s="899"/>
      <c r="F92" s="16"/>
      <c r="G92" s="6"/>
      <c r="H92" s="7"/>
    </row>
    <row r="93" spans="2:8" hidden="1">
      <c r="B93" s="118"/>
      <c r="C93" s="210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550" priority="747">
      <formula>LEN(TRIM(B8))=0</formula>
    </cfRule>
  </conditionalFormatting>
  <conditionalFormatting sqref="C8:C27">
    <cfRule type="expression" dxfId="7549" priority="746">
      <formula>B8=""</formula>
    </cfRule>
  </conditionalFormatting>
  <conditionalFormatting sqref="C9 C11 C13 C15 C17 C19 C21 C23 C25 C27">
    <cfRule type="expression" dxfId="7548" priority="745">
      <formula>B9=""</formula>
    </cfRule>
  </conditionalFormatting>
  <conditionalFormatting sqref="C10:C20">
    <cfRule type="expression" dxfId="7547" priority="744">
      <formula>B10=""</formula>
    </cfRule>
  </conditionalFormatting>
  <conditionalFormatting sqref="C21">
    <cfRule type="expression" dxfId="7546" priority="743">
      <formula>B21=""</formula>
    </cfRule>
  </conditionalFormatting>
  <conditionalFormatting sqref="C22">
    <cfRule type="expression" dxfId="7545" priority="742">
      <formula>B22=""</formula>
    </cfRule>
  </conditionalFormatting>
  <conditionalFormatting sqref="C23">
    <cfRule type="expression" dxfId="7544" priority="741">
      <formula>B23=""</formula>
    </cfRule>
  </conditionalFormatting>
  <conditionalFormatting sqref="C24">
    <cfRule type="expression" dxfId="7543" priority="740">
      <formula>B24=""</formula>
    </cfRule>
  </conditionalFormatting>
  <conditionalFormatting sqref="C25">
    <cfRule type="expression" dxfId="7542" priority="739">
      <formula>B25=""</formula>
    </cfRule>
  </conditionalFormatting>
  <conditionalFormatting sqref="C26">
    <cfRule type="expression" dxfId="7541" priority="738">
      <formula>B26=""</formula>
    </cfRule>
  </conditionalFormatting>
  <conditionalFormatting sqref="C27">
    <cfRule type="expression" dxfId="7540" priority="737">
      <formula>B27=""</formula>
    </cfRule>
  </conditionalFormatting>
  <conditionalFormatting sqref="C28">
    <cfRule type="expression" dxfId="7539" priority="736">
      <formula>B28=""</formula>
    </cfRule>
  </conditionalFormatting>
  <conditionalFormatting sqref="D8 D10 D12 D14 D16 D18 D20 D22 D24 D26">
    <cfRule type="expression" dxfId="7538" priority="735">
      <formula>B8=""</formula>
    </cfRule>
  </conditionalFormatting>
  <conditionalFormatting sqref="D9 D11 D13 D15 D17 D19 D21 D23 D25 D27">
    <cfRule type="expression" dxfId="7537" priority="734">
      <formula>B9=""</formula>
    </cfRule>
  </conditionalFormatting>
  <conditionalFormatting sqref="D10:D20">
    <cfRule type="expression" dxfId="7536" priority="733">
      <formula>B10=""</formula>
    </cfRule>
  </conditionalFormatting>
  <conditionalFormatting sqref="D21">
    <cfRule type="expression" dxfId="7535" priority="732">
      <formula>B21=""</formula>
    </cfRule>
  </conditionalFormatting>
  <conditionalFormatting sqref="D22">
    <cfRule type="expression" dxfId="7534" priority="731">
      <formula>B22=""</formula>
    </cfRule>
  </conditionalFormatting>
  <conditionalFormatting sqref="D23">
    <cfRule type="expression" dxfId="7533" priority="730">
      <formula>B23=""</formula>
    </cfRule>
  </conditionalFormatting>
  <conditionalFormatting sqref="D24">
    <cfRule type="expression" dxfId="7532" priority="729">
      <formula>B24=""</formula>
    </cfRule>
  </conditionalFormatting>
  <conditionalFormatting sqref="D25">
    <cfRule type="expression" dxfId="7531" priority="728">
      <formula>B25=""</formula>
    </cfRule>
  </conditionalFormatting>
  <conditionalFormatting sqref="D26">
    <cfRule type="expression" dxfId="7530" priority="727">
      <formula>B26=""</formula>
    </cfRule>
  </conditionalFormatting>
  <conditionalFormatting sqref="D27">
    <cfRule type="expression" dxfId="7529" priority="726">
      <formula>B27=""</formula>
    </cfRule>
  </conditionalFormatting>
  <conditionalFormatting sqref="D28">
    <cfRule type="expression" dxfId="7528" priority="725">
      <formula>B28=""</formula>
    </cfRule>
  </conditionalFormatting>
  <conditionalFormatting sqref="E8 E10 E12 E14 E16 E18 E20 E22 E24 E26">
    <cfRule type="expression" dxfId="7527" priority="724">
      <formula>B8=""</formula>
    </cfRule>
  </conditionalFormatting>
  <conditionalFormatting sqref="E9 E11 E13 E15 E17 E19 E21 E23 E25 E27">
    <cfRule type="expression" dxfId="7526" priority="723">
      <formula>B9=""</formula>
    </cfRule>
  </conditionalFormatting>
  <conditionalFormatting sqref="E10:E20">
    <cfRule type="expression" dxfId="7525" priority="722">
      <formula>B10=""</formula>
    </cfRule>
  </conditionalFormatting>
  <conditionalFormatting sqref="E21">
    <cfRule type="expression" dxfId="7524" priority="721">
      <formula>B21=""</formula>
    </cfRule>
  </conditionalFormatting>
  <conditionalFormatting sqref="E22">
    <cfRule type="expression" dxfId="7523" priority="720">
      <formula>B22=""</formula>
    </cfRule>
  </conditionalFormatting>
  <conditionalFormatting sqref="E23">
    <cfRule type="expression" dxfId="7522" priority="719">
      <formula>B23=""</formula>
    </cfRule>
  </conditionalFormatting>
  <conditionalFormatting sqref="E24">
    <cfRule type="expression" dxfId="7521" priority="718">
      <formula>B24=""</formula>
    </cfRule>
  </conditionalFormatting>
  <conditionalFormatting sqref="E25">
    <cfRule type="expression" dxfId="7520" priority="717">
      <formula>B25=""</formula>
    </cfRule>
  </conditionalFormatting>
  <conditionalFormatting sqref="E26">
    <cfRule type="expression" dxfId="7519" priority="716">
      <formula>B26=""</formula>
    </cfRule>
  </conditionalFormatting>
  <conditionalFormatting sqref="E27">
    <cfRule type="expression" dxfId="7518" priority="715">
      <formula>B27=""</formula>
    </cfRule>
  </conditionalFormatting>
  <conditionalFormatting sqref="E28">
    <cfRule type="expression" dxfId="7517" priority="714">
      <formula>B28=""</formula>
    </cfRule>
  </conditionalFormatting>
  <conditionalFormatting sqref="F8 F10 F12 F14 F16 F18 F20 F22 F24 F26">
    <cfRule type="expression" dxfId="7516" priority="713">
      <formula>B8=""</formula>
    </cfRule>
  </conditionalFormatting>
  <conditionalFormatting sqref="F9 F11 F13 F15 F17 F19 F21 F23 F25 F27">
    <cfRule type="expression" dxfId="7515" priority="712">
      <formula>B9=""</formula>
    </cfRule>
  </conditionalFormatting>
  <conditionalFormatting sqref="F10:F20">
    <cfRule type="expression" dxfId="7514" priority="711">
      <formula>B10=""</formula>
    </cfRule>
  </conditionalFormatting>
  <conditionalFormatting sqref="F21">
    <cfRule type="expression" dxfId="7513" priority="710">
      <formula>B21=""</formula>
    </cfRule>
  </conditionalFormatting>
  <conditionalFormatting sqref="F22">
    <cfRule type="expression" dxfId="7512" priority="709">
      <formula>B22=""</formula>
    </cfRule>
  </conditionalFormatting>
  <conditionalFormatting sqref="F23">
    <cfRule type="expression" dxfId="7511" priority="708">
      <formula>B23=""</formula>
    </cfRule>
  </conditionalFormatting>
  <conditionalFormatting sqref="F24">
    <cfRule type="expression" dxfId="7510" priority="707">
      <formula>B24=""</formula>
    </cfRule>
  </conditionalFormatting>
  <conditionalFormatting sqref="F25">
    <cfRule type="expression" dxfId="7509" priority="706">
      <formula>B25=""</formula>
    </cfRule>
  </conditionalFormatting>
  <conditionalFormatting sqref="F26">
    <cfRule type="expression" dxfId="7508" priority="705">
      <formula>B26=""</formula>
    </cfRule>
  </conditionalFormatting>
  <conditionalFormatting sqref="F27">
    <cfRule type="expression" dxfId="7507" priority="704">
      <formula>B27=""</formula>
    </cfRule>
  </conditionalFormatting>
  <conditionalFormatting sqref="F28">
    <cfRule type="expression" dxfId="7506" priority="703">
      <formula>B28=""</formula>
    </cfRule>
  </conditionalFormatting>
  <conditionalFormatting sqref="E9 E11 E13 E15 E17 E19 E21 E23 E25 E27">
    <cfRule type="expression" dxfId="7505" priority="702">
      <formula>B9=""</formula>
    </cfRule>
  </conditionalFormatting>
  <conditionalFormatting sqref="E10:E20">
    <cfRule type="expression" dxfId="7504" priority="701">
      <formula>B10=""</formula>
    </cfRule>
  </conditionalFormatting>
  <conditionalFormatting sqref="E21">
    <cfRule type="expression" dxfId="7503" priority="700">
      <formula>B21=""</formula>
    </cfRule>
  </conditionalFormatting>
  <conditionalFormatting sqref="E22">
    <cfRule type="expression" dxfId="7502" priority="699">
      <formula>B22=""</formula>
    </cfRule>
  </conditionalFormatting>
  <conditionalFormatting sqref="E23">
    <cfRule type="expression" dxfId="7501" priority="698">
      <formula>B23=""</formula>
    </cfRule>
  </conditionalFormatting>
  <conditionalFormatting sqref="E24">
    <cfRule type="expression" dxfId="7500" priority="697">
      <formula>B24=""</formula>
    </cfRule>
  </conditionalFormatting>
  <conditionalFormatting sqref="E25">
    <cfRule type="expression" dxfId="7499" priority="696">
      <formula>B25=""</formula>
    </cfRule>
  </conditionalFormatting>
  <conditionalFormatting sqref="E26">
    <cfRule type="expression" dxfId="7498" priority="695">
      <formula>B26=""</formula>
    </cfRule>
  </conditionalFormatting>
  <conditionalFormatting sqref="E27">
    <cfRule type="expression" dxfId="7497" priority="694">
      <formula>B27=""</formula>
    </cfRule>
  </conditionalFormatting>
  <conditionalFormatting sqref="E28">
    <cfRule type="expression" dxfId="7496" priority="693">
      <formula>B28=""</formula>
    </cfRule>
  </conditionalFormatting>
  <conditionalFormatting sqref="G8 G10 G12 G14 G16 G18 G20 G22 G24 G26">
    <cfRule type="expression" dxfId="7495" priority="692">
      <formula>B8=""</formula>
    </cfRule>
  </conditionalFormatting>
  <conditionalFormatting sqref="G9 G11 G13 G15 G17 G19 G21 G23 G25 G27">
    <cfRule type="expression" dxfId="7494" priority="691">
      <formula>B9=""</formula>
    </cfRule>
  </conditionalFormatting>
  <conditionalFormatting sqref="G10:G20">
    <cfRule type="expression" dxfId="7493" priority="690">
      <formula>B10=""</formula>
    </cfRule>
  </conditionalFormatting>
  <conditionalFormatting sqref="G21">
    <cfRule type="expression" dxfId="7492" priority="689">
      <formula>B21=""</formula>
    </cfRule>
  </conditionalFormatting>
  <conditionalFormatting sqref="G22">
    <cfRule type="expression" dxfId="7491" priority="688">
      <formula>B22=""</formula>
    </cfRule>
  </conditionalFormatting>
  <conditionalFormatting sqref="G23">
    <cfRule type="expression" dxfId="7490" priority="687">
      <formula>B23=""</formula>
    </cfRule>
  </conditionalFormatting>
  <conditionalFormatting sqref="G24">
    <cfRule type="expression" dxfId="7489" priority="686">
      <formula>B24=""</formula>
    </cfRule>
  </conditionalFormatting>
  <conditionalFormatting sqref="G25">
    <cfRule type="expression" dxfId="7488" priority="685">
      <formula>B25=""</formula>
    </cfRule>
  </conditionalFormatting>
  <conditionalFormatting sqref="G26">
    <cfRule type="expression" dxfId="7487" priority="684">
      <formula>B26=""</formula>
    </cfRule>
  </conditionalFormatting>
  <conditionalFormatting sqref="G27">
    <cfRule type="expression" dxfId="7486" priority="683">
      <formula>B27=""</formula>
    </cfRule>
  </conditionalFormatting>
  <conditionalFormatting sqref="G28">
    <cfRule type="expression" dxfId="7485" priority="682">
      <formula>B28=""</formula>
    </cfRule>
  </conditionalFormatting>
  <conditionalFormatting sqref="H8 H10 H12 H14 H16 H18 H20 H22 H24 H26">
    <cfRule type="expression" dxfId="7484" priority="681">
      <formula>B8=""</formula>
    </cfRule>
  </conditionalFormatting>
  <conditionalFormatting sqref="H9 H11 H13 H15 H17 H19 H21 H23 H25 H27">
    <cfRule type="expression" dxfId="7483" priority="680">
      <formula>B9=""</formula>
    </cfRule>
  </conditionalFormatting>
  <conditionalFormatting sqref="H10:H20">
    <cfRule type="expression" dxfId="7482" priority="679">
      <formula>B10=""</formula>
    </cfRule>
  </conditionalFormatting>
  <conditionalFormatting sqref="H21">
    <cfRule type="expression" dxfId="7481" priority="678">
      <formula>B21=""</formula>
    </cfRule>
  </conditionalFormatting>
  <conditionalFormatting sqref="H22">
    <cfRule type="expression" dxfId="7480" priority="677">
      <formula>B22=""</formula>
    </cfRule>
  </conditionalFormatting>
  <conditionalFormatting sqref="H23">
    <cfRule type="expression" dxfId="7479" priority="676">
      <formula>B23=""</formula>
    </cfRule>
  </conditionalFormatting>
  <conditionalFormatting sqref="H24">
    <cfRule type="expression" dxfId="7478" priority="675">
      <formula>B24=""</formula>
    </cfRule>
  </conditionalFormatting>
  <conditionalFormatting sqref="H25">
    <cfRule type="expression" dxfId="7477" priority="674">
      <formula>B25=""</formula>
    </cfRule>
  </conditionalFormatting>
  <conditionalFormatting sqref="H26">
    <cfRule type="expression" dxfId="7476" priority="673">
      <formula>B26=""</formula>
    </cfRule>
  </conditionalFormatting>
  <conditionalFormatting sqref="H27">
    <cfRule type="expression" dxfId="7475" priority="672">
      <formula>B27=""</formula>
    </cfRule>
  </conditionalFormatting>
  <conditionalFormatting sqref="H28">
    <cfRule type="expression" dxfId="7474" priority="671">
      <formula>B28=""</formula>
    </cfRule>
  </conditionalFormatting>
  <conditionalFormatting sqref="C30:C50">
    <cfRule type="expression" dxfId="7473" priority="670">
      <formula>B30=""</formula>
    </cfRule>
  </conditionalFormatting>
  <conditionalFormatting sqref="C31 C33 C35 C37 C39 C41 C43 C45 C47 C49">
    <cfRule type="expression" dxfId="7472" priority="669">
      <formula>B31=""</formula>
    </cfRule>
  </conditionalFormatting>
  <conditionalFormatting sqref="C32:C42">
    <cfRule type="expression" dxfId="7471" priority="668">
      <formula>B32=""</formula>
    </cfRule>
  </conditionalFormatting>
  <conditionalFormatting sqref="C43">
    <cfRule type="expression" dxfId="7470" priority="667">
      <formula>B43=""</formula>
    </cfRule>
  </conditionalFormatting>
  <conditionalFormatting sqref="C44">
    <cfRule type="expression" dxfId="7469" priority="666">
      <formula>B44=""</formula>
    </cfRule>
  </conditionalFormatting>
  <conditionalFormatting sqref="C45">
    <cfRule type="expression" dxfId="7468" priority="665">
      <formula>B45=""</formula>
    </cfRule>
  </conditionalFormatting>
  <conditionalFormatting sqref="C46">
    <cfRule type="expression" dxfId="7467" priority="664">
      <formula>B46=""</formula>
    </cfRule>
  </conditionalFormatting>
  <conditionalFormatting sqref="C47">
    <cfRule type="expression" dxfId="7466" priority="663">
      <formula>B47=""</formula>
    </cfRule>
  </conditionalFormatting>
  <conditionalFormatting sqref="C48">
    <cfRule type="expression" dxfId="7465" priority="662">
      <formula>B48=""</formula>
    </cfRule>
  </conditionalFormatting>
  <conditionalFormatting sqref="C49">
    <cfRule type="expression" dxfId="7464" priority="661">
      <formula>B49=""</formula>
    </cfRule>
  </conditionalFormatting>
  <conditionalFormatting sqref="C50">
    <cfRule type="expression" dxfId="7463" priority="660">
      <formula>B50=""</formula>
    </cfRule>
  </conditionalFormatting>
  <conditionalFormatting sqref="D30 D32 D34 D36 D38 D40 D42 D44 D46 D48">
    <cfRule type="expression" dxfId="7462" priority="659">
      <formula>B30=""</formula>
    </cfRule>
  </conditionalFormatting>
  <conditionalFormatting sqref="D31 D33 D35 D37 D39 D41 D43 D45 D47 D49">
    <cfRule type="expression" dxfId="7461" priority="658">
      <formula>B31=""</formula>
    </cfRule>
  </conditionalFormatting>
  <conditionalFormatting sqref="D32:D42">
    <cfRule type="expression" dxfId="7460" priority="657">
      <formula>B32=""</formula>
    </cfRule>
  </conditionalFormatting>
  <conditionalFormatting sqref="D43">
    <cfRule type="expression" dxfId="7459" priority="656">
      <formula>B43=""</formula>
    </cfRule>
  </conditionalFormatting>
  <conditionalFormatting sqref="D44">
    <cfRule type="expression" dxfId="7458" priority="655">
      <formula>B44=""</formula>
    </cfRule>
  </conditionalFormatting>
  <conditionalFormatting sqref="D45">
    <cfRule type="expression" dxfId="7457" priority="654">
      <formula>B45=""</formula>
    </cfRule>
  </conditionalFormatting>
  <conditionalFormatting sqref="D46">
    <cfRule type="expression" dxfId="7456" priority="653">
      <formula>B46=""</formula>
    </cfRule>
  </conditionalFormatting>
  <conditionalFormatting sqref="D47">
    <cfRule type="expression" dxfId="7455" priority="652">
      <formula>B47=""</formula>
    </cfRule>
  </conditionalFormatting>
  <conditionalFormatting sqref="D48">
    <cfRule type="expression" dxfId="7454" priority="651">
      <formula>B48=""</formula>
    </cfRule>
  </conditionalFormatting>
  <conditionalFormatting sqref="D49">
    <cfRule type="expression" dxfId="7453" priority="650">
      <formula>B49=""</formula>
    </cfRule>
  </conditionalFormatting>
  <conditionalFormatting sqref="D50">
    <cfRule type="expression" dxfId="7452" priority="649">
      <formula>B50=""</formula>
    </cfRule>
  </conditionalFormatting>
  <conditionalFormatting sqref="E30 E32 E34 E36 E38 E40 E42 E44 E46 E48">
    <cfRule type="expression" dxfId="7451" priority="648">
      <formula>B30=""</formula>
    </cfRule>
  </conditionalFormatting>
  <conditionalFormatting sqref="E31 E33 E35 E37 E39 E41 E43 E45 E47 E49">
    <cfRule type="expression" dxfId="7450" priority="647">
      <formula>B31=""</formula>
    </cfRule>
  </conditionalFormatting>
  <conditionalFormatting sqref="E32:E42">
    <cfRule type="expression" dxfId="7449" priority="646">
      <formula>B32=""</formula>
    </cfRule>
  </conditionalFormatting>
  <conditionalFormatting sqref="E43">
    <cfRule type="expression" dxfId="7448" priority="645">
      <formula>B43=""</formula>
    </cfRule>
  </conditionalFormatting>
  <conditionalFormatting sqref="E44">
    <cfRule type="expression" dxfId="7447" priority="644">
      <formula>B44=""</formula>
    </cfRule>
  </conditionalFormatting>
  <conditionalFormatting sqref="E45">
    <cfRule type="expression" dxfId="7446" priority="643">
      <formula>B45=""</formula>
    </cfRule>
  </conditionalFormatting>
  <conditionalFormatting sqref="E46">
    <cfRule type="expression" dxfId="7445" priority="642">
      <formula>B46=""</formula>
    </cfRule>
  </conditionalFormatting>
  <conditionalFormatting sqref="E47">
    <cfRule type="expression" dxfId="7444" priority="641">
      <formula>B47=""</formula>
    </cfRule>
  </conditionalFormatting>
  <conditionalFormatting sqref="E48">
    <cfRule type="expression" dxfId="7443" priority="640">
      <formula>B48=""</formula>
    </cfRule>
  </conditionalFormatting>
  <conditionalFormatting sqref="E49">
    <cfRule type="expression" dxfId="7442" priority="639">
      <formula>B49=""</formula>
    </cfRule>
  </conditionalFormatting>
  <conditionalFormatting sqref="E50">
    <cfRule type="expression" dxfId="7441" priority="638">
      <formula>B50=""</formula>
    </cfRule>
  </conditionalFormatting>
  <conditionalFormatting sqref="F30 F32 F34 F36 F38 F40 F42 F44 F46 F48">
    <cfRule type="expression" dxfId="7440" priority="637">
      <formula>B30=""</formula>
    </cfRule>
  </conditionalFormatting>
  <conditionalFormatting sqref="F31 F33 F35 F37 F39 F41 F43 F45 F47 F49">
    <cfRule type="expression" dxfId="7439" priority="636">
      <formula>B31=""</formula>
    </cfRule>
  </conditionalFormatting>
  <conditionalFormatting sqref="F32:F42">
    <cfRule type="expression" dxfId="7438" priority="635">
      <formula>B32=""</formula>
    </cfRule>
  </conditionalFormatting>
  <conditionalFormatting sqref="F43">
    <cfRule type="expression" dxfId="7437" priority="634">
      <formula>B43=""</formula>
    </cfRule>
  </conditionalFormatting>
  <conditionalFormatting sqref="F44">
    <cfRule type="expression" dxfId="7436" priority="633">
      <formula>B44=""</formula>
    </cfRule>
  </conditionalFormatting>
  <conditionalFormatting sqref="F45">
    <cfRule type="expression" dxfId="7435" priority="632">
      <formula>B45=""</formula>
    </cfRule>
  </conditionalFormatting>
  <conditionalFormatting sqref="F46">
    <cfRule type="expression" dxfId="7434" priority="631">
      <formula>B46=""</formula>
    </cfRule>
  </conditionalFormatting>
  <conditionalFormatting sqref="F47">
    <cfRule type="expression" dxfId="7433" priority="630">
      <formula>B47=""</formula>
    </cfRule>
  </conditionalFormatting>
  <conditionalFormatting sqref="F48">
    <cfRule type="expression" dxfId="7432" priority="629">
      <formula>B48=""</formula>
    </cfRule>
  </conditionalFormatting>
  <conditionalFormatting sqref="F49">
    <cfRule type="expression" dxfId="7431" priority="628">
      <formula>B49=""</formula>
    </cfRule>
  </conditionalFormatting>
  <conditionalFormatting sqref="F50">
    <cfRule type="expression" dxfId="7430" priority="627">
      <formula>B50=""</formula>
    </cfRule>
  </conditionalFormatting>
  <conditionalFormatting sqref="E31 E33 E35 E37 E39 E41 E43 E45 E47 E49">
    <cfRule type="expression" dxfId="7429" priority="626">
      <formula>B31=""</formula>
    </cfRule>
  </conditionalFormatting>
  <conditionalFormatting sqref="E32:E42">
    <cfRule type="expression" dxfId="7428" priority="625">
      <formula>B32=""</formula>
    </cfRule>
  </conditionalFormatting>
  <conditionalFormatting sqref="E43">
    <cfRule type="expression" dxfId="7427" priority="624">
      <formula>B43=""</formula>
    </cfRule>
  </conditionalFormatting>
  <conditionalFormatting sqref="E44">
    <cfRule type="expression" dxfId="7426" priority="623">
      <formula>B44=""</formula>
    </cfRule>
  </conditionalFormatting>
  <conditionalFormatting sqref="E45">
    <cfRule type="expression" dxfId="7425" priority="622">
      <formula>B45=""</formula>
    </cfRule>
  </conditionalFormatting>
  <conditionalFormatting sqref="E46">
    <cfRule type="expression" dxfId="7424" priority="621">
      <formula>B46=""</formula>
    </cfRule>
  </conditionalFormatting>
  <conditionalFormatting sqref="E47">
    <cfRule type="expression" dxfId="7423" priority="620">
      <formula>B47=""</formula>
    </cfRule>
  </conditionalFormatting>
  <conditionalFormatting sqref="E48">
    <cfRule type="expression" dxfId="7422" priority="619">
      <formula>B48=""</formula>
    </cfRule>
  </conditionalFormatting>
  <conditionalFormatting sqref="E49">
    <cfRule type="expression" dxfId="7421" priority="618">
      <formula>B49=""</formula>
    </cfRule>
  </conditionalFormatting>
  <conditionalFormatting sqref="E50">
    <cfRule type="expression" dxfId="7420" priority="617">
      <formula>B50=""</formula>
    </cfRule>
  </conditionalFormatting>
  <conditionalFormatting sqref="G30 G32 G34 G36 G38 G40 G42 G44 G46 G48">
    <cfRule type="expression" dxfId="7419" priority="616">
      <formula>B30=""</formula>
    </cfRule>
  </conditionalFormatting>
  <conditionalFormatting sqref="G31 G33 G35 G37 G39 G41 G43 G45 G47 G49">
    <cfRule type="expression" dxfId="7418" priority="615">
      <formula>B31=""</formula>
    </cfRule>
  </conditionalFormatting>
  <conditionalFormatting sqref="G32:G42">
    <cfRule type="expression" dxfId="7417" priority="614">
      <formula>B32=""</formula>
    </cfRule>
  </conditionalFormatting>
  <conditionalFormatting sqref="G43">
    <cfRule type="expression" dxfId="7416" priority="613">
      <formula>B43=""</formula>
    </cfRule>
  </conditionalFormatting>
  <conditionalFormatting sqref="G44">
    <cfRule type="expression" dxfId="7415" priority="612">
      <formula>B44=""</formula>
    </cfRule>
  </conditionalFormatting>
  <conditionalFormatting sqref="G45">
    <cfRule type="expression" dxfId="7414" priority="611">
      <formula>B45=""</formula>
    </cfRule>
  </conditionalFormatting>
  <conditionalFormatting sqref="G46">
    <cfRule type="expression" dxfId="7413" priority="610">
      <formula>B46=""</formula>
    </cfRule>
  </conditionalFormatting>
  <conditionalFormatting sqref="G47">
    <cfRule type="expression" dxfId="7412" priority="609">
      <formula>B47=""</formula>
    </cfRule>
  </conditionalFormatting>
  <conditionalFormatting sqref="G48">
    <cfRule type="expression" dxfId="7411" priority="608">
      <formula>B48=""</formula>
    </cfRule>
  </conditionalFormatting>
  <conditionalFormatting sqref="G49">
    <cfRule type="expression" dxfId="7410" priority="607">
      <formula>B49=""</formula>
    </cfRule>
  </conditionalFormatting>
  <conditionalFormatting sqref="G50">
    <cfRule type="expression" dxfId="7409" priority="606">
      <formula>B50=""</formula>
    </cfRule>
  </conditionalFormatting>
  <conditionalFormatting sqref="H30 H32 H34 H36 H38 H40 H42 H44 H46 H48">
    <cfRule type="expression" dxfId="7408" priority="605">
      <formula>B30=""</formula>
    </cfRule>
  </conditionalFormatting>
  <conditionalFormatting sqref="H31 H33 H35 H37 H39 H41 H43 H45 H47 H49">
    <cfRule type="expression" dxfId="7407" priority="604">
      <formula>B31=""</formula>
    </cfRule>
  </conditionalFormatting>
  <conditionalFormatting sqref="H32:H42">
    <cfRule type="expression" dxfId="7406" priority="603">
      <formula>B32=""</formula>
    </cfRule>
  </conditionalFormatting>
  <conditionalFormatting sqref="H43">
    <cfRule type="expression" dxfId="7405" priority="602">
      <formula>B43=""</formula>
    </cfRule>
  </conditionalFormatting>
  <conditionalFormatting sqref="H44">
    <cfRule type="expression" dxfId="7404" priority="601">
      <formula>B44=""</formula>
    </cfRule>
  </conditionalFormatting>
  <conditionalFormatting sqref="H45">
    <cfRule type="expression" dxfId="7403" priority="600">
      <formula>B45=""</formula>
    </cfRule>
  </conditionalFormatting>
  <conditionalFormatting sqref="H46">
    <cfRule type="expression" dxfId="7402" priority="599">
      <formula>B46=""</formula>
    </cfRule>
  </conditionalFormatting>
  <conditionalFormatting sqref="H47">
    <cfRule type="expression" dxfId="7401" priority="598">
      <formula>B47=""</formula>
    </cfRule>
  </conditionalFormatting>
  <conditionalFormatting sqref="H48">
    <cfRule type="expression" dxfId="7400" priority="597">
      <formula>B48=""</formula>
    </cfRule>
  </conditionalFormatting>
  <conditionalFormatting sqref="H49">
    <cfRule type="expression" dxfId="7399" priority="596">
      <formula>B49=""</formula>
    </cfRule>
  </conditionalFormatting>
  <conditionalFormatting sqref="H50">
    <cfRule type="expression" dxfId="7398" priority="595">
      <formula>B50=""</formula>
    </cfRule>
  </conditionalFormatting>
  <conditionalFormatting sqref="C52:C71">
    <cfRule type="expression" dxfId="7397" priority="594">
      <formula>B52=""</formula>
    </cfRule>
  </conditionalFormatting>
  <conditionalFormatting sqref="C53 C55 C57 C59 C61 C63 C65 C67 C69 C71">
    <cfRule type="expression" dxfId="7396" priority="593">
      <formula>B53=""</formula>
    </cfRule>
  </conditionalFormatting>
  <conditionalFormatting sqref="C54:C64">
    <cfRule type="expression" dxfId="7395" priority="592">
      <formula>B54=""</formula>
    </cfRule>
  </conditionalFormatting>
  <conditionalFormatting sqref="C65">
    <cfRule type="expression" dxfId="7394" priority="591">
      <formula>B65=""</formula>
    </cfRule>
  </conditionalFormatting>
  <conditionalFormatting sqref="C66">
    <cfRule type="expression" dxfId="7393" priority="590">
      <formula>B66=""</formula>
    </cfRule>
  </conditionalFormatting>
  <conditionalFormatting sqref="C67">
    <cfRule type="expression" dxfId="7392" priority="589">
      <formula>B67=""</formula>
    </cfRule>
  </conditionalFormatting>
  <conditionalFormatting sqref="C68">
    <cfRule type="expression" dxfId="7391" priority="588">
      <formula>B68=""</formula>
    </cfRule>
  </conditionalFormatting>
  <conditionalFormatting sqref="C69">
    <cfRule type="expression" dxfId="7390" priority="587">
      <formula>B69=""</formula>
    </cfRule>
  </conditionalFormatting>
  <conditionalFormatting sqref="C70">
    <cfRule type="expression" dxfId="7389" priority="586">
      <formula>B70=""</formula>
    </cfRule>
  </conditionalFormatting>
  <conditionalFormatting sqref="C71">
    <cfRule type="expression" dxfId="7388" priority="585">
      <formula>B71=""</formula>
    </cfRule>
  </conditionalFormatting>
  <conditionalFormatting sqref="C72">
    <cfRule type="expression" dxfId="7387" priority="584">
      <formula>B72=""</formula>
    </cfRule>
  </conditionalFormatting>
  <conditionalFormatting sqref="D52 D54 D56 D58 D60 D62 D64 D66 D68 D70">
    <cfRule type="expression" dxfId="7386" priority="583">
      <formula>B52=""</formula>
    </cfRule>
  </conditionalFormatting>
  <conditionalFormatting sqref="D53 D55 D57 D59 D61 D63 D65 D67 D69 D71">
    <cfRule type="expression" dxfId="7385" priority="582">
      <formula>B53=""</formula>
    </cfRule>
  </conditionalFormatting>
  <conditionalFormatting sqref="D54:D64">
    <cfRule type="expression" dxfId="7384" priority="581">
      <formula>B54=""</formula>
    </cfRule>
  </conditionalFormatting>
  <conditionalFormatting sqref="D65">
    <cfRule type="expression" dxfId="7383" priority="580">
      <formula>B65=""</formula>
    </cfRule>
  </conditionalFormatting>
  <conditionalFormatting sqref="D66">
    <cfRule type="expression" dxfId="7382" priority="579">
      <formula>B66=""</formula>
    </cfRule>
  </conditionalFormatting>
  <conditionalFormatting sqref="D67">
    <cfRule type="expression" dxfId="7381" priority="578">
      <formula>B67=""</formula>
    </cfRule>
  </conditionalFormatting>
  <conditionalFormatting sqref="D68">
    <cfRule type="expression" dxfId="7380" priority="577">
      <formula>B68=""</formula>
    </cfRule>
  </conditionalFormatting>
  <conditionalFormatting sqref="D69">
    <cfRule type="expression" dxfId="7379" priority="576">
      <formula>B69=""</formula>
    </cfRule>
  </conditionalFormatting>
  <conditionalFormatting sqref="D70">
    <cfRule type="expression" dxfId="7378" priority="575">
      <formula>B70=""</formula>
    </cfRule>
  </conditionalFormatting>
  <conditionalFormatting sqref="D71">
    <cfRule type="expression" dxfId="7377" priority="574">
      <formula>B71=""</formula>
    </cfRule>
  </conditionalFormatting>
  <conditionalFormatting sqref="D72">
    <cfRule type="expression" dxfId="7376" priority="573">
      <formula>B72=""</formula>
    </cfRule>
  </conditionalFormatting>
  <conditionalFormatting sqref="E52 E54 E56 E58 E60 E62 E64 E66 E68 E70">
    <cfRule type="expression" dxfId="7375" priority="572">
      <formula>B52=""</formula>
    </cfRule>
  </conditionalFormatting>
  <conditionalFormatting sqref="E53 E55 E57 E59 E61 E63 E65 E67 E69 E71">
    <cfRule type="expression" dxfId="7374" priority="571">
      <formula>B53=""</formula>
    </cfRule>
  </conditionalFormatting>
  <conditionalFormatting sqref="E54:E64">
    <cfRule type="expression" dxfId="7373" priority="570">
      <formula>B54=""</formula>
    </cfRule>
  </conditionalFormatting>
  <conditionalFormatting sqref="E65">
    <cfRule type="expression" dxfId="7372" priority="569">
      <formula>B65=""</formula>
    </cfRule>
  </conditionalFormatting>
  <conditionalFormatting sqref="E66">
    <cfRule type="expression" dxfId="7371" priority="568">
      <formula>B66=""</formula>
    </cfRule>
  </conditionalFormatting>
  <conditionalFormatting sqref="E67">
    <cfRule type="expression" dxfId="7370" priority="567">
      <formula>B67=""</formula>
    </cfRule>
  </conditionalFormatting>
  <conditionalFormatting sqref="E68">
    <cfRule type="expression" dxfId="7369" priority="566">
      <formula>B68=""</formula>
    </cfRule>
  </conditionalFormatting>
  <conditionalFormatting sqref="E69">
    <cfRule type="expression" dxfId="7368" priority="565">
      <formula>B69=""</formula>
    </cfRule>
  </conditionalFormatting>
  <conditionalFormatting sqref="E70">
    <cfRule type="expression" dxfId="7367" priority="564">
      <formula>B70=""</formula>
    </cfRule>
  </conditionalFormatting>
  <conditionalFormatting sqref="E71">
    <cfRule type="expression" dxfId="7366" priority="563">
      <formula>B71=""</formula>
    </cfRule>
  </conditionalFormatting>
  <conditionalFormatting sqref="E72">
    <cfRule type="expression" dxfId="7365" priority="562">
      <formula>B72=""</formula>
    </cfRule>
  </conditionalFormatting>
  <conditionalFormatting sqref="F52 F54 F56 F58 F60 F62 F64 F66 F68 F70">
    <cfRule type="expression" dxfId="7364" priority="561">
      <formula>B52=""</formula>
    </cfRule>
  </conditionalFormatting>
  <conditionalFormatting sqref="F53 F55 F57 F59 F61 F63 F65 F67 F69 F71">
    <cfRule type="expression" dxfId="7363" priority="560">
      <formula>B53=""</formula>
    </cfRule>
  </conditionalFormatting>
  <conditionalFormatting sqref="F54:F64">
    <cfRule type="expression" dxfId="7362" priority="559">
      <formula>B54=""</formula>
    </cfRule>
  </conditionalFormatting>
  <conditionalFormatting sqref="F65">
    <cfRule type="expression" dxfId="7361" priority="558">
      <formula>B65=""</formula>
    </cfRule>
  </conditionalFormatting>
  <conditionalFormatting sqref="F66">
    <cfRule type="expression" dxfId="7360" priority="557">
      <formula>B66=""</formula>
    </cfRule>
  </conditionalFormatting>
  <conditionalFormatting sqref="F67">
    <cfRule type="expression" dxfId="7359" priority="556">
      <formula>B67=""</formula>
    </cfRule>
  </conditionalFormatting>
  <conditionalFormatting sqref="F68">
    <cfRule type="expression" dxfId="7358" priority="555">
      <formula>B68=""</formula>
    </cfRule>
  </conditionalFormatting>
  <conditionalFormatting sqref="F69">
    <cfRule type="expression" dxfId="7357" priority="554">
      <formula>B69=""</formula>
    </cfRule>
  </conditionalFormatting>
  <conditionalFormatting sqref="F70">
    <cfRule type="expression" dxfId="7356" priority="553">
      <formula>B70=""</formula>
    </cfRule>
  </conditionalFormatting>
  <conditionalFormatting sqref="F71">
    <cfRule type="expression" dxfId="7355" priority="552">
      <formula>B71=""</formula>
    </cfRule>
  </conditionalFormatting>
  <conditionalFormatting sqref="F72">
    <cfRule type="expression" dxfId="7354" priority="551">
      <formula>B72=""</formula>
    </cfRule>
  </conditionalFormatting>
  <conditionalFormatting sqref="E53 E55 E57 E59 E61 E63 E65 E67 E69 E71">
    <cfRule type="expression" dxfId="7353" priority="550">
      <formula>B53=""</formula>
    </cfRule>
  </conditionalFormatting>
  <conditionalFormatting sqref="E54:E64">
    <cfRule type="expression" dxfId="7352" priority="549">
      <formula>B54=""</formula>
    </cfRule>
  </conditionalFormatting>
  <conditionalFormatting sqref="E65">
    <cfRule type="expression" dxfId="7351" priority="548">
      <formula>B65=""</formula>
    </cfRule>
  </conditionalFormatting>
  <conditionalFormatting sqref="E66">
    <cfRule type="expression" dxfId="7350" priority="547">
      <formula>B66=""</formula>
    </cfRule>
  </conditionalFormatting>
  <conditionalFormatting sqref="E67">
    <cfRule type="expression" dxfId="7349" priority="546">
      <formula>B67=""</formula>
    </cfRule>
  </conditionalFormatting>
  <conditionalFormatting sqref="E68">
    <cfRule type="expression" dxfId="7348" priority="545">
      <formula>B68=""</formula>
    </cfRule>
  </conditionalFormatting>
  <conditionalFormatting sqref="E69">
    <cfRule type="expression" dxfId="7347" priority="544">
      <formula>B69=""</formula>
    </cfRule>
  </conditionalFormatting>
  <conditionalFormatting sqref="E70">
    <cfRule type="expression" dxfId="7346" priority="543">
      <formula>B70=""</formula>
    </cfRule>
  </conditionalFormatting>
  <conditionalFormatting sqref="E71">
    <cfRule type="expression" dxfId="7345" priority="542">
      <formula>B71=""</formula>
    </cfRule>
  </conditionalFormatting>
  <conditionalFormatting sqref="E72">
    <cfRule type="expression" dxfId="7344" priority="541">
      <formula>B72=""</formula>
    </cfRule>
  </conditionalFormatting>
  <conditionalFormatting sqref="G52 G54 G56 G58 G60 G62 G64 G66 G68 G70">
    <cfRule type="expression" dxfId="7343" priority="540">
      <formula>B52=""</formula>
    </cfRule>
  </conditionalFormatting>
  <conditionalFormatting sqref="G53 G55 G57 G59 G61 G63 G65 G67 G69 G71">
    <cfRule type="expression" dxfId="7342" priority="539">
      <formula>B53=""</formula>
    </cfRule>
  </conditionalFormatting>
  <conditionalFormatting sqref="G54:G64">
    <cfRule type="expression" dxfId="7341" priority="538">
      <formula>B54=""</formula>
    </cfRule>
  </conditionalFormatting>
  <conditionalFormatting sqref="G65">
    <cfRule type="expression" dxfId="7340" priority="537">
      <formula>B65=""</formula>
    </cfRule>
  </conditionalFormatting>
  <conditionalFormatting sqref="G66">
    <cfRule type="expression" dxfId="7339" priority="536">
      <formula>B66=""</formula>
    </cfRule>
  </conditionalFormatting>
  <conditionalFormatting sqref="G67">
    <cfRule type="expression" dxfId="7338" priority="535">
      <formula>B67=""</formula>
    </cfRule>
  </conditionalFormatting>
  <conditionalFormatting sqref="G68">
    <cfRule type="expression" dxfId="7337" priority="534">
      <formula>B68=""</formula>
    </cfRule>
  </conditionalFormatting>
  <conditionalFormatting sqref="G69">
    <cfRule type="expression" dxfId="7336" priority="533">
      <formula>B69=""</formula>
    </cfRule>
  </conditionalFormatting>
  <conditionalFormatting sqref="G70">
    <cfRule type="expression" dxfId="7335" priority="532">
      <formula>B70=""</formula>
    </cfRule>
  </conditionalFormatting>
  <conditionalFormatting sqref="G71">
    <cfRule type="expression" dxfId="7334" priority="531">
      <formula>B71=""</formula>
    </cfRule>
  </conditionalFormatting>
  <conditionalFormatting sqref="G72">
    <cfRule type="expression" dxfId="7333" priority="530">
      <formula>B72=""</formula>
    </cfRule>
  </conditionalFormatting>
  <conditionalFormatting sqref="H52 H54 H56 H58 H60 H62 H64 H66 H68 H70">
    <cfRule type="expression" dxfId="7332" priority="529">
      <formula>B52=""</formula>
    </cfRule>
  </conditionalFormatting>
  <conditionalFormatting sqref="H53 H55 H57 H59 H61 H63 H65 H67 H69 H71">
    <cfRule type="expression" dxfId="7331" priority="528">
      <formula>B53=""</formula>
    </cfRule>
  </conditionalFormatting>
  <conditionalFormatting sqref="H54:H64">
    <cfRule type="expression" dxfId="7330" priority="527">
      <formula>B54=""</formula>
    </cfRule>
  </conditionalFormatting>
  <conditionalFormatting sqref="H65">
    <cfRule type="expression" dxfId="7329" priority="526">
      <formula>B65=""</formula>
    </cfRule>
  </conditionalFormatting>
  <conditionalFormatting sqref="H66">
    <cfRule type="expression" dxfId="7328" priority="525">
      <formula>B66=""</formula>
    </cfRule>
  </conditionalFormatting>
  <conditionalFormatting sqref="H67">
    <cfRule type="expression" dxfId="7327" priority="524">
      <formula>B67=""</formula>
    </cfRule>
  </conditionalFormatting>
  <conditionalFormatting sqref="H68">
    <cfRule type="expression" dxfId="7326" priority="523">
      <formula>B68=""</formula>
    </cfRule>
  </conditionalFormatting>
  <conditionalFormatting sqref="H69">
    <cfRule type="expression" dxfId="7325" priority="522">
      <formula>B69=""</formula>
    </cfRule>
  </conditionalFormatting>
  <conditionalFormatting sqref="H70">
    <cfRule type="expression" dxfId="7324" priority="521">
      <formula>B70=""</formula>
    </cfRule>
  </conditionalFormatting>
  <conditionalFormatting sqref="H71">
    <cfRule type="expression" dxfId="7323" priority="520">
      <formula>B71=""</formula>
    </cfRule>
  </conditionalFormatting>
  <conditionalFormatting sqref="H72">
    <cfRule type="expression" dxfId="7322" priority="519">
      <formula>B72=""</formula>
    </cfRule>
  </conditionalFormatting>
  <conditionalFormatting sqref="C74:C94">
    <cfRule type="expression" dxfId="7321" priority="518">
      <formula>B74=""</formula>
    </cfRule>
  </conditionalFormatting>
  <conditionalFormatting sqref="C75 C77 C79 C81 C83 C85 C87 C89 C91 C93">
    <cfRule type="expression" dxfId="7320" priority="517">
      <formula>B75=""</formula>
    </cfRule>
  </conditionalFormatting>
  <conditionalFormatting sqref="C76:C86">
    <cfRule type="expression" dxfId="7319" priority="516">
      <formula>B76=""</formula>
    </cfRule>
  </conditionalFormatting>
  <conditionalFormatting sqref="C87">
    <cfRule type="expression" dxfId="7318" priority="515">
      <formula>B87=""</formula>
    </cfRule>
  </conditionalFormatting>
  <conditionalFormatting sqref="C88">
    <cfRule type="expression" dxfId="7317" priority="514">
      <formula>B88=""</formula>
    </cfRule>
  </conditionalFormatting>
  <conditionalFormatting sqref="C89">
    <cfRule type="expression" dxfId="7316" priority="513">
      <formula>B89=""</formula>
    </cfRule>
  </conditionalFormatting>
  <conditionalFormatting sqref="C90">
    <cfRule type="expression" dxfId="7315" priority="512">
      <formula>B90=""</formula>
    </cfRule>
  </conditionalFormatting>
  <conditionalFormatting sqref="C91">
    <cfRule type="expression" dxfId="7314" priority="511">
      <formula>B91=""</formula>
    </cfRule>
  </conditionalFormatting>
  <conditionalFormatting sqref="C92">
    <cfRule type="expression" dxfId="7313" priority="510">
      <formula>B92=""</formula>
    </cfRule>
  </conditionalFormatting>
  <conditionalFormatting sqref="C93">
    <cfRule type="expression" dxfId="7312" priority="509">
      <formula>B93=""</formula>
    </cfRule>
  </conditionalFormatting>
  <conditionalFormatting sqref="C94">
    <cfRule type="expression" dxfId="7311" priority="508">
      <formula>B94=""</formula>
    </cfRule>
  </conditionalFormatting>
  <conditionalFormatting sqref="D74 D76 D78 D80 D82 D84 D86 D88 D90 D92">
    <cfRule type="expression" dxfId="7310" priority="507">
      <formula>B74=""</formula>
    </cfRule>
  </conditionalFormatting>
  <conditionalFormatting sqref="D75 D77 D79 D81 D83 D85 D87 D89 D91 D93">
    <cfRule type="expression" dxfId="7309" priority="506">
      <formula>B75=""</formula>
    </cfRule>
  </conditionalFormatting>
  <conditionalFormatting sqref="D76:D86">
    <cfRule type="expression" dxfId="7308" priority="505">
      <formula>B76=""</formula>
    </cfRule>
  </conditionalFormatting>
  <conditionalFormatting sqref="D87">
    <cfRule type="expression" dxfId="7307" priority="504">
      <formula>B87=""</formula>
    </cfRule>
  </conditionalFormatting>
  <conditionalFormatting sqref="D88">
    <cfRule type="expression" dxfId="7306" priority="503">
      <formula>B88=""</formula>
    </cfRule>
  </conditionalFormatting>
  <conditionalFormatting sqref="D89">
    <cfRule type="expression" dxfId="7305" priority="502">
      <formula>B89=""</formula>
    </cfRule>
  </conditionalFormatting>
  <conditionalFormatting sqref="D90">
    <cfRule type="expression" dxfId="7304" priority="501">
      <formula>B90=""</formula>
    </cfRule>
  </conditionalFormatting>
  <conditionalFormatting sqref="D91">
    <cfRule type="expression" dxfId="7303" priority="500">
      <formula>B91=""</formula>
    </cfRule>
  </conditionalFormatting>
  <conditionalFormatting sqref="D92">
    <cfRule type="expression" dxfId="7302" priority="499">
      <formula>B92=""</formula>
    </cfRule>
  </conditionalFormatting>
  <conditionalFormatting sqref="D93">
    <cfRule type="expression" dxfId="7301" priority="498">
      <formula>B93=""</formula>
    </cfRule>
  </conditionalFormatting>
  <conditionalFormatting sqref="D94">
    <cfRule type="expression" dxfId="7300" priority="497">
      <formula>B94=""</formula>
    </cfRule>
  </conditionalFormatting>
  <conditionalFormatting sqref="E74 E76 E78 E80 E82 E84 E86 E88 E90 E92">
    <cfRule type="expression" dxfId="7299" priority="496">
      <formula>B74=""</formula>
    </cfRule>
  </conditionalFormatting>
  <conditionalFormatting sqref="E75 E77 E79 E81 E83 E85 E87 E89 E91 E93">
    <cfRule type="expression" dxfId="7298" priority="495">
      <formula>B75=""</formula>
    </cfRule>
  </conditionalFormatting>
  <conditionalFormatting sqref="E76:E86">
    <cfRule type="expression" dxfId="7297" priority="494">
      <formula>B76=""</formula>
    </cfRule>
  </conditionalFormatting>
  <conditionalFormatting sqref="E87">
    <cfRule type="expression" dxfId="7296" priority="493">
      <formula>B87=""</formula>
    </cfRule>
  </conditionalFormatting>
  <conditionalFormatting sqref="E88">
    <cfRule type="expression" dxfId="7295" priority="492">
      <formula>B88=""</formula>
    </cfRule>
  </conditionalFormatting>
  <conditionalFormatting sqref="E89">
    <cfRule type="expression" dxfId="7294" priority="491">
      <formula>B89=""</formula>
    </cfRule>
  </conditionalFormatting>
  <conditionalFormatting sqref="E90">
    <cfRule type="expression" dxfId="7293" priority="490">
      <formula>B90=""</formula>
    </cfRule>
  </conditionalFormatting>
  <conditionalFormatting sqref="E91">
    <cfRule type="expression" dxfId="7292" priority="489">
      <formula>B91=""</formula>
    </cfRule>
  </conditionalFormatting>
  <conditionalFormatting sqref="E92">
    <cfRule type="expression" dxfId="7291" priority="488">
      <formula>B92=""</formula>
    </cfRule>
  </conditionalFormatting>
  <conditionalFormatting sqref="E93">
    <cfRule type="expression" dxfId="7290" priority="487">
      <formula>B93=""</formula>
    </cfRule>
  </conditionalFormatting>
  <conditionalFormatting sqref="E94">
    <cfRule type="expression" dxfId="7289" priority="486">
      <formula>B94=""</formula>
    </cfRule>
  </conditionalFormatting>
  <conditionalFormatting sqref="F74 F76 F78 F80 F82 F84 F86 F88 F90 F92">
    <cfRule type="expression" dxfId="7288" priority="485">
      <formula>B74=""</formula>
    </cfRule>
  </conditionalFormatting>
  <conditionalFormatting sqref="F75 F77 F79 F81 F83 F85 F87 F89 F91 F93">
    <cfRule type="expression" dxfId="7287" priority="484">
      <formula>B75=""</formula>
    </cfRule>
  </conditionalFormatting>
  <conditionalFormatting sqref="F76:F86">
    <cfRule type="expression" dxfId="7286" priority="483">
      <formula>B76=""</formula>
    </cfRule>
  </conditionalFormatting>
  <conditionalFormatting sqref="F87">
    <cfRule type="expression" dxfId="7285" priority="482">
      <formula>B87=""</formula>
    </cfRule>
  </conditionalFormatting>
  <conditionalFormatting sqref="F88">
    <cfRule type="expression" dxfId="7284" priority="481">
      <formula>B88=""</formula>
    </cfRule>
  </conditionalFormatting>
  <conditionalFormatting sqref="F89">
    <cfRule type="expression" dxfId="7283" priority="480">
      <formula>B89=""</formula>
    </cfRule>
  </conditionalFormatting>
  <conditionalFormatting sqref="F90">
    <cfRule type="expression" dxfId="7282" priority="479">
      <formula>B90=""</formula>
    </cfRule>
  </conditionalFormatting>
  <conditionalFormatting sqref="F91">
    <cfRule type="expression" dxfId="7281" priority="478">
      <formula>B91=""</formula>
    </cfRule>
  </conditionalFormatting>
  <conditionalFormatting sqref="F92">
    <cfRule type="expression" dxfId="7280" priority="477">
      <formula>B92=""</formula>
    </cfRule>
  </conditionalFormatting>
  <conditionalFormatting sqref="F93">
    <cfRule type="expression" dxfId="7279" priority="476">
      <formula>B93=""</formula>
    </cfRule>
  </conditionalFormatting>
  <conditionalFormatting sqref="F94">
    <cfRule type="expression" dxfId="7278" priority="475">
      <formula>B94=""</formula>
    </cfRule>
  </conditionalFormatting>
  <conditionalFormatting sqref="E75 E77 E79 E81 E83 E85 E87 E89 E91 E93">
    <cfRule type="expression" dxfId="7277" priority="474">
      <formula>B75=""</formula>
    </cfRule>
  </conditionalFormatting>
  <conditionalFormatting sqref="E76:E86">
    <cfRule type="expression" dxfId="7276" priority="473">
      <formula>B76=""</formula>
    </cfRule>
  </conditionalFormatting>
  <conditionalFormatting sqref="E87">
    <cfRule type="expression" dxfId="7275" priority="472">
      <formula>B87=""</formula>
    </cfRule>
  </conditionalFormatting>
  <conditionalFormatting sqref="E88">
    <cfRule type="expression" dxfId="7274" priority="471">
      <formula>B88=""</formula>
    </cfRule>
  </conditionalFormatting>
  <conditionalFormatting sqref="E89">
    <cfRule type="expression" dxfId="7273" priority="470">
      <formula>B89=""</formula>
    </cfRule>
  </conditionalFormatting>
  <conditionalFormatting sqref="E90">
    <cfRule type="expression" dxfId="7272" priority="469">
      <formula>B90=""</formula>
    </cfRule>
  </conditionalFormatting>
  <conditionalFormatting sqref="E91">
    <cfRule type="expression" dxfId="7271" priority="468">
      <formula>B91=""</formula>
    </cfRule>
  </conditionalFormatting>
  <conditionalFormatting sqref="E92">
    <cfRule type="expression" dxfId="7270" priority="467">
      <formula>B92=""</formula>
    </cfRule>
  </conditionalFormatting>
  <conditionalFormatting sqref="E93">
    <cfRule type="expression" dxfId="7269" priority="466">
      <formula>B93=""</formula>
    </cfRule>
  </conditionalFormatting>
  <conditionalFormatting sqref="E94">
    <cfRule type="expression" dxfId="7268" priority="465">
      <formula>B94=""</formula>
    </cfRule>
  </conditionalFormatting>
  <conditionalFormatting sqref="G74 G76 G78 G80 G82 G84 G86 G88 G90 G92">
    <cfRule type="expression" dxfId="7267" priority="464">
      <formula>B74=""</formula>
    </cfRule>
  </conditionalFormatting>
  <conditionalFormatting sqref="G75 G77 G79 G81 G83 G85 G87 G89 G91 G93">
    <cfRule type="expression" dxfId="7266" priority="463">
      <formula>B75=""</formula>
    </cfRule>
  </conditionalFormatting>
  <conditionalFormatting sqref="G76:G86">
    <cfRule type="expression" dxfId="7265" priority="462">
      <formula>B76=""</formula>
    </cfRule>
  </conditionalFormatting>
  <conditionalFormatting sqref="G87">
    <cfRule type="expression" dxfId="7264" priority="461">
      <formula>B87=""</formula>
    </cfRule>
  </conditionalFormatting>
  <conditionalFormatting sqref="G88">
    <cfRule type="expression" dxfId="7263" priority="460">
      <formula>B88=""</formula>
    </cfRule>
  </conditionalFormatting>
  <conditionalFormatting sqref="G89">
    <cfRule type="expression" dxfId="7262" priority="459">
      <formula>B89=""</formula>
    </cfRule>
  </conditionalFormatting>
  <conditionalFormatting sqref="G90">
    <cfRule type="expression" dxfId="7261" priority="458">
      <formula>B90=""</formula>
    </cfRule>
  </conditionalFormatting>
  <conditionalFormatting sqref="G91">
    <cfRule type="expression" dxfId="7260" priority="457">
      <formula>B91=""</formula>
    </cfRule>
  </conditionalFormatting>
  <conditionalFormatting sqref="G92">
    <cfRule type="expression" dxfId="7259" priority="456">
      <formula>B92=""</formula>
    </cfRule>
  </conditionalFormatting>
  <conditionalFormatting sqref="G93">
    <cfRule type="expression" dxfId="7258" priority="455">
      <formula>B93=""</formula>
    </cfRule>
  </conditionalFormatting>
  <conditionalFormatting sqref="G94">
    <cfRule type="expression" dxfId="7257" priority="454">
      <formula>B94=""</formula>
    </cfRule>
  </conditionalFormatting>
  <conditionalFormatting sqref="H74 H76 H78 H80 H82 H84 H86 H88 H90 H92">
    <cfRule type="expression" dxfId="7256" priority="453">
      <formula>B74=""</formula>
    </cfRule>
  </conditionalFormatting>
  <conditionalFormatting sqref="H75 H77 H79 H81 H83 H85 H87 H89 H91 H93">
    <cfRule type="expression" dxfId="7255" priority="452">
      <formula>B75=""</formula>
    </cfRule>
  </conditionalFormatting>
  <conditionalFormatting sqref="H76:H86">
    <cfRule type="expression" dxfId="7254" priority="451">
      <formula>B76=""</formula>
    </cfRule>
  </conditionalFormatting>
  <conditionalFormatting sqref="H87">
    <cfRule type="expression" dxfId="7253" priority="450">
      <formula>B87=""</formula>
    </cfRule>
  </conditionalFormatting>
  <conditionalFormatting sqref="H88">
    <cfRule type="expression" dxfId="7252" priority="449">
      <formula>B88=""</formula>
    </cfRule>
  </conditionalFormatting>
  <conditionalFormatting sqref="H89">
    <cfRule type="expression" dxfId="7251" priority="448">
      <formula>B89=""</formula>
    </cfRule>
  </conditionalFormatting>
  <conditionalFormatting sqref="H90">
    <cfRule type="expression" dxfId="7250" priority="447">
      <formula>B90=""</formula>
    </cfRule>
  </conditionalFormatting>
  <conditionalFormatting sqref="H91">
    <cfRule type="expression" dxfId="7249" priority="446">
      <formula>B91=""</formula>
    </cfRule>
  </conditionalFormatting>
  <conditionalFormatting sqref="H92">
    <cfRule type="expression" dxfId="7248" priority="445">
      <formula>B92=""</formula>
    </cfRule>
  </conditionalFormatting>
  <conditionalFormatting sqref="H93">
    <cfRule type="expression" dxfId="7247" priority="444">
      <formula>B93=""</formula>
    </cfRule>
  </conditionalFormatting>
  <conditionalFormatting sqref="H94">
    <cfRule type="expression" dxfId="7246" priority="443">
      <formula>B94=""</formula>
    </cfRule>
  </conditionalFormatting>
  <conditionalFormatting sqref="C49">
    <cfRule type="expression" dxfId="7245" priority="442">
      <formula>B49=""</formula>
    </cfRule>
  </conditionalFormatting>
  <conditionalFormatting sqref="C71">
    <cfRule type="expression" dxfId="7244" priority="441">
      <formula>B71=""</formula>
    </cfRule>
  </conditionalFormatting>
  <conditionalFormatting sqref="C93">
    <cfRule type="expression" dxfId="7243" priority="440">
      <formula>B93=""</formula>
    </cfRule>
  </conditionalFormatting>
  <conditionalFormatting sqref="C8:C27">
    <cfRule type="expression" dxfId="7242" priority="439">
      <formula>B8=""</formula>
    </cfRule>
  </conditionalFormatting>
  <conditionalFormatting sqref="C9 C11 C13 C15 C17 C19 C21 C23 C25 C27">
    <cfRule type="expression" dxfId="7241" priority="438">
      <formula>B9=""</formula>
    </cfRule>
  </conditionalFormatting>
  <conditionalFormatting sqref="C10:C20">
    <cfRule type="expression" dxfId="7240" priority="437">
      <formula>B10=""</formula>
    </cfRule>
  </conditionalFormatting>
  <conditionalFormatting sqref="C21">
    <cfRule type="expression" dxfId="7239" priority="436">
      <formula>B21=""</formula>
    </cfRule>
  </conditionalFormatting>
  <conditionalFormatting sqref="C22">
    <cfRule type="expression" dxfId="7238" priority="435">
      <formula>B22=""</formula>
    </cfRule>
  </conditionalFormatting>
  <conditionalFormatting sqref="C23">
    <cfRule type="expression" dxfId="7237" priority="434">
      <formula>B23=""</formula>
    </cfRule>
  </conditionalFormatting>
  <conditionalFormatting sqref="C24">
    <cfRule type="expression" dxfId="7236" priority="433">
      <formula>B24=""</formula>
    </cfRule>
  </conditionalFormatting>
  <conditionalFormatting sqref="C25">
    <cfRule type="expression" dxfId="7235" priority="432">
      <formula>B25=""</formula>
    </cfRule>
  </conditionalFormatting>
  <conditionalFormatting sqref="C26">
    <cfRule type="expression" dxfId="7234" priority="431">
      <formula>B26=""</formula>
    </cfRule>
  </conditionalFormatting>
  <conditionalFormatting sqref="C27">
    <cfRule type="expression" dxfId="7233" priority="430">
      <formula>B27=""</formula>
    </cfRule>
  </conditionalFormatting>
  <conditionalFormatting sqref="C28">
    <cfRule type="expression" dxfId="7232" priority="429">
      <formula>B28=""</formula>
    </cfRule>
  </conditionalFormatting>
  <conditionalFormatting sqref="C30:C50">
    <cfRule type="expression" dxfId="7231" priority="428">
      <formula>B30=""</formula>
    </cfRule>
  </conditionalFormatting>
  <conditionalFormatting sqref="C31 C33 C35 C37 C39 C41 C43 C45 C47 C49">
    <cfRule type="expression" dxfId="7230" priority="427">
      <formula>B31=""</formula>
    </cfRule>
  </conditionalFormatting>
  <conditionalFormatting sqref="C32:C42">
    <cfRule type="expression" dxfId="7229" priority="426">
      <formula>B32=""</formula>
    </cfRule>
  </conditionalFormatting>
  <conditionalFormatting sqref="C43">
    <cfRule type="expression" dxfId="7228" priority="425">
      <formula>B43=""</formula>
    </cfRule>
  </conditionalFormatting>
  <conditionalFormatting sqref="C44">
    <cfRule type="expression" dxfId="7227" priority="424">
      <formula>B44=""</formula>
    </cfRule>
  </conditionalFormatting>
  <conditionalFormatting sqref="C45">
    <cfRule type="expression" dxfId="7226" priority="423">
      <formula>B45=""</formula>
    </cfRule>
  </conditionalFormatting>
  <conditionalFormatting sqref="C46">
    <cfRule type="expression" dxfId="7225" priority="422">
      <formula>B46=""</formula>
    </cfRule>
  </conditionalFormatting>
  <conditionalFormatting sqref="C47">
    <cfRule type="expression" dxfId="7224" priority="421">
      <formula>B47=""</formula>
    </cfRule>
  </conditionalFormatting>
  <conditionalFormatting sqref="C48">
    <cfRule type="expression" dxfId="7223" priority="420">
      <formula>B48=""</formula>
    </cfRule>
  </conditionalFormatting>
  <conditionalFormatting sqref="C49">
    <cfRule type="expression" dxfId="7222" priority="419">
      <formula>B49=""</formula>
    </cfRule>
  </conditionalFormatting>
  <conditionalFormatting sqref="C50">
    <cfRule type="expression" dxfId="7221" priority="418">
      <formula>B50=""</formula>
    </cfRule>
  </conditionalFormatting>
  <conditionalFormatting sqref="C52:C71">
    <cfRule type="expression" dxfId="7220" priority="417">
      <formula>B52=""</formula>
    </cfRule>
  </conditionalFormatting>
  <conditionalFormatting sqref="C53 C55 C57 C59 C61 C63 C65 C67 C69 C71">
    <cfRule type="expression" dxfId="7219" priority="416">
      <formula>B53=""</formula>
    </cfRule>
  </conditionalFormatting>
  <conditionalFormatting sqref="C54:C64">
    <cfRule type="expression" dxfId="7218" priority="415">
      <formula>B54=""</formula>
    </cfRule>
  </conditionalFormatting>
  <conditionalFormatting sqref="C65">
    <cfRule type="expression" dxfId="7217" priority="414">
      <formula>B65=""</formula>
    </cfRule>
  </conditionalFormatting>
  <conditionalFormatting sqref="C66">
    <cfRule type="expression" dxfId="7216" priority="413">
      <formula>B66=""</formula>
    </cfRule>
  </conditionalFormatting>
  <conditionalFormatting sqref="C67">
    <cfRule type="expression" dxfId="7215" priority="412">
      <formula>B67=""</formula>
    </cfRule>
  </conditionalFormatting>
  <conditionalFormatting sqref="C68">
    <cfRule type="expression" dxfId="7214" priority="411">
      <formula>B68=""</formula>
    </cfRule>
  </conditionalFormatting>
  <conditionalFormatting sqref="C69">
    <cfRule type="expression" dxfId="7213" priority="410">
      <formula>B69=""</formula>
    </cfRule>
  </conditionalFormatting>
  <conditionalFormatting sqref="C70">
    <cfRule type="expression" dxfId="7212" priority="409">
      <formula>B70=""</formula>
    </cfRule>
  </conditionalFormatting>
  <conditionalFormatting sqref="C71">
    <cfRule type="expression" dxfId="7211" priority="408">
      <formula>B71=""</formula>
    </cfRule>
  </conditionalFormatting>
  <conditionalFormatting sqref="C72">
    <cfRule type="expression" dxfId="7210" priority="407">
      <formula>B72=""</formula>
    </cfRule>
  </conditionalFormatting>
  <conditionalFormatting sqref="C74:C94">
    <cfRule type="expression" dxfId="7209" priority="406">
      <formula>B74=""</formula>
    </cfRule>
  </conditionalFormatting>
  <conditionalFormatting sqref="C75 C77 C79 C81 C83 C85 C87 C89 C91 C93">
    <cfRule type="expression" dxfId="7208" priority="405">
      <formula>B75=""</formula>
    </cfRule>
  </conditionalFormatting>
  <conditionalFormatting sqref="C76:C86">
    <cfRule type="expression" dxfId="7207" priority="404">
      <formula>B76=""</formula>
    </cfRule>
  </conditionalFormatting>
  <conditionalFormatting sqref="C87">
    <cfRule type="expression" dxfId="7206" priority="403">
      <formula>B87=""</formula>
    </cfRule>
  </conditionalFormatting>
  <conditionalFormatting sqref="C88">
    <cfRule type="expression" dxfId="7205" priority="402">
      <formula>B88=""</formula>
    </cfRule>
  </conditionalFormatting>
  <conditionalFormatting sqref="C89">
    <cfRule type="expression" dxfId="7204" priority="401">
      <formula>B89=""</formula>
    </cfRule>
  </conditionalFormatting>
  <conditionalFormatting sqref="C90">
    <cfRule type="expression" dxfId="7203" priority="400">
      <formula>B90=""</formula>
    </cfRule>
  </conditionalFormatting>
  <conditionalFormatting sqref="C91">
    <cfRule type="expression" dxfId="7202" priority="399">
      <formula>B91=""</formula>
    </cfRule>
  </conditionalFormatting>
  <conditionalFormatting sqref="C92">
    <cfRule type="expression" dxfId="7201" priority="398">
      <formula>B92=""</formula>
    </cfRule>
  </conditionalFormatting>
  <conditionalFormatting sqref="C93">
    <cfRule type="expression" dxfId="7200" priority="397">
      <formula>B93=""</formula>
    </cfRule>
  </conditionalFormatting>
  <conditionalFormatting sqref="C94">
    <cfRule type="expression" dxfId="7199" priority="396">
      <formula>B94=""</formula>
    </cfRule>
  </conditionalFormatting>
  <conditionalFormatting sqref="C8 C10 C12 C14 C16 C18 C20 C22 C24 C26">
    <cfRule type="expression" dxfId="7198" priority="395">
      <formula>B8=""</formula>
    </cfRule>
  </conditionalFormatting>
  <conditionalFormatting sqref="C9 C11 C13 C15 C17 C19 C21 C23 C25 C27">
    <cfRule type="expression" dxfId="7197" priority="394">
      <formula>B9=""</formula>
    </cfRule>
  </conditionalFormatting>
  <conditionalFormatting sqref="C10:C20">
    <cfRule type="expression" dxfId="7196" priority="393">
      <formula>B10=""</formula>
    </cfRule>
  </conditionalFormatting>
  <conditionalFormatting sqref="C21">
    <cfRule type="expression" dxfId="7195" priority="392">
      <formula>B21=""</formula>
    </cfRule>
  </conditionalFormatting>
  <conditionalFormatting sqref="C22">
    <cfRule type="expression" dxfId="7194" priority="391">
      <formula>B22=""</formula>
    </cfRule>
  </conditionalFormatting>
  <conditionalFormatting sqref="C23">
    <cfRule type="expression" dxfId="7193" priority="390">
      <formula>B23=""</formula>
    </cfRule>
  </conditionalFormatting>
  <conditionalFormatting sqref="C24">
    <cfRule type="expression" dxfId="7192" priority="389">
      <formula>B24=""</formula>
    </cfRule>
  </conditionalFormatting>
  <conditionalFormatting sqref="C25">
    <cfRule type="expression" dxfId="7191" priority="388">
      <formula>B25=""</formula>
    </cfRule>
  </conditionalFormatting>
  <conditionalFormatting sqref="C26">
    <cfRule type="expression" dxfId="7190" priority="387">
      <formula>B26=""</formula>
    </cfRule>
  </conditionalFormatting>
  <conditionalFormatting sqref="C27">
    <cfRule type="expression" dxfId="7189" priority="386">
      <formula>B27=""</formula>
    </cfRule>
  </conditionalFormatting>
  <conditionalFormatting sqref="D8 D10 D12 D14 D16 D18 D20 D22 D24 D26">
    <cfRule type="expression" dxfId="7188" priority="385">
      <formula>B8=""</formula>
    </cfRule>
  </conditionalFormatting>
  <conditionalFormatting sqref="D9 D11 D13 D15 D17 D19 D21 D23 D25 D27">
    <cfRule type="expression" dxfId="7187" priority="384">
      <formula>B9=""</formula>
    </cfRule>
  </conditionalFormatting>
  <conditionalFormatting sqref="D10:D20">
    <cfRule type="expression" dxfId="7186" priority="383">
      <formula>B10=""</formula>
    </cfRule>
  </conditionalFormatting>
  <conditionalFormatting sqref="D21">
    <cfRule type="expression" dxfId="7185" priority="382">
      <formula>B21=""</formula>
    </cfRule>
  </conditionalFormatting>
  <conditionalFormatting sqref="D22">
    <cfRule type="expression" dxfId="7184" priority="381">
      <formula>B22=""</formula>
    </cfRule>
  </conditionalFormatting>
  <conditionalFormatting sqref="D23">
    <cfRule type="expression" dxfId="7183" priority="380">
      <formula>B23=""</formula>
    </cfRule>
  </conditionalFormatting>
  <conditionalFormatting sqref="D24">
    <cfRule type="expression" dxfId="7182" priority="379">
      <formula>B24=""</formula>
    </cfRule>
  </conditionalFormatting>
  <conditionalFormatting sqref="D25">
    <cfRule type="expression" dxfId="7181" priority="378">
      <formula>B25=""</formula>
    </cfRule>
  </conditionalFormatting>
  <conditionalFormatting sqref="D26">
    <cfRule type="expression" dxfId="7180" priority="377">
      <formula>B26=""</formula>
    </cfRule>
  </conditionalFormatting>
  <conditionalFormatting sqref="D27">
    <cfRule type="expression" dxfId="7179" priority="376">
      <formula>B27=""</formula>
    </cfRule>
  </conditionalFormatting>
  <conditionalFormatting sqref="E8:E27">
    <cfRule type="expression" dxfId="7178" priority="375">
      <formula>B8=""</formula>
    </cfRule>
  </conditionalFormatting>
  <conditionalFormatting sqref="E9 E11 E13 E15 E17 E19 E21 E23 E25 E27">
    <cfRule type="expression" dxfId="7177" priority="374">
      <formula>B9=""</formula>
    </cfRule>
  </conditionalFormatting>
  <conditionalFormatting sqref="E10:E20">
    <cfRule type="expression" dxfId="7176" priority="373">
      <formula>B10=""</formula>
    </cfRule>
  </conditionalFormatting>
  <conditionalFormatting sqref="E21">
    <cfRule type="expression" dxfId="7175" priority="372">
      <formula>B21=""</formula>
    </cfRule>
  </conditionalFormatting>
  <conditionalFormatting sqref="E22">
    <cfRule type="expression" dxfId="7174" priority="371">
      <formula>B22=""</formula>
    </cfRule>
  </conditionalFormatting>
  <conditionalFormatting sqref="E23">
    <cfRule type="expression" dxfId="7173" priority="370">
      <formula>B23=""</formula>
    </cfRule>
  </conditionalFormatting>
  <conditionalFormatting sqref="E24">
    <cfRule type="expression" dxfId="7172" priority="369">
      <formula>B24=""</formula>
    </cfRule>
  </conditionalFormatting>
  <conditionalFormatting sqref="E25">
    <cfRule type="expression" dxfId="7171" priority="368">
      <formula>B25=""</formula>
    </cfRule>
  </conditionalFormatting>
  <conditionalFormatting sqref="E26">
    <cfRule type="expression" dxfId="7170" priority="367">
      <formula>B26=""</formula>
    </cfRule>
  </conditionalFormatting>
  <conditionalFormatting sqref="E27">
    <cfRule type="expression" dxfId="7169" priority="366">
      <formula>B27=""</formula>
    </cfRule>
  </conditionalFormatting>
  <conditionalFormatting sqref="F8:F27">
    <cfRule type="expression" dxfId="7168" priority="365">
      <formula>B8=""</formula>
    </cfRule>
  </conditionalFormatting>
  <conditionalFormatting sqref="F9 F11 F13 F15 F17 F19 F21 F23 F25 F27">
    <cfRule type="expression" dxfId="7167" priority="364">
      <formula>B9=""</formula>
    </cfRule>
  </conditionalFormatting>
  <conditionalFormatting sqref="F10:F20">
    <cfRule type="expression" dxfId="7166" priority="363">
      <formula>B10=""</formula>
    </cfRule>
  </conditionalFormatting>
  <conditionalFormatting sqref="F21">
    <cfRule type="expression" dxfId="7165" priority="362">
      <formula>B21=""</formula>
    </cfRule>
  </conditionalFormatting>
  <conditionalFormatting sqref="F22">
    <cfRule type="expression" dxfId="7164" priority="361">
      <formula>B22=""</formula>
    </cfRule>
  </conditionalFormatting>
  <conditionalFormatting sqref="F23">
    <cfRule type="expression" dxfId="7163" priority="360">
      <formula>B23=""</formula>
    </cfRule>
  </conditionalFormatting>
  <conditionalFormatting sqref="F24">
    <cfRule type="expression" dxfId="7162" priority="359">
      <formula>B24=""</formula>
    </cfRule>
  </conditionalFormatting>
  <conditionalFormatting sqref="F25">
    <cfRule type="expression" dxfId="7161" priority="358">
      <formula>B25=""</formula>
    </cfRule>
  </conditionalFormatting>
  <conditionalFormatting sqref="F26">
    <cfRule type="expression" dxfId="7160" priority="357">
      <formula>B26=""</formula>
    </cfRule>
  </conditionalFormatting>
  <conditionalFormatting sqref="F27">
    <cfRule type="expression" dxfId="7159" priority="356">
      <formula>B27=""</formula>
    </cfRule>
  </conditionalFormatting>
  <conditionalFormatting sqref="E9 E11 E13 E15 E17 E19 E21 E23 E25 E27">
    <cfRule type="expression" dxfId="7158" priority="355">
      <formula>B9=""</formula>
    </cfRule>
  </conditionalFormatting>
  <conditionalFormatting sqref="E10:E20">
    <cfRule type="expression" dxfId="7157" priority="354">
      <formula>B10=""</formula>
    </cfRule>
  </conditionalFormatting>
  <conditionalFormatting sqref="E21">
    <cfRule type="expression" dxfId="7156" priority="353">
      <formula>B21=""</formula>
    </cfRule>
  </conditionalFormatting>
  <conditionalFormatting sqref="E22">
    <cfRule type="expression" dxfId="7155" priority="352">
      <formula>B22=""</formula>
    </cfRule>
  </conditionalFormatting>
  <conditionalFormatting sqref="E23">
    <cfRule type="expression" dxfId="7154" priority="351">
      <formula>B23=""</formula>
    </cfRule>
  </conditionalFormatting>
  <conditionalFormatting sqref="E24">
    <cfRule type="expression" dxfId="7153" priority="350">
      <formula>B24=""</formula>
    </cfRule>
  </conditionalFormatting>
  <conditionalFormatting sqref="E25">
    <cfRule type="expression" dxfId="7152" priority="349">
      <formula>B25=""</formula>
    </cfRule>
  </conditionalFormatting>
  <conditionalFormatting sqref="E26">
    <cfRule type="expression" dxfId="7151" priority="348">
      <formula>B26=""</formula>
    </cfRule>
  </conditionalFormatting>
  <conditionalFormatting sqref="E27">
    <cfRule type="expression" dxfId="7150" priority="347">
      <formula>B27=""</formula>
    </cfRule>
  </conditionalFormatting>
  <conditionalFormatting sqref="G8:G27">
    <cfRule type="expression" dxfId="7149" priority="346">
      <formula>B8=""</formula>
    </cfRule>
  </conditionalFormatting>
  <conditionalFormatting sqref="G9 G11 G13 G15 G17 G19 G21 G23 G25 G27">
    <cfRule type="expression" dxfId="7148" priority="345">
      <formula>B9=""</formula>
    </cfRule>
  </conditionalFormatting>
  <conditionalFormatting sqref="G10:G20">
    <cfRule type="expression" dxfId="7147" priority="344">
      <formula>B10=""</formula>
    </cfRule>
  </conditionalFormatting>
  <conditionalFormatting sqref="G21">
    <cfRule type="expression" dxfId="7146" priority="343">
      <formula>B21=""</formula>
    </cfRule>
  </conditionalFormatting>
  <conditionalFormatting sqref="G22">
    <cfRule type="expression" dxfId="7145" priority="342">
      <formula>B22=""</formula>
    </cfRule>
  </conditionalFormatting>
  <conditionalFormatting sqref="G23">
    <cfRule type="expression" dxfId="7144" priority="341">
      <formula>B23=""</formula>
    </cfRule>
  </conditionalFormatting>
  <conditionalFormatting sqref="G24">
    <cfRule type="expression" dxfId="7143" priority="340">
      <formula>B24=""</formula>
    </cfRule>
  </conditionalFormatting>
  <conditionalFormatting sqref="G25">
    <cfRule type="expression" dxfId="7142" priority="339">
      <formula>B25=""</formula>
    </cfRule>
  </conditionalFormatting>
  <conditionalFormatting sqref="G26">
    <cfRule type="expression" dxfId="7141" priority="338">
      <formula>B26=""</formula>
    </cfRule>
  </conditionalFormatting>
  <conditionalFormatting sqref="G27">
    <cfRule type="expression" dxfId="7140" priority="337">
      <formula>B27=""</formula>
    </cfRule>
  </conditionalFormatting>
  <conditionalFormatting sqref="H8 H10 H12 H14 H16 H18 H20 H22 H24 H26">
    <cfRule type="expression" dxfId="7139" priority="336">
      <formula>B8=""</formula>
    </cfRule>
  </conditionalFormatting>
  <conditionalFormatting sqref="H9 H11 H13 H15 H17 H19 H21 H23 H25 H27">
    <cfRule type="expression" dxfId="7138" priority="335">
      <formula>B9=""</formula>
    </cfRule>
  </conditionalFormatting>
  <conditionalFormatting sqref="H10:H20">
    <cfRule type="expression" dxfId="7137" priority="334">
      <formula>B10=""</formula>
    </cfRule>
  </conditionalFormatting>
  <conditionalFormatting sqref="H21">
    <cfRule type="expression" dxfId="7136" priority="333">
      <formula>B21=""</formula>
    </cfRule>
  </conditionalFormatting>
  <conditionalFormatting sqref="H22">
    <cfRule type="expression" dxfId="7135" priority="332">
      <formula>B22=""</formula>
    </cfRule>
  </conditionalFormatting>
  <conditionalFormatting sqref="H23">
    <cfRule type="expression" dxfId="7134" priority="331">
      <formula>B23=""</formula>
    </cfRule>
  </conditionalFormatting>
  <conditionalFormatting sqref="H24">
    <cfRule type="expression" dxfId="7133" priority="330">
      <formula>B24=""</formula>
    </cfRule>
  </conditionalFormatting>
  <conditionalFormatting sqref="H25">
    <cfRule type="expression" dxfId="7132" priority="329">
      <formula>B25=""</formula>
    </cfRule>
  </conditionalFormatting>
  <conditionalFormatting sqref="H26">
    <cfRule type="expression" dxfId="7131" priority="328">
      <formula>B26=""</formula>
    </cfRule>
  </conditionalFormatting>
  <conditionalFormatting sqref="H27">
    <cfRule type="expression" dxfId="7130" priority="327">
      <formula>B27=""</formula>
    </cfRule>
  </conditionalFormatting>
  <conditionalFormatting sqref="F8 F10 F12 F14 F16 F18 F20 F22 F24 F26">
    <cfRule type="expression" dxfId="7129" priority="326">
      <formula>B8=""</formula>
    </cfRule>
  </conditionalFormatting>
  <conditionalFormatting sqref="F9 F11 F13 F15 F17 F19 F21 F23 F25 F27">
    <cfRule type="expression" dxfId="7128" priority="325">
      <formula>B9=""</formula>
    </cfRule>
  </conditionalFormatting>
  <conditionalFormatting sqref="F10:F20">
    <cfRule type="expression" dxfId="7127" priority="324">
      <formula>B10=""</formula>
    </cfRule>
  </conditionalFormatting>
  <conditionalFormatting sqref="F21">
    <cfRule type="expression" dxfId="7126" priority="323">
      <formula>B21=""</formula>
    </cfRule>
  </conditionalFormatting>
  <conditionalFormatting sqref="F22">
    <cfRule type="expression" dxfId="7125" priority="322">
      <formula>B22=""</formula>
    </cfRule>
  </conditionalFormatting>
  <conditionalFormatting sqref="F23">
    <cfRule type="expression" dxfId="7124" priority="321">
      <formula>B23=""</formula>
    </cfRule>
  </conditionalFormatting>
  <conditionalFormatting sqref="F24">
    <cfRule type="expression" dxfId="7123" priority="320">
      <formula>B24=""</formula>
    </cfRule>
  </conditionalFormatting>
  <conditionalFormatting sqref="F25">
    <cfRule type="expression" dxfId="7122" priority="319">
      <formula>B25=""</formula>
    </cfRule>
  </conditionalFormatting>
  <conditionalFormatting sqref="F26">
    <cfRule type="expression" dxfId="7121" priority="318">
      <formula>B26=""</formula>
    </cfRule>
  </conditionalFormatting>
  <conditionalFormatting sqref="F27">
    <cfRule type="expression" dxfId="7120" priority="317">
      <formula>B27=""</formula>
    </cfRule>
  </conditionalFormatting>
  <conditionalFormatting sqref="C30:C49">
    <cfRule type="expression" dxfId="7119" priority="316">
      <formula>B30=""</formula>
    </cfRule>
  </conditionalFormatting>
  <conditionalFormatting sqref="C31 C33 C35 C37 C39 C41 C43 C45 C47 C49">
    <cfRule type="expression" dxfId="7118" priority="315">
      <formula>B31=""</formula>
    </cfRule>
  </conditionalFormatting>
  <conditionalFormatting sqref="C32:C42">
    <cfRule type="expression" dxfId="7117" priority="314">
      <formula>B32=""</formula>
    </cfRule>
  </conditionalFormatting>
  <conditionalFormatting sqref="C43">
    <cfRule type="expression" dxfId="7116" priority="313">
      <formula>B43=""</formula>
    </cfRule>
  </conditionalFormatting>
  <conditionalFormatting sqref="C44">
    <cfRule type="expression" dxfId="7115" priority="312">
      <formula>B44=""</formula>
    </cfRule>
  </conditionalFormatting>
  <conditionalFormatting sqref="C45">
    <cfRule type="expression" dxfId="7114" priority="311">
      <formula>B45=""</formula>
    </cfRule>
  </conditionalFormatting>
  <conditionalFormatting sqref="C46">
    <cfRule type="expression" dxfId="7113" priority="310">
      <formula>B46=""</formula>
    </cfRule>
  </conditionalFormatting>
  <conditionalFormatting sqref="C47">
    <cfRule type="expression" dxfId="7112" priority="309">
      <formula>B47=""</formula>
    </cfRule>
  </conditionalFormatting>
  <conditionalFormatting sqref="C48">
    <cfRule type="expression" dxfId="7111" priority="308">
      <formula>B48=""</formula>
    </cfRule>
  </conditionalFormatting>
  <conditionalFormatting sqref="C49">
    <cfRule type="expression" dxfId="7110" priority="307">
      <formula>B49=""</formula>
    </cfRule>
  </conditionalFormatting>
  <conditionalFormatting sqref="D30 D32 D34 D36 D38 D40 D42 D44 D46 D48">
    <cfRule type="expression" dxfId="7109" priority="306">
      <formula>B30=""</formula>
    </cfRule>
  </conditionalFormatting>
  <conditionalFormatting sqref="D31 D33 D35 D37 D39 D41 D43 D45 D47 D49">
    <cfRule type="expression" dxfId="7108" priority="305">
      <formula>B31=""</formula>
    </cfRule>
  </conditionalFormatting>
  <conditionalFormatting sqref="D32:D42">
    <cfRule type="expression" dxfId="7107" priority="304">
      <formula>B32=""</formula>
    </cfRule>
  </conditionalFormatting>
  <conditionalFormatting sqref="D43">
    <cfRule type="expression" dxfId="7106" priority="303">
      <formula>B43=""</formula>
    </cfRule>
  </conditionalFormatting>
  <conditionalFormatting sqref="D44">
    <cfRule type="expression" dxfId="7105" priority="302">
      <formula>B44=""</formula>
    </cfRule>
  </conditionalFormatting>
  <conditionalFormatting sqref="D45">
    <cfRule type="expression" dxfId="7104" priority="301">
      <formula>B45=""</formula>
    </cfRule>
  </conditionalFormatting>
  <conditionalFormatting sqref="D46">
    <cfRule type="expression" dxfId="7103" priority="300">
      <formula>B46=""</formula>
    </cfRule>
  </conditionalFormatting>
  <conditionalFormatting sqref="D47">
    <cfRule type="expression" dxfId="7102" priority="299">
      <formula>B47=""</formula>
    </cfRule>
  </conditionalFormatting>
  <conditionalFormatting sqref="D48">
    <cfRule type="expression" dxfId="7101" priority="298">
      <formula>B48=""</formula>
    </cfRule>
  </conditionalFormatting>
  <conditionalFormatting sqref="D49">
    <cfRule type="expression" dxfId="7100" priority="297">
      <formula>B49=""</formula>
    </cfRule>
  </conditionalFormatting>
  <conditionalFormatting sqref="E30 E32 E34 E36 E38 E40 E42 E44 E46 E48">
    <cfRule type="expression" dxfId="7099" priority="296">
      <formula>B30=""</formula>
    </cfRule>
  </conditionalFormatting>
  <conditionalFormatting sqref="E31 E33 E35 E37 E39 E41 E43 E45 E47 E49">
    <cfRule type="expression" dxfId="7098" priority="295">
      <formula>B31=""</formula>
    </cfRule>
  </conditionalFormatting>
  <conditionalFormatting sqref="E32:E42">
    <cfRule type="expression" dxfId="7097" priority="294">
      <formula>B32=""</formula>
    </cfRule>
  </conditionalFormatting>
  <conditionalFormatting sqref="E43">
    <cfRule type="expression" dxfId="7096" priority="293">
      <formula>B43=""</formula>
    </cfRule>
  </conditionalFormatting>
  <conditionalFormatting sqref="E44">
    <cfRule type="expression" dxfId="7095" priority="292">
      <formula>B44=""</formula>
    </cfRule>
  </conditionalFormatting>
  <conditionalFormatting sqref="E45">
    <cfRule type="expression" dxfId="7094" priority="291">
      <formula>B45=""</formula>
    </cfRule>
  </conditionalFormatting>
  <conditionalFormatting sqref="E46">
    <cfRule type="expression" dxfId="7093" priority="290">
      <formula>B46=""</formula>
    </cfRule>
  </conditionalFormatting>
  <conditionalFormatting sqref="E47">
    <cfRule type="expression" dxfId="7092" priority="289">
      <formula>B47=""</formula>
    </cfRule>
  </conditionalFormatting>
  <conditionalFormatting sqref="E48">
    <cfRule type="expression" dxfId="7091" priority="288">
      <formula>B48=""</formula>
    </cfRule>
  </conditionalFormatting>
  <conditionalFormatting sqref="E49">
    <cfRule type="expression" dxfId="7090" priority="287">
      <formula>B49=""</formula>
    </cfRule>
  </conditionalFormatting>
  <conditionalFormatting sqref="F30 F32 F34 F36 F38 F40 F42 F44 F46 F48">
    <cfRule type="expression" dxfId="7089" priority="286">
      <formula>B30=""</formula>
    </cfRule>
  </conditionalFormatting>
  <conditionalFormatting sqref="F31 F33 F35 F37 F39 F41 F43 F45 F47 F49">
    <cfRule type="expression" dxfId="7088" priority="285">
      <formula>B31=""</formula>
    </cfRule>
  </conditionalFormatting>
  <conditionalFormatting sqref="F32:F42">
    <cfRule type="expression" dxfId="7087" priority="284">
      <formula>B32=""</formula>
    </cfRule>
  </conditionalFormatting>
  <conditionalFormatting sqref="F43">
    <cfRule type="expression" dxfId="7086" priority="283">
      <formula>B43=""</formula>
    </cfRule>
  </conditionalFormatting>
  <conditionalFormatting sqref="F44">
    <cfRule type="expression" dxfId="7085" priority="282">
      <formula>B44=""</formula>
    </cfRule>
  </conditionalFormatting>
  <conditionalFormatting sqref="F45">
    <cfRule type="expression" dxfId="7084" priority="281">
      <formula>B45=""</formula>
    </cfRule>
  </conditionalFormatting>
  <conditionalFormatting sqref="F46">
    <cfRule type="expression" dxfId="7083" priority="280">
      <formula>B46=""</formula>
    </cfRule>
  </conditionalFormatting>
  <conditionalFormatting sqref="F47">
    <cfRule type="expression" dxfId="7082" priority="279">
      <formula>B47=""</formula>
    </cfRule>
  </conditionalFormatting>
  <conditionalFormatting sqref="F48">
    <cfRule type="expression" dxfId="7081" priority="278">
      <formula>B48=""</formula>
    </cfRule>
  </conditionalFormatting>
  <conditionalFormatting sqref="F49">
    <cfRule type="expression" dxfId="7080" priority="277">
      <formula>B49=""</formula>
    </cfRule>
  </conditionalFormatting>
  <conditionalFormatting sqref="E31 E33 E35 E37 E39 E41 E43 E45 E47 E49">
    <cfRule type="expression" dxfId="7079" priority="276">
      <formula>B31=""</formula>
    </cfRule>
  </conditionalFormatting>
  <conditionalFormatting sqref="E32:E42">
    <cfRule type="expression" dxfId="7078" priority="275">
      <formula>B32=""</formula>
    </cfRule>
  </conditionalFormatting>
  <conditionalFormatting sqref="E43">
    <cfRule type="expression" dxfId="7077" priority="274">
      <formula>B43=""</formula>
    </cfRule>
  </conditionalFormatting>
  <conditionalFormatting sqref="E44">
    <cfRule type="expression" dxfId="7076" priority="273">
      <formula>B44=""</formula>
    </cfRule>
  </conditionalFormatting>
  <conditionalFormatting sqref="E45">
    <cfRule type="expression" dxfId="7075" priority="272">
      <formula>B45=""</formula>
    </cfRule>
  </conditionalFormatting>
  <conditionalFormatting sqref="E46">
    <cfRule type="expression" dxfId="7074" priority="271">
      <formula>B46=""</formula>
    </cfRule>
  </conditionalFormatting>
  <conditionalFormatting sqref="E47">
    <cfRule type="expression" dxfId="7073" priority="270">
      <formula>B47=""</formula>
    </cfRule>
  </conditionalFormatting>
  <conditionalFormatting sqref="E48">
    <cfRule type="expression" dxfId="7072" priority="269">
      <formula>B48=""</formula>
    </cfRule>
  </conditionalFormatting>
  <conditionalFormatting sqref="E49">
    <cfRule type="expression" dxfId="7071" priority="268">
      <formula>B49=""</formula>
    </cfRule>
  </conditionalFormatting>
  <conditionalFormatting sqref="G30 G32 G34 G36 G38 G40 G42 G44 G46 G48">
    <cfRule type="expression" dxfId="7070" priority="267">
      <formula>B30=""</formula>
    </cfRule>
  </conditionalFormatting>
  <conditionalFormatting sqref="G31 G33 G35 G37 G39 G41 G43 G45 G47 G49">
    <cfRule type="expression" dxfId="7069" priority="266">
      <formula>B31=""</formula>
    </cfRule>
  </conditionalFormatting>
  <conditionalFormatting sqref="G32:G42">
    <cfRule type="expression" dxfId="7068" priority="265">
      <formula>B32=""</formula>
    </cfRule>
  </conditionalFormatting>
  <conditionalFormatting sqref="G43">
    <cfRule type="expression" dxfId="7067" priority="264">
      <formula>B43=""</formula>
    </cfRule>
  </conditionalFormatting>
  <conditionalFormatting sqref="G44">
    <cfRule type="expression" dxfId="7066" priority="263">
      <formula>B44=""</formula>
    </cfRule>
  </conditionalFormatting>
  <conditionalFormatting sqref="G45">
    <cfRule type="expression" dxfId="7065" priority="262">
      <formula>B45=""</formula>
    </cfRule>
  </conditionalFormatting>
  <conditionalFormatting sqref="G46">
    <cfRule type="expression" dxfId="7064" priority="261">
      <formula>B46=""</formula>
    </cfRule>
  </conditionalFormatting>
  <conditionalFormatting sqref="G47">
    <cfRule type="expression" dxfId="7063" priority="260">
      <formula>B47=""</formula>
    </cfRule>
  </conditionalFormatting>
  <conditionalFormatting sqref="G48">
    <cfRule type="expression" dxfId="7062" priority="259">
      <formula>B48=""</formula>
    </cfRule>
  </conditionalFormatting>
  <conditionalFormatting sqref="G49">
    <cfRule type="expression" dxfId="7061" priority="258">
      <formula>B49=""</formula>
    </cfRule>
  </conditionalFormatting>
  <conditionalFormatting sqref="H30 H32 H34 H36 H38 H40 H42 H44 H46 H48">
    <cfRule type="expression" dxfId="7060" priority="257">
      <formula>B30=""</formula>
    </cfRule>
  </conditionalFormatting>
  <conditionalFormatting sqref="H31 H33 H35 H37 H39 H41 H43 H45 H47 H49">
    <cfRule type="expression" dxfId="7059" priority="256">
      <formula>B31=""</formula>
    </cfRule>
  </conditionalFormatting>
  <conditionalFormatting sqref="H32:H42">
    <cfRule type="expression" dxfId="7058" priority="255">
      <formula>B32=""</formula>
    </cfRule>
  </conditionalFormatting>
  <conditionalFormatting sqref="H43">
    <cfRule type="expression" dxfId="7057" priority="254">
      <formula>B43=""</formula>
    </cfRule>
  </conditionalFormatting>
  <conditionalFormatting sqref="H44">
    <cfRule type="expression" dxfId="7056" priority="253">
      <formula>B44=""</formula>
    </cfRule>
  </conditionalFormatting>
  <conditionalFormatting sqref="H45">
    <cfRule type="expression" dxfId="7055" priority="252">
      <formula>B45=""</formula>
    </cfRule>
  </conditionalFormatting>
  <conditionalFormatting sqref="H46">
    <cfRule type="expression" dxfId="7054" priority="251">
      <formula>B46=""</formula>
    </cfRule>
  </conditionalFormatting>
  <conditionalFormatting sqref="H47">
    <cfRule type="expression" dxfId="7053" priority="250">
      <formula>B47=""</formula>
    </cfRule>
  </conditionalFormatting>
  <conditionalFormatting sqref="H48">
    <cfRule type="expression" dxfId="7052" priority="249">
      <formula>B48=""</formula>
    </cfRule>
  </conditionalFormatting>
  <conditionalFormatting sqref="H49">
    <cfRule type="expression" dxfId="7051" priority="248">
      <formula>B49=""</formula>
    </cfRule>
  </conditionalFormatting>
  <conditionalFormatting sqref="C30:C49">
    <cfRule type="expression" dxfId="7050" priority="247">
      <formula>B30=""</formula>
    </cfRule>
  </conditionalFormatting>
  <conditionalFormatting sqref="C31 C33 C35 C37 C39 C41 C43 C45 C47 C49">
    <cfRule type="expression" dxfId="7049" priority="246">
      <formula>B31=""</formula>
    </cfRule>
  </conditionalFormatting>
  <conditionalFormatting sqref="C32:C42">
    <cfRule type="expression" dxfId="7048" priority="245">
      <formula>B32=""</formula>
    </cfRule>
  </conditionalFormatting>
  <conditionalFormatting sqref="C43">
    <cfRule type="expression" dxfId="7047" priority="244">
      <formula>B43=""</formula>
    </cfRule>
  </conditionalFormatting>
  <conditionalFormatting sqref="C44">
    <cfRule type="expression" dxfId="7046" priority="243">
      <formula>B44=""</formula>
    </cfRule>
  </conditionalFormatting>
  <conditionalFormatting sqref="C45">
    <cfRule type="expression" dxfId="7045" priority="242">
      <formula>B45=""</formula>
    </cfRule>
  </conditionalFormatting>
  <conditionalFormatting sqref="C46">
    <cfRule type="expression" dxfId="7044" priority="241">
      <formula>B46=""</formula>
    </cfRule>
  </conditionalFormatting>
  <conditionalFormatting sqref="C47">
    <cfRule type="expression" dxfId="7043" priority="240">
      <formula>B47=""</formula>
    </cfRule>
  </conditionalFormatting>
  <conditionalFormatting sqref="C48">
    <cfRule type="expression" dxfId="7042" priority="239">
      <formula>B48=""</formula>
    </cfRule>
  </conditionalFormatting>
  <conditionalFormatting sqref="C49">
    <cfRule type="expression" dxfId="7041" priority="238">
      <formula>B49=""</formula>
    </cfRule>
  </conditionalFormatting>
  <conditionalFormatting sqref="C30 C32 C34 C36 C38 C40 C42 C44 C46 C48">
    <cfRule type="expression" dxfId="7040" priority="237">
      <formula>B30=""</formula>
    </cfRule>
  </conditionalFormatting>
  <conditionalFormatting sqref="C31 C33 C35 C37 C39 C41 C43 C45 C47 C49">
    <cfRule type="expression" dxfId="7039" priority="236">
      <formula>B31=""</formula>
    </cfRule>
  </conditionalFormatting>
  <conditionalFormatting sqref="C32:C42">
    <cfRule type="expression" dxfId="7038" priority="235">
      <formula>B32=""</formula>
    </cfRule>
  </conditionalFormatting>
  <conditionalFormatting sqref="C43">
    <cfRule type="expression" dxfId="7037" priority="234">
      <formula>B43=""</formula>
    </cfRule>
  </conditionalFormatting>
  <conditionalFormatting sqref="C44">
    <cfRule type="expression" dxfId="7036" priority="233">
      <formula>B44=""</formula>
    </cfRule>
  </conditionalFormatting>
  <conditionalFormatting sqref="C45">
    <cfRule type="expression" dxfId="7035" priority="232">
      <formula>B45=""</formula>
    </cfRule>
  </conditionalFormatting>
  <conditionalFormatting sqref="C46">
    <cfRule type="expression" dxfId="7034" priority="231">
      <formula>B46=""</formula>
    </cfRule>
  </conditionalFormatting>
  <conditionalFormatting sqref="C47">
    <cfRule type="expression" dxfId="7033" priority="230">
      <formula>B47=""</formula>
    </cfRule>
  </conditionalFormatting>
  <conditionalFormatting sqref="C48">
    <cfRule type="expression" dxfId="7032" priority="229">
      <formula>B48=""</formula>
    </cfRule>
  </conditionalFormatting>
  <conditionalFormatting sqref="C49">
    <cfRule type="expression" dxfId="7031" priority="228">
      <formula>B49=""</formula>
    </cfRule>
  </conditionalFormatting>
  <conditionalFormatting sqref="D30 D32 D34 D36 D38 D40 D42 D44 D46 D48">
    <cfRule type="expression" dxfId="7030" priority="227">
      <formula>B30=""</formula>
    </cfRule>
  </conditionalFormatting>
  <conditionalFormatting sqref="D31 D33 D35 D37 D39 D41 D43 D45 D47 D49">
    <cfRule type="expression" dxfId="7029" priority="226">
      <formula>B31=""</formula>
    </cfRule>
  </conditionalFormatting>
  <conditionalFormatting sqref="D32:D42">
    <cfRule type="expression" dxfId="7028" priority="225">
      <formula>B32=""</formula>
    </cfRule>
  </conditionalFormatting>
  <conditionalFormatting sqref="D43">
    <cfRule type="expression" dxfId="7027" priority="224">
      <formula>B43=""</formula>
    </cfRule>
  </conditionalFormatting>
  <conditionalFormatting sqref="D44">
    <cfRule type="expression" dxfId="7026" priority="223">
      <formula>B44=""</formula>
    </cfRule>
  </conditionalFormatting>
  <conditionalFormatting sqref="D45">
    <cfRule type="expression" dxfId="7025" priority="222">
      <formula>B45=""</formula>
    </cfRule>
  </conditionalFormatting>
  <conditionalFormatting sqref="D46">
    <cfRule type="expression" dxfId="7024" priority="221">
      <formula>B46=""</formula>
    </cfRule>
  </conditionalFormatting>
  <conditionalFormatting sqref="D47">
    <cfRule type="expression" dxfId="7023" priority="220">
      <formula>B47=""</formula>
    </cfRule>
  </conditionalFormatting>
  <conditionalFormatting sqref="D48">
    <cfRule type="expression" dxfId="7022" priority="219">
      <formula>B48=""</formula>
    </cfRule>
  </conditionalFormatting>
  <conditionalFormatting sqref="D49">
    <cfRule type="expression" dxfId="7021" priority="218">
      <formula>B49=""</formula>
    </cfRule>
  </conditionalFormatting>
  <conditionalFormatting sqref="E30:E49">
    <cfRule type="expression" dxfId="7020" priority="217">
      <formula>B30=""</formula>
    </cfRule>
  </conditionalFormatting>
  <conditionalFormatting sqref="E31 E33 E35 E37 E39 E41 E43 E45 E47 E49">
    <cfRule type="expression" dxfId="7019" priority="216">
      <formula>B31=""</formula>
    </cfRule>
  </conditionalFormatting>
  <conditionalFormatting sqref="E32:E42">
    <cfRule type="expression" dxfId="7018" priority="215">
      <formula>B32=""</formula>
    </cfRule>
  </conditionalFormatting>
  <conditionalFormatting sqref="E43">
    <cfRule type="expression" dxfId="7017" priority="214">
      <formula>B43=""</formula>
    </cfRule>
  </conditionalFormatting>
  <conditionalFormatting sqref="E44">
    <cfRule type="expression" dxfId="7016" priority="213">
      <formula>B44=""</formula>
    </cfRule>
  </conditionalFormatting>
  <conditionalFormatting sqref="E45">
    <cfRule type="expression" dxfId="7015" priority="212">
      <formula>B45=""</formula>
    </cfRule>
  </conditionalFormatting>
  <conditionalFormatting sqref="E46">
    <cfRule type="expression" dxfId="7014" priority="211">
      <formula>B46=""</formula>
    </cfRule>
  </conditionalFormatting>
  <conditionalFormatting sqref="E47">
    <cfRule type="expression" dxfId="7013" priority="210">
      <formula>B47=""</formula>
    </cfRule>
  </conditionalFormatting>
  <conditionalFormatting sqref="E48">
    <cfRule type="expression" dxfId="7012" priority="209">
      <formula>B48=""</formula>
    </cfRule>
  </conditionalFormatting>
  <conditionalFormatting sqref="E49">
    <cfRule type="expression" dxfId="7011" priority="208">
      <formula>B49=""</formula>
    </cfRule>
  </conditionalFormatting>
  <conditionalFormatting sqref="F30:F49">
    <cfRule type="expression" dxfId="7010" priority="207">
      <formula>B30=""</formula>
    </cfRule>
  </conditionalFormatting>
  <conditionalFormatting sqref="F31 F33 F35 F37 F39 F41 F43 F45 F47 F49">
    <cfRule type="expression" dxfId="7009" priority="206">
      <formula>B31=""</formula>
    </cfRule>
  </conditionalFormatting>
  <conditionalFormatting sqref="F32:F42">
    <cfRule type="expression" dxfId="7008" priority="205">
      <formula>B32=""</formula>
    </cfRule>
  </conditionalFormatting>
  <conditionalFormatting sqref="F43">
    <cfRule type="expression" dxfId="7007" priority="204">
      <formula>B43=""</formula>
    </cfRule>
  </conditionalFormatting>
  <conditionalFormatting sqref="F44">
    <cfRule type="expression" dxfId="7006" priority="203">
      <formula>B44=""</formula>
    </cfRule>
  </conditionalFormatting>
  <conditionalFormatting sqref="F45">
    <cfRule type="expression" dxfId="7005" priority="202">
      <formula>B45=""</formula>
    </cfRule>
  </conditionalFormatting>
  <conditionalFormatting sqref="F46">
    <cfRule type="expression" dxfId="7004" priority="201">
      <formula>B46=""</formula>
    </cfRule>
  </conditionalFormatting>
  <conditionalFormatting sqref="F47">
    <cfRule type="expression" dxfId="7003" priority="200">
      <formula>B47=""</formula>
    </cfRule>
  </conditionalFormatting>
  <conditionalFormatting sqref="F48">
    <cfRule type="expression" dxfId="7002" priority="199">
      <formula>B48=""</formula>
    </cfRule>
  </conditionalFormatting>
  <conditionalFormatting sqref="F49">
    <cfRule type="expression" dxfId="7001" priority="198">
      <formula>B49=""</formula>
    </cfRule>
  </conditionalFormatting>
  <conditionalFormatting sqref="E31 E33 E35 E37 E39 E41 E43 E45 E47 E49">
    <cfRule type="expression" dxfId="7000" priority="197">
      <formula>B31=""</formula>
    </cfRule>
  </conditionalFormatting>
  <conditionalFormatting sqref="E32:E42">
    <cfRule type="expression" dxfId="6999" priority="196">
      <formula>B32=""</formula>
    </cfRule>
  </conditionalFormatting>
  <conditionalFormatting sqref="E43">
    <cfRule type="expression" dxfId="6998" priority="195">
      <formula>B43=""</formula>
    </cfRule>
  </conditionalFormatting>
  <conditionalFormatting sqref="E44">
    <cfRule type="expression" dxfId="6997" priority="194">
      <formula>B44=""</formula>
    </cfRule>
  </conditionalFormatting>
  <conditionalFormatting sqref="E45">
    <cfRule type="expression" dxfId="6996" priority="193">
      <formula>B45=""</formula>
    </cfRule>
  </conditionalFormatting>
  <conditionalFormatting sqref="E46">
    <cfRule type="expression" dxfId="6995" priority="192">
      <formula>B46=""</formula>
    </cfRule>
  </conditionalFormatting>
  <conditionalFormatting sqref="E47">
    <cfRule type="expression" dxfId="6994" priority="191">
      <formula>B47=""</formula>
    </cfRule>
  </conditionalFormatting>
  <conditionalFormatting sqref="E48">
    <cfRule type="expression" dxfId="6993" priority="190">
      <formula>B48=""</formula>
    </cfRule>
  </conditionalFormatting>
  <conditionalFormatting sqref="E49">
    <cfRule type="expression" dxfId="6992" priority="189">
      <formula>B49=""</formula>
    </cfRule>
  </conditionalFormatting>
  <conditionalFormatting sqref="G30:G49">
    <cfRule type="expression" dxfId="6991" priority="188">
      <formula>B30=""</formula>
    </cfRule>
  </conditionalFormatting>
  <conditionalFormatting sqref="G31 G33 G35 G37 G39 G41 G43 G45 G47 G49">
    <cfRule type="expression" dxfId="6990" priority="187">
      <formula>B31=""</formula>
    </cfRule>
  </conditionalFormatting>
  <conditionalFormatting sqref="G32:G42">
    <cfRule type="expression" dxfId="6989" priority="186">
      <formula>B32=""</formula>
    </cfRule>
  </conditionalFormatting>
  <conditionalFormatting sqref="G43">
    <cfRule type="expression" dxfId="6988" priority="185">
      <formula>B43=""</formula>
    </cfRule>
  </conditionalFormatting>
  <conditionalFormatting sqref="G44">
    <cfRule type="expression" dxfId="6987" priority="184">
      <formula>B44=""</formula>
    </cfRule>
  </conditionalFormatting>
  <conditionalFormatting sqref="G45">
    <cfRule type="expression" dxfId="6986" priority="183">
      <formula>B45=""</formula>
    </cfRule>
  </conditionalFormatting>
  <conditionalFormatting sqref="G46">
    <cfRule type="expression" dxfId="6985" priority="182">
      <formula>B46=""</formula>
    </cfRule>
  </conditionalFormatting>
  <conditionalFormatting sqref="G47">
    <cfRule type="expression" dxfId="6984" priority="181">
      <formula>B47=""</formula>
    </cfRule>
  </conditionalFormatting>
  <conditionalFormatting sqref="G48">
    <cfRule type="expression" dxfId="6983" priority="180">
      <formula>B48=""</formula>
    </cfRule>
  </conditionalFormatting>
  <conditionalFormatting sqref="G49">
    <cfRule type="expression" dxfId="6982" priority="179">
      <formula>B49=""</formula>
    </cfRule>
  </conditionalFormatting>
  <conditionalFormatting sqref="H30 H32 H34 H36 H38 H40 H42 H44 H46 H48">
    <cfRule type="expression" dxfId="6981" priority="178">
      <formula>B30=""</formula>
    </cfRule>
  </conditionalFormatting>
  <conditionalFormatting sqref="H31 H33 H35 H37 H39 H41 H43 H45 H47 H49">
    <cfRule type="expression" dxfId="6980" priority="177">
      <formula>B31=""</formula>
    </cfRule>
  </conditionalFormatting>
  <conditionalFormatting sqref="H32:H42">
    <cfRule type="expression" dxfId="6979" priority="176">
      <formula>B32=""</formula>
    </cfRule>
  </conditionalFormatting>
  <conditionalFormatting sqref="H43">
    <cfRule type="expression" dxfId="6978" priority="175">
      <formula>B43=""</formula>
    </cfRule>
  </conditionalFormatting>
  <conditionalFormatting sqref="H44">
    <cfRule type="expression" dxfId="6977" priority="174">
      <formula>B44=""</formula>
    </cfRule>
  </conditionalFormatting>
  <conditionalFormatting sqref="H45">
    <cfRule type="expression" dxfId="6976" priority="173">
      <formula>B45=""</formula>
    </cfRule>
  </conditionalFormatting>
  <conditionalFormatting sqref="H46">
    <cfRule type="expression" dxfId="6975" priority="172">
      <formula>B46=""</formula>
    </cfRule>
  </conditionalFormatting>
  <conditionalFormatting sqref="H47">
    <cfRule type="expression" dxfId="6974" priority="171">
      <formula>B47=""</formula>
    </cfRule>
  </conditionalFormatting>
  <conditionalFormatting sqref="H48">
    <cfRule type="expression" dxfId="6973" priority="170">
      <formula>B48=""</formula>
    </cfRule>
  </conditionalFormatting>
  <conditionalFormatting sqref="H49">
    <cfRule type="expression" dxfId="6972" priority="169">
      <formula>B49=""</formula>
    </cfRule>
  </conditionalFormatting>
  <conditionalFormatting sqref="F30 F32 F34 F36 F38 F40 F42 F44 F46 F48">
    <cfRule type="expression" dxfId="6971" priority="168">
      <formula>B30=""</formula>
    </cfRule>
  </conditionalFormatting>
  <conditionalFormatting sqref="F31 F33 F35 F37 F39 F41 F43 F45 F47 F49">
    <cfRule type="expression" dxfId="6970" priority="167">
      <formula>B31=""</formula>
    </cfRule>
  </conditionalFormatting>
  <conditionalFormatting sqref="F32:F42">
    <cfRule type="expression" dxfId="6969" priority="166">
      <formula>B32=""</formula>
    </cfRule>
  </conditionalFormatting>
  <conditionalFormatting sqref="F43">
    <cfRule type="expression" dxfId="6968" priority="165">
      <formula>B43=""</formula>
    </cfRule>
  </conditionalFormatting>
  <conditionalFormatting sqref="F44">
    <cfRule type="expression" dxfId="6967" priority="164">
      <formula>B44=""</formula>
    </cfRule>
  </conditionalFormatting>
  <conditionalFormatting sqref="F45">
    <cfRule type="expression" dxfId="6966" priority="163">
      <formula>B45=""</formula>
    </cfRule>
  </conditionalFormatting>
  <conditionalFormatting sqref="F46">
    <cfRule type="expression" dxfId="6965" priority="162">
      <formula>B46=""</formula>
    </cfRule>
  </conditionalFormatting>
  <conditionalFormatting sqref="F47">
    <cfRule type="expression" dxfId="6964" priority="161">
      <formula>B47=""</formula>
    </cfRule>
  </conditionalFormatting>
  <conditionalFormatting sqref="F48">
    <cfRule type="expression" dxfId="6963" priority="160">
      <formula>B48=""</formula>
    </cfRule>
  </conditionalFormatting>
  <conditionalFormatting sqref="F49">
    <cfRule type="expression" dxfId="6962" priority="159">
      <formula>B49=""</formula>
    </cfRule>
  </conditionalFormatting>
  <conditionalFormatting sqref="C52:C71">
    <cfRule type="expression" dxfId="6961" priority="158">
      <formula>B52=""</formula>
    </cfRule>
  </conditionalFormatting>
  <conditionalFormatting sqref="C53 C55 C57 C59 C61 C63 C65 C67 C69 C71">
    <cfRule type="expression" dxfId="6960" priority="157">
      <formula>B53=""</formula>
    </cfRule>
  </conditionalFormatting>
  <conditionalFormatting sqref="C54:C64">
    <cfRule type="expression" dxfId="6959" priority="156">
      <formula>B54=""</formula>
    </cfRule>
  </conditionalFormatting>
  <conditionalFormatting sqref="C65">
    <cfRule type="expression" dxfId="6958" priority="155">
      <formula>B65=""</formula>
    </cfRule>
  </conditionalFormatting>
  <conditionalFormatting sqref="C66">
    <cfRule type="expression" dxfId="6957" priority="154">
      <formula>B66=""</formula>
    </cfRule>
  </conditionalFormatting>
  <conditionalFormatting sqref="C67">
    <cfRule type="expression" dxfId="6956" priority="153">
      <formula>B67=""</formula>
    </cfRule>
  </conditionalFormatting>
  <conditionalFormatting sqref="C68">
    <cfRule type="expression" dxfId="6955" priority="152">
      <formula>B68=""</formula>
    </cfRule>
  </conditionalFormatting>
  <conditionalFormatting sqref="C69">
    <cfRule type="expression" dxfId="6954" priority="151">
      <formula>B69=""</formula>
    </cfRule>
  </conditionalFormatting>
  <conditionalFormatting sqref="C70">
    <cfRule type="expression" dxfId="6953" priority="150">
      <formula>B70=""</formula>
    </cfRule>
  </conditionalFormatting>
  <conditionalFormatting sqref="C71">
    <cfRule type="expression" dxfId="6952" priority="149">
      <formula>B71=""</formula>
    </cfRule>
  </conditionalFormatting>
  <conditionalFormatting sqref="C71">
    <cfRule type="expression" dxfId="6951" priority="148">
      <formula>B71=""</formula>
    </cfRule>
  </conditionalFormatting>
  <conditionalFormatting sqref="C52:C71">
    <cfRule type="expression" dxfId="6950" priority="147">
      <formula>B52=""</formula>
    </cfRule>
  </conditionalFormatting>
  <conditionalFormatting sqref="C53 C55 C57 C59 C61 C63 C65 C67 C69 C71">
    <cfRule type="expression" dxfId="6949" priority="146">
      <formula>B53=""</formula>
    </cfRule>
  </conditionalFormatting>
  <conditionalFormatting sqref="C54:C64">
    <cfRule type="expression" dxfId="6948" priority="145">
      <formula>B54=""</formula>
    </cfRule>
  </conditionalFormatting>
  <conditionalFormatting sqref="C65">
    <cfRule type="expression" dxfId="6947" priority="144">
      <formula>B65=""</formula>
    </cfRule>
  </conditionalFormatting>
  <conditionalFormatting sqref="C66">
    <cfRule type="expression" dxfId="6946" priority="143">
      <formula>B66=""</formula>
    </cfRule>
  </conditionalFormatting>
  <conditionalFormatting sqref="C67">
    <cfRule type="expression" dxfId="6945" priority="142">
      <formula>B67=""</formula>
    </cfRule>
  </conditionalFormatting>
  <conditionalFormatting sqref="C68">
    <cfRule type="expression" dxfId="6944" priority="141">
      <formula>B68=""</formula>
    </cfRule>
  </conditionalFormatting>
  <conditionalFormatting sqref="C69">
    <cfRule type="expression" dxfId="6943" priority="140">
      <formula>B69=""</formula>
    </cfRule>
  </conditionalFormatting>
  <conditionalFormatting sqref="C70">
    <cfRule type="expression" dxfId="6942" priority="139">
      <formula>B70=""</formula>
    </cfRule>
  </conditionalFormatting>
  <conditionalFormatting sqref="C71">
    <cfRule type="expression" dxfId="6941" priority="138">
      <formula>B71=""</formula>
    </cfRule>
  </conditionalFormatting>
  <conditionalFormatting sqref="C52:C71">
    <cfRule type="expression" dxfId="6940" priority="137">
      <formula>B52=""</formula>
    </cfRule>
  </conditionalFormatting>
  <conditionalFormatting sqref="C53 C55 C57 C59 C61 C63 C65 C67 C69 C71">
    <cfRule type="expression" dxfId="6939" priority="136">
      <formula>B53=""</formula>
    </cfRule>
  </conditionalFormatting>
  <conditionalFormatting sqref="C54:C64">
    <cfRule type="expression" dxfId="6938" priority="135">
      <formula>B54=""</formula>
    </cfRule>
  </conditionalFormatting>
  <conditionalFormatting sqref="C65">
    <cfRule type="expression" dxfId="6937" priority="134">
      <formula>B65=""</formula>
    </cfRule>
  </conditionalFormatting>
  <conditionalFormatting sqref="C66">
    <cfRule type="expression" dxfId="6936" priority="133">
      <formula>B66=""</formula>
    </cfRule>
  </conditionalFormatting>
  <conditionalFormatting sqref="C67">
    <cfRule type="expression" dxfId="6935" priority="132">
      <formula>B67=""</formula>
    </cfRule>
  </conditionalFormatting>
  <conditionalFormatting sqref="C68">
    <cfRule type="expression" dxfId="6934" priority="131">
      <formula>B68=""</formula>
    </cfRule>
  </conditionalFormatting>
  <conditionalFormatting sqref="C69">
    <cfRule type="expression" dxfId="6933" priority="130">
      <formula>B69=""</formula>
    </cfRule>
  </conditionalFormatting>
  <conditionalFormatting sqref="C70">
    <cfRule type="expression" dxfId="6932" priority="129">
      <formula>B70=""</formula>
    </cfRule>
  </conditionalFormatting>
  <conditionalFormatting sqref="C71">
    <cfRule type="expression" dxfId="6931" priority="128">
      <formula>B71=""</formula>
    </cfRule>
  </conditionalFormatting>
  <conditionalFormatting sqref="C52:C71">
    <cfRule type="expression" dxfId="6930" priority="127">
      <formula>B52=""</formula>
    </cfRule>
  </conditionalFormatting>
  <conditionalFormatting sqref="C53 C55 C57 C59 C61 C63 C65 C67 C69 C71">
    <cfRule type="expression" dxfId="6929" priority="126">
      <formula>B53=""</formula>
    </cfRule>
  </conditionalFormatting>
  <conditionalFormatting sqref="C54:C64">
    <cfRule type="expression" dxfId="6928" priority="125">
      <formula>B54=""</formula>
    </cfRule>
  </conditionalFormatting>
  <conditionalFormatting sqref="C65">
    <cfRule type="expression" dxfId="6927" priority="124">
      <formula>B65=""</formula>
    </cfRule>
  </conditionalFormatting>
  <conditionalFormatting sqref="C66">
    <cfRule type="expression" dxfId="6926" priority="123">
      <formula>B66=""</formula>
    </cfRule>
  </conditionalFormatting>
  <conditionalFormatting sqref="C67">
    <cfRule type="expression" dxfId="6925" priority="122">
      <formula>B67=""</formula>
    </cfRule>
  </conditionalFormatting>
  <conditionalFormatting sqref="C68">
    <cfRule type="expression" dxfId="6924" priority="121">
      <formula>B68=""</formula>
    </cfRule>
  </conditionalFormatting>
  <conditionalFormatting sqref="C69">
    <cfRule type="expression" dxfId="6923" priority="120">
      <formula>B69=""</formula>
    </cfRule>
  </conditionalFormatting>
  <conditionalFormatting sqref="C70">
    <cfRule type="expression" dxfId="6922" priority="119">
      <formula>B70=""</formula>
    </cfRule>
  </conditionalFormatting>
  <conditionalFormatting sqref="C71">
    <cfRule type="expression" dxfId="6921" priority="118">
      <formula>B71=""</formula>
    </cfRule>
  </conditionalFormatting>
  <conditionalFormatting sqref="C52 C54 C56 C58 C60 C62 C64 C66 C68 C70">
    <cfRule type="expression" dxfId="6920" priority="117">
      <formula>B52=""</formula>
    </cfRule>
  </conditionalFormatting>
  <conditionalFormatting sqref="C53 C55 C57 C59 C61 C63 C65 C67 C69 C71">
    <cfRule type="expression" dxfId="6919" priority="116">
      <formula>B53=""</formula>
    </cfRule>
  </conditionalFormatting>
  <conditionalFormatting sqref="C54:C64">
    <cfRule type="expression" dxfId="6918" priority="115">
      <formula>B54=""</formula>
    </cfRule>
  </conditionalFormatting>
  <conditionalFormatting sqref="C65">
    <cfRule type="expression" dxfId="6917" priority="114">
      <formula>B65=""</formula>
    </cfRule>
  </conditionalFormatting>
  <conditionalFormatting sqref="C66">
    <cfRule type="expression" dxfId="6916" priority="113">
      <formula>B66=""</formula>
    </cfRule>
  </conditionalFormatting>
  <conditionalFormatting sqref="C67">
    <cfRule type="expression" dxfId="6915" priority="112">
      <formula>B67=""</formula>
    </cfRule>
  </conditionalFormatting>
  <conditionalFormatting sqref="C68">
    <cfRule type="expression" dxfId="6914" priority="111">
      <formula>B68=""</formula>
    </cfRule>
  </conditionalFormatting>
  <conditionalFormatting sqref="C69">
    <cfRule type="expression" dxfId="6913" priority="110">
      <formula>B69=""</formula>
    </cfRule>
  </conditionalFormatting>
  <conditionalFormatting sqref="C70">
    <cfRule type="expression" dxfId="6912" priority="109">
      <formula>B70=""</formula>
    </cfRule>
  </conditionalFormatting>
  <conditionalFormatting sqref="C71">
    <cfRule type="expression" dxfId="6911" priority="108">
      <formula>B71=""</formula>
    </cfRule>
  </conditionalFormatting>
  <conditionalFormatting sqref="C74:C93">
    <cfRule type="expression" dxfId="6910" priority="107">
      <formula>B74=""</formula>
    </cfRule>
  </conditionalFormatting>
  <conditionalFormatting sqref="C75 C77 C79 C81 C83 C85 C87 C89 C91 C93">
    <cfRule type="expression" dxfId="6909" priority="106">
      <formula>B75=""</formula>
    </cfRule>
  </conditionalFormatting>
  <conditionalFormatting sqref="C76:C86">
    <cfRule type="expression" dxfId="6908" priority="105">
      <formula>B76=""</formula>
    </cfRule>
  </conditionalFormatting>
  <conditionalFormatting sqref="C87">
    <cfRule type="expression" dxfId="6907" priority="104">
      <formula>B87=""</formula>
    </cfRule>
  </conditionalFormatting>
  <conditionalFormatting sqref="C88">
    <cfRule type="expression" dxfId="6906" priority="103">
      <formula>B88=""</formula>
    </cfRule>
  </conditionalFormatting>
  <conditionalFormatting sqref="C89">
    <cfRule type="expression" dxfId="6905" priority="102">
      <formula>B89=""</formula>
    </cfRule>
  </conditionalFormatting>
  <conditionalFormatting sqref="C90">
    <cfRule type="expression" dxfId="6904" priority="101">
      <formula>B90=""</formula>
    </cfRule>
  </conditionalFormatting>
  <conditionalFormatting sqref="C91">
    <cfRule type="expression" dxfId="6903" priority="100">
      <formula>B91=""</formula>
    </cfRule>
  </conditionalFormatting>
  <conditionalFormatting sqref="C92">
    <cfRule type="expression" dxfId="6902" priority="99">
      <formula>B92=""</formula>
    </cfRule>
  </conditionalFormatting>
  <conditionalFormatting sqref="C93">
    <cfRule type="expression" dxfId="6901" priority="98">
      <formula>B93=""</formula>
    </cfRule>
  </conditionalFormatting>
  <conditionalFormatting sqref="C93">
    <cfRule type="expression" dxfId="6900" priority="97">
      <formula>B93=""</formula>
    </cfRule>
  </conditionalFormatting>
  <conditionalFormatting sqref="C74:C93">
    <cfRule type="expression" dxfId="6899" priority="96">
      <formula>B74=""</formula>
    </cfRule>
  </conditionalFormatting>
  <conditionalFormatting sqref="C75 C77 C79 C81 C83 C85 C87 C89 C91 C93">
    <cfRule type="expression" dxfId="6898" priority="95">
      <formula>B75=""</formula>
    </cfRule>
  </conditionalFormatting>
  <conditionalFormatting sqref="C76:C86">
    <cfRule type="expression" dxfId="6897" priority="94">
      <formula>B76=""</formula>
    </cfRule>
  </conditionalFormatting>
  <conditionalFormatting sqref="C87">
    <cfRule type="expression" dxfId="6896" priority="93">
      <formula>B87=""</formula>
    </cfRule>
  </conditionalFormatting>
  <conditionalFormatting sqref="C88">
    <cfRule type="expression" dxfId="6895" priority="92">
      <formula>B88=""</formula>
    </cfRule>
  </conditionalFormatting>
  <conditionalFormatting sqref="C89">
    <cfRule type="expression" dxfId="6894" priority="91">
      <formula>B89=""</formula>
    </cfRule>
  </conditionalFormatting>
  <conditionalFormatting sqref="C90">
    <cfRule type="expression" dxfId="6893" priority="90">
      <formula>B90=""</formula>
    </cfRule>
  </conditionalFormatting>
  <conditionalFormatting sqref="C91">
    <cfRule type="expression" dxfId="6892" priority="89">
      <formula>B91=""</formula>
    </cfRule>
  </conditionalFormatting>
  <conditionalFormatting sqref="C92">
    <cfRule type="expression" dxfId="6891" priority="88">
      <formula>B92=""</formula>
    </cfRule>
  </conditionalFormatting>
  <conditionalFormatting sqref="C93">
    <cfRule type="expression" dxfId="6890" priority="87">
      <formula>B93=""</formula>
    </cfRule>
  </conditionalFormatting>
  <conditionalFormatting sqref="C74:C93">
    <cfRule type="expression" dxfId="6889" priority="86">
      <formula>B74=""</formula>
    </cfRule>
  </conditionalFormatting>
  <conditionalFormatting sqref="C75 C77 C79 C81 C83 C85 C87 C89 C91 C93">
    <cfRule type="expression" dxfId="6888" priority="85">
      <formula>B75=""</formula>
    </cfRule>
  </conditionalFormatting>
  <conditionalFormatting sqref="C76:C86">
    <cfRule type="expression" dxfId="6887" priority="84">
      <formula>B76=""</formula>
    </cfRule>
  </conditionalFormatting>
  <conditionalFormatting sqref="C87">
    <cfRule type="expression" dxfId="6886" priority="83">
      <formula>B87=""</formula>
    </cfRule>
  </conditionalFormatting>
  <conditionalFormatting sqref="C88">
    <cfRule type="expression" dxfId="6885" priority="82">
      <formula>B88=""</formula>
    </cfRule>
  </conditionalFormatting>
  <conditionalFormatting sqref="C89">
    <cfRule type="expression" dxfId="6884" priority="81">
      <formula>B89=""</formula>
    </cfRule>
  </conditionalFormatting>
  <conditionalFormatting sqref="C90">
    <cfRule type="expression" dxfId="6883" priority="80">
      <formula>B90=""</formula>
    </cfRule>
  </conditionalFormatting>
  <conditionalFormatting sqref="C91">
    <cfRule type="expression" dxfId="6882" priority="79">
      <formula>B91=""</formula>
    </cfRule>
  </conditionalFormatting>
  <conditionalFormatting sqref="C92">
    <cfRule type="expression" dxfId="6881" priority="78">
      <formula>B92=""</formula>
    </cfRule>
  </conditionalFormatting>
  <conditionalFormatting sqref="C93">
    <cfRule type="expression" dxfId="6880" priority="77">
      <formula>B93=""</formula>
    </cfRule>
  </conditionalFormatting>
  <conditionalFormatting sqref="C93">
    <cfRule type="expression" dxfId="6879" priority="76">
      <formula>B93=""</formula>
    </cfRule>
  </conditionalFormatting>
  <conditionalFormatting sqref="C74:C93">
    <cfRule type="expression" dxfId="6878" priority="75">
      <formula>B74=""</formula>
    </cfRule>
  </conditionalFormatting>
  <conditionalFormatting sqref="C75 C77 C79 C81 C83 C85 C87 C89 C91 C93">
    <cfRule type="expression" dxfId="6877" priority="74">
      <formula>B75=""</formula>
    </cfRule>
  </conditionalFormatting>
  <conditionalFormatting sqref="C76:C86">
    <cfRule type="expression" dxfId="6876" priority="73">
      <formula>B76=""</formula>
    </cfRule>
  </conditionalFormatting>
  <conditionalFormatting sqref="C87">
    <cfRule type="expression" dxfId="6875" priority="72">
      <formula>B87=""</formula>
    </cfRule>
  </conditionalFormatting>
  <conditionalFormatting sqref="C88">
    <cfRule type="expression" dxfId="6874" priority="71">
      <formula>B88=""</formula>
    </cfRule>
  </conditionalFormatting>
  <conditionalFormatting sqref="C89">
    <cfRule type="expression" dxfId="6873" priority="70">
      <formula>B89=""</formula>
    </cfRule>
  </conditionalFormatting>
  <conditionalFormatting sqref="C90">
    <cfRule type="expression" dxfId="6872" priority="69">
      <formula>B90=""</formula>
    </cfRule>
  </conditionalFormatting>
  <conditionalFormatting sqref="C91">
    <cfRule type="expression" dxfId="6871" priority="68">
      <formula>B91=""</formula>
    </cfRule>
  </conditionalFormatting>
  <conditionalFormatting sqref="C92">
    <cfRule type="expression" dxfId="6870" priority="67">
      <formula>B92=""</formula>
    </cfRule>
  </conditionalFormatting>
  <conditionalFormatting sqref="C93">
    <cfRule type="expression" dxfId="6869" priority="66">
      <formula>B93=""</formula>
    </cfRule>
  </conditionalFormatting>
  <conditionalFormatting sqref="C74:C93">
    <cfRule type="expression" dxfId="6868" priority="65">
      <formula>B74=""</formula>
    </cfRule>
  </conditionalFormatting>
  <conditionalFormatting sqref="C75 C77 C79 C81 C83 C85 C87 C89 C91 C93">
    <cfRule type="expression" dxfId="6867" priority="64">
      <formula>B75=""</formula>
    </cfRule>
  </conditionalFormatting>
  <conditionalFormatting sqref="C76:C86">
    <cfRule type="expression" dxfId="6866" priority="63">
      <formula>B76=""</formula>
    </cfRule>
  </conditionalFormatting>
  <conditionalFormatting sqref="C87">
    <cfRule type="expression" dxfId="6865" priority="62">
      <formula>B87=""</formula>
    </cfRule>
  </conditionalFormatting>
  <conditionalFormatting sqref="C88">
    <cfRule type="expression" dxfId="6864" priority="61">
      <formula>B88=""</formula>
    </cfRule>
  </conditionalFormatting>
  <conditionalFormatting sqref="C89">
    <cfRule type="expression" dxfId="6863" priority="60">
      <formula>B89=""</formula>
    </cfRule>
  </conditionalFormatting>
  <conditionalFormatting sqref="C90">
    <cfRule type="expression" dxfId="6862" priority="59">
      <formula>B90=""</formula>
    </cfRule>
  </conditionalFormatting>
  <conditionalFormatting sqref="C91">
    <cfRule type="expression" dxfId="6861" priority="58">
      <formula>B91=""</formula>
    </cfRule>
  </conditionalFormatting>
  <conditionalFormatting sqref="C92">
    <cfRule type="expression" dxfId="6860" priority="57">
      <formula>B92=""</formula>
    </cfRule>
  </conditionalFormatting>
  <conditionalFormatting sqref="C93">
    <cfRule type="expression" dxfId="6859" priority="56">
      <formula>B93=""</formula>
    </cfRule>
  </conditionalFormatting>
  <conditionalFormatting sqref="C74:C93">
    <cfRule type="expression" dxfId="6858" priority="55">
      <formula>B74=""</formula>
    </cfRule>
  </conditionalFormatting>
  <conditionalFormatting sqref="C75 C77 C79 C81 C83 C85 C87 C89 C91 C93">
    <cfRule type="expression" dxfId="6857" priority="54">
      <formula>B75=""</formula>
    </cfRule>
  </conditionalFormatting>
  <conditionalFormatting sqref="C76:C86">
    <cfRule type="expression" dxfId="6856" priority="53">
      <formula>B76=""</formula>
    </cfRule>
  </conditionalFormatting>
  <conditionalFormatting sqref="C87">
    <cfRule type="expression" dxfId="6855" priority="52">
      <formula>B87=""</formula>
    </cfRule>
  </conditionalFormatting>
  <conditionalFormatting sqref="C88">
    <cfRule type="expression" dxfId="6854" priority="51">
      <formula>B88=""</formula>
    </cfRule>
  </conditionalFormatting>
  <conditionalFormatting sqref="C89">
    <cfRule type="expression" dxfId="6853" priority="50">
      <formula>B89=""</formula>
    </cfRule>
  </conditionalFormatting>
  <conditionalFormatting sqref="C90">
    <cfRule type="expression" dxfId="6852" priority="49">
      <formula>B90=""</formula>
    </cfRule>
  </conditionalFormatting>
  <conditionalFormatting sqref="C91">
    <cfRule type="expression" dxfId="6851" priority="48">
      <formula>B91=""</formula>
    </cfRule>
  </conditionalFormatting>
  <conditionalFormatting sqref="C92">
    <cfRule type="expression" dxfId="6850" priority="47">
      <formula>B92=""</formula>
    </cfRule>
  </conditionalFormatting>
  <conditionalFormatting sqref="C93">
    <cfRule type="expression" dxfId="6849" priority="46">
      <formula>B93=""</formula>
    </cfRule>
  </conditionalFormatting>
  <conditionalFormatting sqref="C74 C76 C78 C80 C82 C84 C86 C88 C90 C92">
    <cfRule type="expression" dxfId="6848" priority="45">
      <formula>B74=""</formula>
    </cfRule>
  </conditionalFormatting>
  <conditionalFormatting sqref="C75 C77 C79 C81 C83 C85 C87 C89 C91 C93">
    <cfRule type="expression" dxfId="6847" priority="44">
      <formula>B75=""</formula>
    </cfRule>
  </conditionalFormatting>
  <conditionalFormatting sqref="C76:C86">
    <cfRule type="expression" dxfId="6846" priority="43">
      <formula>B76=""</formula>
    </cfRule>
  </conditionalFormatting>
  <conditionalFormatting sqref="C87">
    <cfRule type="expression" dxfId="6845" priority="42">
      <formula>B87=""</formula>
    </cfRule>
  </conditionalFormatting>
  <conditionalFormatting sqref="C88">
    <cfRule type="expression" dxfId="6844" priority="41">
      <formula>B88=""</formula>
    </cfRule>
  </conditionalFormatting>
  <conditionalFormatting sqref="C89">
    <cfRule type="expression" dxfId="6843" priority="40">
      <formula>B89=""</formula>
    </cfRule>
  </conditionalFormatting>
  <conditionalFormatting sqref="C90">
    <cfRule type="expression" dxfId="6842" priority="39">
      <formula>B90=""</formula>
    </cfRule>
  </conditionalFormatting>
  <conditionalFormatting sqref="C91">
    <cfRule type="expression" dxfId="6841" priority="38">
      <formula>B91=""</formula>
    </cfRule>
  </conditionalFormatting>
  <conditionalFormatting sqref="C92">
    <cfRule type="expression" dxfId="6840" priority="37">
      <formula>B92=""</formula>
    </cfRule>
  </conditionalFormatting>
  <conditionalFormatting sqref="C93">
    <cfRule type="expression" dxfId="6839" priority="36">
      <formula>B93=""</formula>
    </cfRule>
  </conditionalFormatting>
  <conditionalFormatting sqref="B8:B27">
    <cfRule type="containsBlanks" dxfId="6838" priority="35">
      <formula>LEN(TRIM(B8))=0</formula>
    </cfRule>
  </conditionalFormatting>
  <conditionalFormatting sqref="C8:C27">
    <cfRule type="expression" dxfId="6837" priority="34">
      <formula>B8=""</formula>
    </cfRule>
  </conditionalFormatting>
  <conditionalFormatting sqref="C9 C11 C13 C15 C17 C19 C21 C23 C25 C27">
    <cfRule type="expression" dxfId="6836" priority="33">
      <formula>B9=""</formula>
    </cfRule>
  </conditionalFormatting>
  <conditionalFormatting sqref="C9 C11 C13 C15 C17 C19 C21 C23 C25 C27">
    <cfRule type="expression" dxfId="6835" priority="32">
      <formula>B9=""</formula>
    </cfRule>
  </conditionalFormatting>
  <conditionalFormatting sqref="C8 C10 C12 C14 C16 C18 C20 C22 C24 C26">
    <cfRule type="expression" dxfId="6834" priority="31">
      <formula>B8=""</formula>
    </cfRule>
  </conditionalFormatting>
  <conditionalFormatting sqref="C9 C11 C13 C15 C17 C19 C21 C23 C25 C27">
    <cfRule type="expression" dxfId="6833" priority="30">
      <formula>B9=""</formula>
    </cfRule>
  </conditionalFormatting>
  <conditionalFormatting sqref="C8:C27">
    <cfRule type="expression" dxfId="6832" priority="29">
      <formula>B8=""</formula>
    </cfRule>
  </conditionalFormatting>
  <conditionalFormatting sqref="C9 C11 C13 C15 C17 C19 C21 C23 C25 C27">
    <cfRule type="expression" dxfId="6831" priority="28">
      <formula>B9=""</formula>
    </cfRule>
  </conditionalFormatting>
  <conditionalFormatting sqref="C8:C27">
    <cfRule type="expression" dxfId="6830" priority="27">
      <formula>B8=""</formula>
    </cfRule>
  </conditionalFormatting>
  <conditionalFormatting sqref="C9 C11 C13 C15 C17 C19 C21 C23 C25 C27">
    <cfRule type="expression" dxfId="6829" priority="26">
      <formula>B9=""</formula>
    </cfRule>
  </conditionalFormatting>
  <conditionalFormatting sqref="C8:C27">
    <cfRule type="expression" dxfId="6828" priority="25">
      <formula>B8=""</formula>
    </cfRule>
  </conditionalFormatting>
  <conditionalFormatting sqref="C9 C11 C13 C15 C17 C19 C21 C23 C25 C27">
    <cfRule type="expression" dxfId="6827" priority="24">
      <formula>B9=""</formula>
    </cfRule>
  </conditionalFormatting>
  <conditionalFormatting sqref="B8:B27">
    <cfRule type="containsBlanks" dxfId="6826" priority="23">
      <formula>LEN(TRIM(B8))=0</formula>
    </cfRule>
  </conditionalFormatting>
  <conditionalFormatting sqref="E28">
    <cfRule type="expression" dxfId="6825" priority="22">
      <formula>B28=""</formula>
    </cfRule>
  </conditionalFormatting>
  <conditionalFormatting sqref="E28">
    <cfRule type="expression" dxfId="6824" priority="21">
      <formula>B28=""</formula>
    </cfRule>
  </conditionalFormatting>
  <conditionalFormatting sqref="E28">
    <cfRule type="expression" dxfId="6823" priority="20">
      <formula>B28=""</formula>
    </cfRule>
  </conditionalFormatting>
  <conditionalFormatting sqref="E28">
    <cfRule type="expression" dxfId="6822" priority="19">
      <formula>B28=""</formula>
    </cfRule>
  </conditionalFormatting>
  <conditionalFormatting sqref="E28">
    <cfRule type="expression" dxfId="6821" priority="18">
      <formula>B28=""</formula>
    </cfRule>
  </conditionalFormatting>
  <conditionalFormatting sqref="E28">
    <cfRule type="expression" dxfId="6820" priority="17">
      <formula>B28=""</formula>
    </cfRule>
  </conditionalFormatting>
  <conditionalFormatting sqref="E28">
    <cfRule type="expression" dxfId="6819" priority="16">
      <formula>B28=""</formula>
    </cfRule>
  </conditionalFormatting>
  <conditionalFormatting sqref="E28">
    <cfRule type="expression" dxfId="6818" priority="15">
      <formula>B28=""</formula>
    </cfRule>
  </conditionalFormatting>
  <conditionalFormatting sqref="E28">
    <cfRule type="expression" dxfId="6817" priority="14">
      <formula>B28=""</formula>
    </cfRule>
  </conditionalFormatting>
  <conditionalFormatting sqref="E50">
    <cfRule type="expression" dxfId="6816" priority="13">
      <formula>B50=""</formula>
    </cfRule>
  </conditionalFormatting>
  <conditionalFormatting sqref="E50">
    <cfRule type="expression" dxfId="6815" priority="12">
      <formula>B50=""</formula>
    </cfRule>
  </conditionalFormatting>
  <conditionalFormatting sqref="E50">
    <cfRule type="expression" dxfId="6814" priority="11">
      <formula>B50=""</formula>
    </cfRule>
  </conditionalFormatting>
  <conditionalFormatting sqref="E50">
    <cfRule type="expression" dxfId="6813" priority="10">
      <formula>B50=""</formula>
    </cfRule>
  </conditionalFormatting>
  <conditionalFormatting sqref="E50">
    <cfRule type="expression" dxfId="6812" priority="9">
      <formula>B50=""</formula>
    </cfRule>
  </conditionalFormatting>
  <conditionalFormatting sqref="E50">
    <cfRule type="expression" dxfId="6811" priority="8">
      <formula>B50=""</formula>
    </cfRule>
  </conditionalFormatting>
  <conditionalFormatting sqref="E50">
    <cfRule type="expression" dxfId="6810" priority="7">
      <formula>B50=""</formula>
    </cfRule>
  </conditionalFormatting>
  <conditionalFormatting sqref="E50">
    <cfRule type="expression" dxfId="6809" priority="6">
      <formula>B50=""</formula>
    </cfRule>
  </conditionalFormatting>
  <conditionalFormatting sqref="E50">
    <cfRule type="expression" dxfId="6808" priority="5">
      <formula>B50=""</formula>
    </cfRule>
  </conditionalFormatting>
  <conditionalFormatting sqref="E50">
    <cfRule type="expression" dxfId="6807" priority="4">
      <formula>B50=""</formula>
    </cfRule>
  </conditionalFormatting>
  <conditionalFormatting sqref="E50">
    <cfRule type="expression" dxfId="6806" priority="3">
      <formula>B50=""</formula>
    </cfRule>
  </conditionalFormatting>
  <conditionalFormatting sqref="E50">
    <cfRule type="expression" dxfId="6805" priority="2">
      <formula>B50=""</formula>
    </cfRule>
  </conditionalFormatting>
  <conditionalFormatting sqref="E50">
    <cfRule type="expression" dxfId="6804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DATA!B1012</f>
        <v>Electrical</v>
      </c>
    </row>
    <row r="2" spans="2:8" ht="25.8">
      <c r="C2" s="232" t="str">
        <f>'All Hours'!D1</f>
        <v>PLEASE INSERT TENDERER NAME ON INPUT DATA SHEET</v>
      </c>
      <c r="E2" s="920" t="str">
        <f>IF(DATA!$D$1012="None","NOT USED IN THIS TENDER","")</f>
        <v>NOT USED IN THIS TENDER</v>
      </c>
    </row>
    <row r="3" spans="2:8">
      <c r="B3" t="str">
        <f>IF(DATA!D1012="None",DATA!B1012 &amp; " NOT SPECIFIED FOR THIS PROJECT", "")</f>
        <v>Electrical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DATA!B1012</f>
        <v>Electrical</v>
      </c>
      <c r="C6" s="26"/>
      <c r="D6" s="211" t="s">
        <v>6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3">
        <f>IF('SUMMARY TENDERED FEE'!C9="none",0,1)</f>
        <v>0</v>
      </c>
      <c r="H6" s="29">
        <f>IF('SUMMARY TENDERED FEE'!C9="none",0,SUM(H7:H94))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901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>B28</f>
        <v>OTHER</v>
      </c>
      <c r="C50" s="59" t="str">
        <f>C28</f>
        <v>Various non-key personnel</v>
      </c>
      <c r="D50" s="5"/>
      <c r="E50" s="895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/>
      </c>
      <c r="C54" s="59" t="str">
        <f t="shared" si="15"/>
        <v/>
      </c>
      <c r="D54" s="5"/>
      <c r="E54" s="899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18" t="str">
        <f t="shared" ref="B55:C55" si="17">B11</f>
        <v/>
      </c>
      <c r="C55" s="59" t="str">
        <f t="shared" si="17"/>
        <v/>
      </c>
      <c r="D55" s="5"/>
      <c r="E55" s="899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9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9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9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9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9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9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/>
      </c>
      <c r="C76" s="59" t="str">
        <f t="shared" si="26"/>
        <v/>
      </c>
      <c r="D76" s="5"/>
      <c r="E76" s="899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18" t="str">
        <f t="shared" ref="B77:C77" si="28">B11</f>
        <v/>
      </c>
      <c r="C77" s="59" t="str">
        <f t="shared" si="28"/>
        <v/>
      </c>
      <c r="D77" s="5"/>
      <c r="E77" s="899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9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9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9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9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9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9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900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803" priority="748">
      <formula>LEN(TRIM(B8))=0</formula>
    </cfRule>
  </conditionalFormatting>
  <conditionalFormatting sqref="C8:C27 C30:C50">
    <cfRule type="expression" dxfId="6802" priority="747">
      <formula>B8=""</formula>
    </cfRule>
  </conditionalFormatting>
  <conditionalFormatting sqref="C9 C11 C13 C15 C17 C19 C21 C23 C25 C27">
    <cfRule type="expression" dxfId="6801" priority="746">
      <formula>B9=""</formula>
    </cfRule>
  </conditionalFormatting>
  <conditionalFormatting sqref="C10:C20">
    <cfRule type="expression" dxfId="6800" priority="745">
      <formula>B10=""</formula>
    </cfRule>
  </conditionalFormatting>
  <conditionalFormatting sqref="C21">
    <cfRule type="expression" dxfId="6799" priority="744">
      <formula>B21=""</formula>
    </cfRule>
  </conditionalFormatting>
  <conditionalFormatting sqref="C22">
    <cfRule type="expression" dxfId="6798" priority="743">
      <formula>B22=""</formula>
    </cfRule>
  </conditionalFormatting>
  <conditionalFormatting sqref="C23">
    <cfRule type="expression" dxfId="6797" priority="742">
      <formula>B23=""</formula>
    </cfRule>
  </conditionalFormatting>
  <conditionalFormatting sqref="C24">
    <cfRule type="expression" dxfId="6796" priority="741">
      <formula>B24=""</formula>
    </cfRule>
  </conditionalFormatting>
  <conditionalFormatting sqref="C25">
    <cfRule type="expression" dxfId="6795" priority="740">
      <formula>B25=""</formula>
    </cfRule>
  </conditionalFormatting>
  <conditionalFormatting sqref="C26">
    <cfRule type="expression" dxfId="6794" priority="739">
      <formula>B26=""</formula>
    </cfRule>
  </conditionalFormatting>
  <conditionalFormatting sqref="C27">
    <cfRule type="expression" dxfId="6793" priority="738">
      <formula>B27=""</formula>
    </cfRule>
  </conditionalFormatting>
  <conditionalFormatting sqref="C28">
    <cfRule type="expression" dxfId="6792" priority="737">
      <formula>B28=""</formula>
    </cfRule>
  </conditionalFormatting>
  <conditionalFormatting sqref="D8 D10 D12 D14 D16 D18 D20 D22 D24 D26 D32:D49">
    <cfRule type="expression" dxfId="6791" priority="736">
      <formula>B8=""</formula>
    </cfRule>
  </conditionalFormatting>
  <conditionalFormatting sqref="D9 D11 D13 D15 D17 D19 D21 D23 D25 D27">
    <cfRule type="expression" dxfId="6790" priority="735">
      <formula>B9=""</formula>
    </cfRule>
  </conditionalFormatting>
  <conditionalFormatting sqref="D10:D20">
    <cfRule type="expression" dxfId="6789" priority="734">
      <formula>B10=""</formula>
    </cfRule>
  </conditionalFormatting>
  <conditionalFormatting sqref="D21">
    <cfRule type="expression" dxfId="6788" priority="733">
      <formula>B21=""</formula>
    </cfRule>
  </conditionalFormatting>
  <conditionalFormatting sqref="D22">
    <cfRule type="expression" dxfId="6787" priority="732">
      <formula>B22=""</formula>
    </cfRule>
  </conditionalFormatting>
  <conditionalFormatting sqref="D23">
    <cfRule type="expression" dxfId="6786" priority="731">
      <formula>B23=""</formula>
    </cfRule>
  </conditionalFormatting>
  <conditionalFormatting sqref="D24">
    <cfRule type="expression" dxfId="6785" priority="730">
      <formula>B24=""</formula>
    </cfRule>
  </conditionalFormatting>
  <conditionalFormatting sqref="D25">
    <cfRule type="expression" dxfId="6784" priority="729">
      <formula>B25=""</formula>
    </cfRule>
  </conditionalFormatting>
  <conditionalFormatting sqref="D26">
    <cfRule type="expression" dxfId="6783" priority="728">
      <formula>B26=""</formula>
    </cfRule>
  </conditionalFormatting>
  <conditionalFormatting sqref="D27">
    <cfRule type="expression" dxfId="6782" priority="727">
      <formula>B27=""</formula>
    </cfRule>
  </conditionalFormatting>
  <conditionalFormatting sqref="D28">
    <cfRule type="expression" dxfId="6781" priority="726">
      <formula>B28=""</formula>
    </cfRule>
  </conditionalFormatting>
  <conditionalFormatting sqref="E8 E10 E12 E14 E16 E18 E20 E22 E24 E26 E30:E49">
    <cfRule type="expression" dxfId="6780" priority="725">
      <formula>B8=""</formula>
    </cfRule>
  </conditionalFormatting>
  <conditionalFormatting sqref="E9 E11 E13 E15 E17 E19 E21 E23 E25 E27 E32:E49">
    <cfRule type="expression" dxfId="6779" priority="724">
      <formula>B9=""</formula>
    </cfRule>
  </conditionalFormatting>
  <conditionalFormatting sqref="E10:E20">
    <cfRule type="expression" dxfId="6778" priority="723">
      <formula>B10=""</formula>
    </cfRule>
  </conditionalFormatting>
  <conditionalFormatting sqref="E21">
    <cfRule type="expression" dxfId="6777" priority="722">
      <formula>B21=""</formula>
    </cfRule>
  </conditionalFormatting>
  <conditionalFormatting sqref="E22">
    <cfRule type="expression" dxfId="6776" priority="721">
      <formula>B22=""</formula>
    </cfRule>
  </conditionalFormatting>
  <conditionalFormatting sqref="E23">
    <cfRule type="expression" dxfId="6775" priority="720">
      <formula>B23=""</formula>
    </cfRule>
  </conditionalFormatting>
  <conditionalFormatting sqref="E24">
    <cfRule type="expression" dxfId="6774" priority="719">
      <formula>B24=""</formula>
    </cfRule>
  </conditionalFormatting>
  <conditionalFormatting sqref="E25">
    <cfRule type="expression" dxfId="6773" priority="718">
      <formula>B25=""</formula>
    </cfRule>
  </conditionalFormatting>
  <conditionalFormatting sqref="E26">
    <cfRule type="expression" dxfId="6772" priority="717">
      <formula>B26=""</formula>
    </cfRule>
  </conditionalFormatting>
  <conditionalFormatting sqref="E27">
    <cfRule type="expression" dxfId="6771" priority="716">
      <formula>B27=""</formula>
    </cfRule>
  </conditionalFormatting>
  <conditionalFormatting sqref="E28">
    <cfRule type="expression" dxfId="6770" priority="715">
      <formula>B28=""</formula>
    </cfRule>
  </conditionalFormatting>
  <conditionalFormatting sqref="F8 F10 F12 F14 F16 F18 F20 F22 F24 F26 F32:F49">
    <cfRule type="expression" dxfId="6769" priority="714">
      <formula>B8=""</formula>
    </cfRule>
  </conditionalFormatting>
  <conditionalFormatting sqref="F9 F11 F13 F15 F17 F19 F21 F23 F25 F27">
    <cfRule type="expression" dxfId="6768" priority="713">
      <formula>B9=""</formula>
    </cfRule>
  </conditionalFormatting>
  <conditionalFormatting sqref="F10:F20">
    <cfRule type="expression" dxfId="6767" priority="712">
      <formula>B10=""</formula>
    </cfRule>
  </conditionalFormatting>
  <conditionalFormatting sqref="F21">
    <cfRule type="expression" dxfId="6766" priority="711">
      <formula>B21=""</formula>
    </cfRule>
  </conditionalFormatting>
  <conditionalFormatting sqref="F22">
    <cfRule type="expression" dxfId="6765" priority="710">
      <formula>B22=""</formula>
    </cfRule>
  </conditionalFormatting>
  <conditionalFormatting sqref="F23">
    <cfRule type="expression" dxfId="6764" priority="709">
      <formula>B23=""</formula>
    </cfRule>
  </conditionalFormatting>
  <conditionalFormatting sqref="F24">
    <cfRule type="expression" dxfId="6763" priority="708">
      <formula>B24=""</formula>
    </cfRule>
  </conditionalFormatting>
  <conditionalFormatting sqref="F25">
    <cfRule type="expression" dxfId="6762" priority="707">
      <formula>B25=""</formula>
    </cfRule>
  </conditionalFormatting>
  <conditionalFormatting sqref="F26">
    <cfRule type="expression" dxfId="6761" priority="706">
      <formula>B26=""</formula>
    </cfRule>
  </conditionalFormatting>
  <conditionalFormatting sqref="F27">
    <cfRule type="expression" dxfId="6760" priority="705">
      <formula>B27=""</formula>
    </cfRule>
  </conditionalFormatting>
  <conditionalFormatting sqref="F28">
    <cfRule type="expression" dxfId="6759" priority="704">
      <formula>B28=""</formula>
    </cfRule>
  </conditionalFormatting>
  <conditionalFormatting sqref="E9 E11 E13 E15 E17 E19 E21 E23 E25 E27">
    <cfRule type="expression" dxfId="6758" priority="703">
      <formula>B9=""</formula>
    </cfRule>
  </conditionalFormatting>
  <conditionalFormatting sqref="E10:E20">
    <cfRule type="expression" dxfId="6757" priority="702">
      <formula>B10=""</formula>
    </cfRule>
  </conditionalFormatting>
  <conditionalFormatting sqref="E21">
    <cfRule type="expression" dxfId="6756" priority="701">
      <formula>B21=""</formula>
    </cfRule>
  </conditionalFormatting>
  <conditionalFormatting sqref="E22">
    <cfRule type="expression" dxfId="6755" priority="700">
      <formula>B22=""</formula>
    </cfRule>
  </conditionalFormatting>
  <conditionalFormatting sqref="E23">
    <cfRule type="expression" dxfId="6754" priority="699">
      <formula>B23=""</formula>
    </cfRule>
  </conditionalFormatting>
  <conditionalFormatting sqref="E24">
    <cfRule type="expression" dxfId="6753" priority="698">
      <formula>B24=""</formula>
    </cfRule>
  </conditionalFormatting>
  <conditionalFormatting sqref="E25">
    <cfRule type="expression" dxfId="6752" priority="697">
      <formula>B25=""</formula>
    </cfRule>
  </conditionalFormatting>
  <conditionalFormatting sqref="E26">
    <cfRule type="expression" dxfId="6751" priority="696">
      <formula>B26=""</formula>
    </cfRule>
  </conditionalFormatting>
  <conditionalFormatting sqref="E27">
    <cfRule type="expression" dxfId="6750" priority="695">
      <formula>B27=""</formula>
    </cfRule>
  </conditionalFormatting>
  <conditionalFormatting sqref="E28">
    <cfRule type="expression" dxfId="6749" priority="694">
      <formula>B28=""</formula>
    </cfRule>
  </conditionalFormatting>
  <conditionalFormatting sqref="G8 G10 G12 G14 G16 G18 G20 G22 G24 G26 G30:G49">
    <cfRule type="expression" dxfId="6748" priority="693">
      <formula>B8=""</formula>
    </cfRule>
  </conditionalFormatting>
  <conditionalFormatting sqref="G9 G11 G13 G15 G17 G19 G21 G23 G25 G27">
    <cfRule type="expression" dxfId="6747" priority="692">
      <formula>B9=""</formula>
    </cfRule>
  </conditionalFormatting>
  <conditionalFormatting sqref="G10:G20">
    <cfRule type="expression" dxfId="6746" priority="691">
      <formula>B10=""</formula>
    </cfRule>
  </conditionalFormatting>
  <conditionalFormatting sqref="G21">
    <cfRule type="expression" dxfId="6745" priority="690">
      <formula>B21=""</formula>
    </cfRule>
  </conditionalFormatting>
  <conditionalFormatting sqref="G22">
    <cfRule type="expression" dxfId="6744" priority="689">
      <formula>B22=""</formula>
    </cfRule>
  </conditionalFormatting>
  <conditionalFormatting sqref="G23">
    <cfRule type="expression" dxfId="6743" priority="688">
      <formula>B23=""</formula>
    </cfRule>
  </conditionalFormatting>
  <conditionalFormatting sqref="G24">
    <cfRule type="expression" dxfId="6742" priority="687">
      <formula>B24=""</formula>
    </cfRule>
  </conditionalFormatting>
  <conditionalFormatting sqref="G25">
    <cfRule type="expression" dxfId="6741" priority="686">
      <formula>B25=""</formula>
    </cfRule>
  </conditionalFormatting>
  <conditionalFormatting sqref="G26">
    <cfRule type="expression" dxfId="6740" priority="685">
      <formula>B26=""</formula>
    </cfRule>
  </conditionalFormatting>
  <conditionalFormatting sqref="G27">
    <cfRule type="expression" dxfId="6739" priority="684">
      <formula>B27=""</formula>
    </cfRule>
  </conditionalFormatting>
  <conditionalFormatting sqref="G28">
    <cfRule type="expression" dxfId="6738" priority="683">
      <formula>B28=""</formula>
    </cfRule>
  </conditionalFormatting>
  <conditionalFormatting sqref="H8 H10 H12 H14 H16 H18 H20 H22 H24 H26 H32:H49">
    <cfRule type="expression" dxfId="6737" priority="682">
      <formula>B8=""</formula>
    </cfRule>
  </conditionalFormatting>
  <conditionalFormatting sqref="H9 H11 H13 H15 H17 H19 H21 H23 H25 H27">
    <cfRule type="expression" dxfId="6736" priority="681">
      <formula>B9=""</formula>
    </cfRule>
  </conditionalFormatting>
  <conditionalFormatting sqref="H10:H20">
    <cfRule type="expression" dxfId="6735" priority="680">
      <formula>B10=""</formula>
    </cfRule>
  </conditionalFormatting>
  <conditionalFormatting sqref="H21">
    <cfRule type="expression" dxfId="6734" priority="679">
      <formula>B21=""</formula>
    </cfRule>
  </conditionalFormatting>
  <conditionalFormatting sqref="H22">
    <cfRule type="expression" dxfId="6733" priority="678">
      <formula>B22=""</formula>
    </cfRule>
  </conditionalFormatting>
  <conditionalFormatting sqref="H23">
    <cfRule type="expression" dxfId="6732" priority="677">
      <formula>B23=""</formula>
    </cfRule>
  </conditionalFormatting>
  <conditionalFormatting sqref="H24">
    <cfRule type="expression" dxfId="6731" priority="676">
      <formula>B24=""</formula>
    </cfRule>
  </conditionalFormatting>
  <conditionalFormatting sqref="H25">
    <cfRule type="expression" dxfId="6730" priority="675">
      <formula>B25=""</formula>
    </cfRule>
  </conditionalFormatting>
  <conditionalFormatting sqref="H26">
    <cfRule type="expression" dxfId="6729" priority="674">
      <formula>B26=""</formula>
    </cfRule>
  </conditionalFormatting>
  <conditionalFormatting sqref="H27">
    <cfRule type="expression" dxfId="6728" priority="673">
      <formula>B27=""</formula>
    </cfRule>
  </conditionalFormatting>
  <conditionalFormatting sqref="H28">
    <cfRule type="expression" dxfId="6727" priority="672">
      <formula>B28=""</formula>
    </cfRule>
  </conditionalFormatting>
  <conditionalFormatting sqref="C31 C33 C35 C37 C39 C41 C43 C45 C47 C49">
    <cfRule type="expression" dxfId="6726" priority="670">
      <formula>B31=""</formula>
    </cfRule>
  </conditionalFormatting>
  <conditionalFormatting sqref="C43">
    <cfRule type="expression" dxfId="6725" priority="668">
      <formula>B43=""</formula>
    </cfRule>
  </conditionalFormatting>
  <conditionalFormatting sqref="C44">
    <cfRule type="expression" dxfId="6724" priority="667">
      <formula>B44=""</formula>
    </cfRule>
  </conditionalFormatting>
  <conditionalFormatting sqref="C45">
    <cfRule type="expression" dxfId="6723" priority="666">
      <formula>B45=""</formula>
    </cfRule>
  </conditionalFormatting>
  <conditionalFormatting sqref="C46">
    <cfRule type="expression" dxfId="6722" priority="665">
      <formula>B46=""</formula>
    </cfRule>
  </conditionalFormatting>
  <conditionalFormatting sqref="C47">
    <cfRule type="expression" dxfId="6721" priority="664">
      <formula>B47=""</formula>
    </cfRule>
  </conditionalFormatting>
  <conditionalFormatting sqref="C48">
    <cfRule type="expression" dxfId="6720" priority="663">
      <formula>B48=""</formula>
    </cfRule>
  </conditionalFormatting>
  <conditionalFormatting sqref="C49">
    <cfRule type="expression" dxfId="6719" priority="662">
      <formula>B49=""</formula>
    </cfRule>
  </conditionalFormatting>
  <conditionalFormatting sqref="C50">
    <cfRule type="expression" dxfId="6718" priority="661">
      <formula>B50=""</formula>
    </cfRule>
  </conditionalFormatting>
  <conditionalFormatting sqref="D30 D32 D34 D36 D38 D40 D42:D49">
    <cfRule type="expression" dxfId="6717" priority="660">
      <formula>B30=""</formula>
    </cfRule>
  </conditionalFormatting>
  <conditionalFormatting sqref="D31 D33 D35 D37 D39 D41 D43 D45 D47 D49">
    <cfRule type="expression" dxfId="6716" priority="659">
      <formula>B31=""</formula>
    </cfRule>
  </conditionalFormatting>
  <conditionalFormatting sqref="D43">
    <cfRule type="expression" dxfId="6715" priority="657">
      <formula>B43=""</formula>
    </cfRule>
  </conditionalFormatting>
  <conditionalFormatting sqref="D44">
    <cfRule type="expression" dxfId="6714" priority="656">
      <formula>B44=""</formula>
    </cfRule>
  </conditionalFormatting>
  <conditionalFormatting sqref="D45">
    <cfRule type="expression" dxfId="6713" priority="655">
      <formula>B45=""</formula>
    </cfRule>
  </conditionalFormatting>
  <conditionalFormatting sqref="D46">
    <cfRule type="expression" dxfId="6712" priority="654">
      <formula>B46=""</formula>
    </cfRule>
  </conditionalFormatting>
  <conditionalFormatting sqref="D47">
    <cfRule type="expression" dxfId="6711" priority="653">
      <formula>B47=""</formula>
    </cfRule>
  </conditionalFormatting>
  <conditionalFormatting sqref="D48">
    <cfRule type="expression" dxfId="6710" priority="652">
      <formula>B48=""</formula>
    </cfRule>
  </conditionalFormatting>
  <conditionalFormatting sqref="D49">
    <cfRule type="expression" dxfId="6709" priority="651">
      <formula>B49=""</formula>
    </cfRule>
  </conditionalFormatting>
  <conditionalFormatting sqref="D50">
    <cfRule type="expression" dxfId="6708" priority="650">
      <formula>B50=""</formula>
    </cfRule>
  </conditionalFormatting>
  <conditionalFormatting sqref="E30 E32 E34 E36 E38 E40 E42:E49">
    <cfRule type="expression" dxfId="6707" priority="649">
      <formula>B30=""</formula>
    </cfRule>
  </conditionalFormatting>
  <conditionalFormatting sqref="E31 E33 E35 E37 E39 E41 E43 E45 E47 E49">
    <cfRule type="expression" dxfId="6706" priority="648">
      <formula>B31=""</formula>
    </cfRule>
  </conditionalFormatting>
  <conditionalFormatting sqref="E43">
    <cfRule type="expression" dxfId="6705" priority="646">
      <formula>B43=""</formula>
    </cfRule>
  </conditionalFormatting>
  <conditionalFormatting sqref="E44">
    <cfRule type="expression" dxfId="6704" priority="645">
      <formula>B44=""</formula>
    </cfRule>
  </conditionalFormatting>
  <conditionalFormatting sqref="E45">
    <cfRule type="expression" dxfId="6703" priority="644">
      <formula>B45=""</formula>
    </cfRule>
  </conditionalFormatting>
  <conditionalFormatting sqref="E46">
    <cfRule type="expression" dxfId="6702" priority="643">
      <formula>B46=""</formula>
    </cfRule>
  </conditionalFormatting>
  <conditionalFormatting sqref="E47">
    <cfRule type="expression" dxfId="6701" priority="642">
      <formula>B47=""</formula>
    </cfRule>
  </conditionalFormatting>
  <conditionalFormatting sqref="E48">
    <cfRule type="expression" dxfId="6700" priority="641">
      <formula>B48=""</formula>
    </cfRule>
  </conditionalFormatting>
  <conditionalFormatting sqref="E49">
    <cfRule type="expression" dxfId="6699" priority="640">
      <formula>B49=""</formula>
    </cfRule>
  </conditionalFormatting>
  <conditionalFormatting sqref="E50">
    <cfRule type="expression" dxfId="6698" priority="639">
      <formula>B50=""</formula>
    </cfRule>
  </conditionalFormatting>
  <conditionalFormatting sqref="F30 F32 F34 F36 F38 F40 F42:F49">
    <cfRule type="expression" dxfId="6697" priority="638">
      <formula>B30=""</formula>
    </cfRule>
  </conditionalFormatting>
  <conditionalFormatting sqref="F31 F33 F35 F37 F39 F41 F43 F45 F47 F49">
    <cfRule type="expression" dxfId="6696" priority="637">
      <formula>B31=""</formula>
    </cfRule>
  </conditionalFormatting>
  <conditionalFormatting sqref="F43">
    <cfRule type="expression" dxfId="6695" priority="635">
      <formula>B43=""</formula>
    </cfRule>
  </conditionalFormatting>
  <conditionalFormatting sqref="F44">
    <cfRule type="expression" dxfId="6694" priority="634">
      <formula>B44=""</formula>
    </cfRule>
  </conditionalFormatting>
  <conditionalFormatting sqref="F45">
    <cfRule type="expression" dxfId="6693" priority="633">
      <formula>B45=""</formula>
    </cfRule>
  </conditionalFormatting>
  <conditionalFormatting sqref="F46">
    <cfRule type="expression" dxfId="6692" priority="632">
      <formula>B46=""</formula>
    </cfRule>
  </conditionalFormatting>
  <conditionalFormatting sqref="F47">
    <cfRule type="expression" dxfId="6691" priority="631">
      <formula>B47=""</formula>
    </cfRule>
  </conditionalFormatting>
  <conditionalFormatting sqref="F48">
    <cfRule type="expression" dxfId="6690" priority="630">
      <formula>B48=""</formula>
    </cfRule>
  </conditionalFormatting>
  <conditionalFormatting sqref="F49">
    <cfRule type="expression" dxfId="6689" priority="629">
      <formula>B49=""</formula>
    </cfRule>
  </conditionalFormatting>
  <conditionalFormatting sqref="F50">
    <cfRule type="expression" dxfId="6688" priority="628">
      <formula>B50=""</formula>
    </cfRule>
  </conditionalFormatting>
  <conditionalFormatting sqref="E31 E33 E35 E37 E39 E41 E43:E49">
    <cfRule type="expression" dxfId="6687" priority="627">
      <formula>B31=""</formula>
    </cfRule>
  </conditionalFormatting>
  <conditionalFormatting sqref="E43">
    <cfRule type="expression" dxfId="6686" priority="625">
      <formula>B43=""</formula>
    </cfRule>
  </conditionalFormatting>
  <conditionalFormatting sqref="E44">
    <cfRule type="expression" dxfId="6685" priority="624">
      <formula>B44=""</formula>
    </cfRule>
  </conditionalFormatting>
  <conditionalFormatting sqref="E45">
    <cfRule type="expression" dxfId="6684" priority="623">
      <formula>B45=""</formula>
    </cfRule>
  </conditionalFormatting>
  <conditionalFormatting sqref="E46">
    <cfRule type="expression" dxfId="6683" priority="622">
      <formula>B46=""</formula>
    </cfRule>
  </conditionalFormatting>
  <conditionalFormatting sqref="E47">
    <cfRule type="expression" dxfId="6682" priority="621">
      <formula>B47=""</formula>
    </cfRule>
  </conditionalFormatting>
  <conditionalFormatting sqref="E48">
    <cfRule type="expression" dxfId="6681" priority="620">
      <formula>B48=""</formula>
    </cfRule>
  </conditionalFormatting>
  <conditionalFormatting sqref="E49">
    <cfRule type="expression" dxfId="6680" priority="619">
      <formula>B49=""</formula>
    </cfRule>
  </conditionalFormatting>
  <conditionalFormatting sqref="E50">
    <cfRule type="expression" dxfId="6679" priority="618">
      <formula>B50=""</formula>
    </cfRule>
  </conditionalFormatting>
  <conditionalFormatting sqref="G30 G32 G34 G36 G38 G40 G42:G49">
    <cfRule type="expression" dxfId="6678" priority="617">
      <formula>B30=""</formula>
    </cfRule>
  </conditionalFormatting>
  <conditionalFormatting sqref="G31 G33 G35 G37 G39 G41 G43 G45 G47 G49">
    <cfRule type="expression" dxfId="6677" priority="616">
      <formula>B31=""</formula>
    </cfRule>
  </conditionalFormatting>
  <conditionalFormatting sqref="G43">
    <cfRule type="expression" dxfId="6676" priority="614">
      <formula>B43=""</formula>
    </cfRule>
  </conditionalFormatting>
  <conditionalFormatting sqref="G44">
    <cfRule type="expression" dxfId="6675" priority="613">
      <formula>B44=""</formula>
    </cfRule>
  </conditionalFormatting>
  <conditionalFormatting sqref="G45">
    <cfRule type="expression" dxfId="6674" priority="612">
      <formula>B45=""</formula>
    </cfRule>
  </conditionalFormatting>
  <conditionalFormatting sqref="G46">
    <cfRule type="expression" dxfId="6673" priority="611">
      <formula>B46=""</formula>
    </cfRule>
  </conditionalFormatting>
  <conditionalFormatting sqref="G47">
    <cfRule type="expression" dxfId="6672" priority="610">
      <formula>B47=""</formula>
    </cfRule>
  </conditionalFormatting>
  <conditionalFormatting sqref="G48">
    <cfRule type="expression" dxfId="6671" priority="609">
      <formula>B48=""</formula>
    </cfRule>
  </conditionalFormatting>
  <conditionalFormatting sqref="G49">
    <cfRule type="expression" dxfId="6670" priority="608">
      <formula>B49=""</formula>
    </cfRule>
  </conditionalFormatting>
  <conditionalFormatting sqref="G50">
    <cfRule type="expression" dxfId="6669" priority="607">
      <formula>B50=""</formula>
    </cfRule>
  </conditionalFormatting>
  <conditionalFormatting sqref="H30 H32 H34 H36 H38 H40 H42:H49">
    <cfRule type="expression" dxfId="6668" priority="606">
      <formula>B30=""</formula>
    </cfRule>
  </conditionalFormatting>
  <conditionalFormatting sqref="H31 H33 H35 H37 H39 H41 H43 H45 H47 H49">
    <cfRule type="expression" dxfId="6667" priority="605">
      <formula>B31=""</formula>
    </cfRule>
  </conditionalFormatting>
  <conditionalFormatting sqref="H43">
    <cfRule type="expression" dxfId="6666" priority="603">
      <formula>B43=""</formula>
    </cfRule>
  </conditionalFormatting>
  <conditionalFormatting sqref="H44">
    <cfRule type="expression" dxfId="6665" priority="602">
      <formula>B44=""</formula>
    </cfRule>
  </conditionalFormatting>
  <conditionalFormatting sqref="H45">
    <cfRule type="expression" dxfId="6664" priority="601">
      <formula>B45=""</formula>
    </cfRule>
  </conditionalFormatting>
  <conditionalFormatting sqref="H46">
    <cfRule type="expression" dxfId="6663" priority="600">
      <formula>B46=""</formula>
    </cfRule>
  </conditionalFormatting>
  <conditionalFormatting sqref="H47">
    <cfRule type="expression" dxfId="6662" priority="599">
      <formula>B47=""</formula>
    </cfRule>
  </conditionalFormatting>
  <conditionalFormatting sqref="H48">
    <cfRule type="expression" dxfId="6661" priority="598">
      <formula>B48=""</formula>
    </cfRule>
  </conditionalFormatting>
  <conditionalFormatting sqref="H49">
    <cfRule type="expression" dxfId="6660" priority="597">
      <formula>B49=""</formula>
    </cfRule>
  </conditionalFormatting>
  <conditionalFormatting sqref="H50">
    <cfRule type="expression" dxfId="6659" priority="596">
      <formula>B50=""</formula>
    </cfRule>
  </conditionalFormatting>
  <conditionalFormatting sqref="C52:C71">
    <cfRule type="expression" dxfId="6658" priority="595">
      <formula>B52=""</formula>
    </cfRule>
  </conditionalFormatting>
  <conditionalFormatting sqref="C53 C55 C57 C59 C61 C63 C65 C67 C69 C71">
    <cfRule type="expression" dxfId="6657" priority="594">
      <formula>B53=""</formula>
    </cfRule>
  </conditionalFormatting>
  <conditionalFormatting sqref="C54:C64">
    <cfRule type="expression" dxfId="6656" priority="593">
      <formula>B54=""</formula>
    </cfRule>
  </conditionalFormatting>
  <conditionalFormatting sqref="C65">
    <cfRule type="expression" dxfId="6655" priority="592">
      <formula>B65=""</formula>
    </cfRule>
  </conditionalFormatting>
  <conditionalFormatting sqref="C66">
    <cfRule type="expression" dxfId="6654" priority="591">
      <formula>B66=""</formula>
    </cfRule>
  </conditionalFormatting>
  <conditionalFormatting sqref="C67">
    <cfRule type="expression" dxfId="6653" priority="590">
      <formula>B67=""</formula>
    </cfRule>
  </conditionalFormatting>
  <conditionalFormatting sqref="C68">
    <cfRule type="expression" dxfId="6652" priority="589">
      <formula>B68=""</formula>
    </cfRule>
  </conditionalFormatting>
  <conditionalFormatting sqref="C69">
    <cfRule type="expression" dxfId="6651" priority="588">
      <formula>B69=""</formula>
    </cfRule>
  </conditionalFormatting>
  <conditionalFormatting sqref="C70">
    <cfRule type="expression" dxfId="6650" priority="587">
      <formula>B70=""</formula>
    </cfRule>
  </conditionalFormatting>
  <conditionalFormatting sqref="C71">
    <cfRule type="expression" dxfId="6649" priority="586">
      <formula>B71=""</formula>
    </cfRule>
  </conditionalFormatting>
  <conditionalFormatting sqref="C72">
    <cfRule type="expression" dxfId="6648" priority="585">
      <formula>B72=""</formula>
    </cfRule>
  </conditionalFormatting>
  <conditionalFormatting sqref="D52 D54 D56 D58 D60 D62 D64 D66 D68 D70">
    <cfRule type="expression" dxfId="6647" priority="584">
      <formula>B52=""</formula>
    </cfRule>
  </conditionalFormatting>
  <conditionalFormatting sqref="D53 D55 D57 D59 D61 D63 D65 D67 D69 D71">
    <cfRule type="expression" dxfId="6646" priority="583">
      <formula>B53=""</formula>
    </cfRule>
  </conditionalFormatting>
  <conditionalFormatting sqref="D54:D64">
    <cfRule type="expression" dxfId="6645" priority="582">
      <formula>B54=""</formula>
    </cfRule>
  </conditionalFormatting>
  <conditionalFormatting sqref="D65">
    <cfRule type="expression" dxfId="6644" priority="581">
      <formula>B65=""</formula>
    </cfRule>
  </conditionalFormatting>
  <conditionalFormatting sqref="D66">
    <cfRule type="expression" dxfId="6643" priority="580">
      <formula>B66=""</formula>
    </cfRule>
  </conditionalFormatting>
  <conditionalFormatting sqref="D67">
    <cfRule type="expression" dxfId="6642" priority="579">
      <formula>B67=""</formula>
    </cfRule>
  </conditionalFormatting>
  <conditionalFormatting sqref="D68">
    <cfRule type="expression" dxfId="6641" priority="578">
      <formula>B68=""</formula>
    </cfRule>
  </conditionalFormatting>
  <conditionalFormatting sqref="D69">
    <cfRule type="expression" dxfId="6640" priority="577">
      <formula>B69=""</formula>
    </cfRule>
  </conditionalFormatting>
  <conditionalFormatting sqref="D70">
    <cfRule type="expression" dxfId="6639" priority="576">
      <formula>B70=""</formula>
    </cfRule>
  </conditionalFormatting>
  <conditionalFormatting sqref="D71">
    <cfRule type="expression" dxfId="6638" priority="575">
      <formula>B71=""</formula>
    </cfRule>
  </conditionalFormatting>
  <conditionalFormatting sqref="D72">
    <cfRule type="expression" dxfId="6637" priority="574">
      <formula>B72=""</formula>
    </cfRule>
  </conditionalFormatting>
  <conditionalFormatting sqref="E52 E54 E56 E58 E60 E62 E64 E66 E68 E70">
    <cfRule type="expression" dxfId="6636" priority="573">
      <formula>B52=""</formula>
    </cfRule>
  </conditionalFormatting>
  <conditionalFormatting sqref="E53 E55 E57 E59 E61 E63 E65 E67 E69 E71">
    <cfRule type="expression" dxfId="6635" priority="572">
      <formula>B53=""</formula>
    </cfRule>
  </conditionalFormatting>
  <conditionalFormatting sqref="E54:E64">
    <cfRule type="expression" dxfId="6634" priority="571">
      <formula>B54=""</formula>
    </cfRule>
  </conditionalFormatting>
  <conditionalFormatting sqref="E65">
    <cfRule type="expression" dxfId="6633" priority="570">
      <formula>B65=""</formula>
    </cfRule>
  </conditionalFormatting>
  <conditionalFormatting sqref="E66">
    <cfRule type="expression" dxfId="6632" priority="569">
      <formula>B66=""</formula>
    </cfRule>
  </conditionalFormatting>
  <conditionalFormatting sqref="E67">
    <cfRule type="expression" dxfId="6631" priority="568">
      <formula>B67=""</formula>
    </cfRule>
  </conditionalFormatting>
  <conditionalFormatting sqref="E68">
    <cfRule type="expression" dxfId="6630" priority="567">
      <formula>B68=""</formula>
    </cfRule>
  </conditionalFormatting>
  <conditionalFormatting sqref="E69">
    <cfRule type="expression" dxfId="6629" priority="566">
      <formula>B69=""</formula>
    </cfRule>
  </conditionalFormatting>
  <conditionalFormatting sqref="E70">
    <cfRule type="expression" dxfId="6628" priority="565">
      <formula>B70=""</formula>
    </cfRule>
  </conditionalFormatting>
  <conditionalFormatting sqref="E71">
    <cfRule type="expression" dxfId="6627" priority="564">
      <formula>B71=""</formula>
    </cfRule>
  </conditionalFormatting>
  <conditionalFormatting sqref="E72">
    <cfRule type="expression" dxfId="6626" priority="563">
      <formula>B72=""</formula>
    </cfRule>
  </conditionalFormatting>
  <conditionalFormatting sqref="F52 F54 F56 F58 F60 F62 F64 F66 F68 F70">
    <cfRule type="expression" dxfId="6625" priority="562">
      <formula>B52=""</formula>
    </cfRule>
  </conditionalFormatting>
  <conditionalFormatting sqref="F53 F55 F57 F59 F61 F63 F65 F67 F69 F71">
    <cfRule type="expression" dxfId="6624" priority="561">
      <formula>B53=""</formula>
    </cfRule>
  </conditionalFormatting>
  <conditionalFormatting sqref="F54:F64">
    <cfRule type="expression" dxfId="6623" priority="560">
      <formula>B54=""</formula>
    </cfRule>
  </conditionalFormatting>
  <conditionalFormatting sqref="F65">
    <cfRule type="expression" dxfId="6622" priority="559">
      <formula>B65=""</formula>
    </cfRule>
  </conditionalFormatting>
  <conditionalFormatting sqref="F66">
    <cfRule type="expression" dxfId="6621" priority="558">
      <formula>B66=""</formula>
    </cfRule>
  </conditionalFormatting>
  <conditionalFormatting sqref="F67">
    <cfRule type="expression" dxfId="6620" priority="557">
      <formula>B67=""</formula>
    </cfRule>
  </conditionalFormatting>
  <conditionalFormatting sqref="F68">
    <cfRule type="expression" dxfId="6619" priority="556">
      <formula>B68=""</formula>
    </cfRule>
  </conditionalFormatting>
  <conditionalFormatting sqref="F69">
    <cfRule type="expression" dxfId="6618" priority="555">
      <formula>B69=""</formula>
    </cfRule>
  </conditionalFormatting>
  <conditionalFormatting sqref="F70">
    <cfRule type="expression" dxfId="6617" priority="554">
      <formula>B70=""</formula>
    </cfRule>
  </conditionalFormatting>
  <conditionalFormatting sqref="F71">
    <cfRule type="expression" dxfId="6616" priority="553">
      <formula>B71=""</formula>
    </cfRule>
  </conditionalFormatting>
  <conditionalFormatting sqref="F72">
    <cfRule type="expression" dxfId="6615" priority="552">
      <formula>B72=""</formula>
    </cfRule>
  </conditionalFormatting>
  <conditionalFormatting sqref="E53 E55 E57 E59 E61 E63 E65 E67 E69 E71">
    <cfRule type="expression" dxfId="6614" priority="551">
      <formula>B53=""</formula>
    </cfRule>
  </conditionalFormatting>
  <conditionalFormatting sqref="E54:E64">
    <cfRule type="expression" dxfId="6613" priority="550">
      <formula>B54=""</formula>
    </cfRule>
  </conditionalFormatting>
  <conditionalFormatting sqref="E65">
    <cfRule type="expression" dxfId="6612" priority="549">
      <formula>B65=""</formula>
    </cfRule>
  </conditionalFormatting>
  <conditionalFormatting sqref="E66">
    <cfRule type="expression" dxfId="6611" priority="548">
      <formula>B66=""</formula>
    </cfRule>
  </conditionalFormatting>
  <conditionalFormatting sqref="E67">
    <cfRule type="expression" dxfId="6610" priority="547">
      <formula>B67=""</formula>
    </cfRule>
  </conditionalFormatting>
  <conditionalFormatting sqref="E68">
    <cfRule type="expression" dxfId="6609" priority="546">
      <formula>B68=""</formula>
    </cfRule>
  </conditionalFormatting>
  <conditionalFormatting sqref="E69">
    <cfRule type="expression" dxfId="6608" priority="545">
      <formula>B69=""</formula>
    </cfRule>
  </conditionalFormatting>
  <conditionalFormatting sqref="E70">
    <cfRule type="expression" dxfId="6607" priority="544">
      <formula>B70=""</formula>
    </cfRule>
  </conditionalFormatting>
  <conditionalFormatting sqref="E71">
    <cfRule type="expression" dxfId="6606" priority="543">
      <formula>B71=""</formula>
    </cfRule>
  </conditionalFormatting>
  <conditionalFormatting sqref="E72">
    <cfRule type="expression" dxfId="6605" priority="542">
      <formula>B72=""</formula>
    </cfRule>
  </conditionalFormatting>
  <conditionalFormatting sqref="G52 G54 G56 G58 G60 G62 G64 G66 G68 G70">
    <cfRule type="expression" dxfId="6604" priority="541">
      <formula>B52=""</formula>
    </cfRule>
  </conditionalFormatting>
  <conditionalFormatting sqref="G53 G55 G57 G59 G61 G63 G65 G67 G69 G71">
    <cfRule type="expression" dxfId="6603" priority="540">
      <formula>B53=""</formula>
    </cfRule>
  </conditionalFormatting>
  <conditionalFormatting sqref="G54:G64">
    <cfRule type="expression" dxfId="6602" priority="539">
      <formula>B54=""</formula>
    </cfRule>
  </conditionalFormatting>
  <conditionalFormatting sqref="G65">
    <cfRule type="expression" dxfId="6601" priority="538">
      <formula>B65=""</formula>
    </cfRule>
  </conditionalFormatting>
  <conditionalFormatting sqref="G66">
    <cfRule type="expression" dxfId="6600" priority="537">
      <formula>B66=""</formula>
    </cfRule>
  </conditionalFormatting>
  <conditionalFormatting sqref="G67">
    <cfRule type="expression" dxfId="6599" priority="536">
      <formula>B67=""</formula>
    </cfRule>
  </conditionalFormatting>
  <conditionalFormatting sqref="G68">
    <cfRule type="expression" dxfId="6598" priority="535">
      <formula>B68=""</formula>
    </cfRule>
  </conditionalFormatting>
  <conditionalFormatting sqref="G69">
    <cfRule type="expression" dxfId="6597" priority="534">
      <formula>B69=""</formula>
    </cfRule>
  </conditionalFormatting>
  <conditionalFormatting sqref="G70">
    <cfRule type="expression" dxfId="6596" priority="533">
      <formula>B70=""</formula>
    </cfRule>
  </conditionalFormatting>
  <conditionalFormatting sqref="G71">
    <cfRule type="expression" dxfId="6595" priority="532">
      <formula>B71=""</formula>
    </cfRule>
  </conditionalFormatting>
  <conditionalFormatting sqref="G72">
    <cfRule type="expression" dxfId="6594" priority="531">
      <formula>B72=""</formula>
    </cfRule>
  </conditionalFormatting>
  <conditionalFormatting sqref="H52 H54 H56 H58 H60 H62 H64 H66 H68 H70">
    <cfRule type="expression" dxfId="6593" priority="530">
      <formula>B52=""</formula>
    </cfRule>
  </conditionalFormatting>
  <conditionalFormatting sqref="H53 H55 H57 H59 H61 H63 H65 H67 H69 H71">
    <cfRule type="expression" dxfId="6592" priority="529">
      <formula>B53=""</formula>
    </cfRule>
  </conditionalFormatting>
  <conditionalFormatting sqref="H54:H64">
    <cfRule type="expression" dxfId="6591" priority="528">
      <formula>B54=""</formula>
    </cfRule>
  </conditionalFormatting>
  <conditionalFormatting sqref="H65">
    <cfRule type="expression" dxfId="6590" priority="527">
      <formula>B65=""</formula>
    </cfRule>
  </conditionalFormatting>
  <conditionalFormatting sqref="H66">
    <cfRule type="expression" dxfId="6589" priority="526">
      <formula>B66=""</formula>
    </cfRule>
  </conditionalFormatting>
  <conditionalFormatting sqref="H67">
    <cfRule type="expression" dxfId="6588" priority="525">
      <formula>B67=""</formula>
    </cfRule>
  </conditionalFormatting>
  <conditionalFormatting sqref="H68">
    <cfRule type="expression" dxfId="6587" priority="524">
      <formula>B68=""</formula>
    </cfRule>
  </conditionalFormatting>
  <conditionalFormatting sqref="H69">
    <cfRule type="expression" dxfId="6586" priority="523">
      <formula>B69=""</formula>
    </cfRule>
  </conditionalFormatting>
  <conditionalFormatting sqref="H70">
    <cfRule type="expression" dxfId="6585" priority="522">
      <formula>B70=""</formula>
    </cfRule>
  </conditionalFormatting>
  <conditionalFormatting sqref="H71">
    <cfRule type="expression" dxfId="6584" priority="521">
      <formula>B71=""</formula>
    </cfRule>
  </conditionalFormatting>
  <conditionalFormatting sqref="H72">
    <cfRule type="expression" dxfId="6583" priority="520">
      <formula>B72=""</formula>
    </cfRule>
  </conditionalFormatting>
  <conditionalFormatting sqref="C74:C94">
    <cfRule type="expression" dxfId="6582" priority="519">
      <formula>B74=""</formula>
    </cfRule>
  </conditionalFormatting>
  <conditionalFormatting sqref="C75 C77 C79 C81 C83 C85 C87 C89 C91 C93">
    <cfRule type="expression" dxfId="6581" priority="518">
      <formula>B75=""</formula>
    </cfRule>
  </conditionalFormatting>
  <conditionalFormatting sqref="C76:C86">
    <cfRule type="expression" dxfId="6580" priority="517">
      <formula>B76=""</formula>
    </cfRule>
  </conditionalFormatting>
  <conditionalFormatting sqref="C87">
    <cfRule type="expression" dxfId="6579" priority="516">
      <formula>B87=""</formula>
    </cfRule>
  </conditionalFormatting>
  <conditionalFormatting sqref="C88">
    <cfRule type="expression" dxfId="6578" priority="515">
      <formula>B88=""</formula>
    </cfRule>
  </conditionalFormatting>
  <conditionalFormatting sqref="C89">
    <cfRule type="expression" dxfId="6577" priority="514">
      <formula>B89=""</formula>
    </cfRule>
  </conditionalFormatting>
  <conditionalFormatting sqref="C90">
    <cfRule type="expression" dxfId="6576" priority="513">
      <formula>B90=""</formula>
    </cfRule>
  </conditionalFormatting>
  <conditionalFormatting sqref="C91">
    <cfRule type="expression" dxfId="6575" priority="512">
      <formula>B91=""</formula>
    </cfRule>
  </conditionalFormatting>
  <conditionalFormatting sqref="C92">
    <cfRule type="expression" dxfId="6574" priority="511">
      <formula>B92=""</formula>
    </cfRule>
  </conditionalFormatting>
  <conditionalFormatting sqref="C93">
    <cfRule type="expression" dxfId="6573" priority="510">
      <formula>B93=""</formula>
    </cfRule>
  </conditionalFormatting>
  <conditionalFormatting sqref="C94">
    <cfRule type="expression" dxfId="6572" priority="509">
      <formula>B94=""</formula>
    </cfRule>
  </conditionalFormatting>
  <conditionalFormatting sqref="D74 D76 D78 D80 D82 D84 D86 D88 D90 D92">
    <cfRule type="expression" dxfId="6571" priority="508">
      <formula>B74=""</formula>
    </cfRule>
  </conditionalFormatting>
  <conditionalFormatting sqref="D75 D77 D79 D81 D83 D85 D87 D89 D91 D93">
    <cfRule type="expression" dxfId="6570" priority="507">
      <formula>B75=""</formula>
    </cfRule>
  </conditionalFormatting>
  <conditionalFormatting sqref="D76:D86">
    <cfRule type="expression" dxfId="6569" priority="506">
      <formula>B76=""</formula>
    </cfRule>
  </conditionalFormatting>
  <conditionalFormatting sqref="D87">
    <cfRule type="expression" dxfId="6568" priority="505">
      <formula>B87=""</formula>
    </cfRule>
  </conditionalFormatting>
  <conditionalFormatting sqref="D88">
    <cfRule type="expression" dxfId="6567" priority="504">
      <formula>B88=""</formula>
    </cfRule>
  </conditionalFormatting>
  <conditionalFormatting sqref="D89">
    <cfRule type="expression" dxfId="6566" priority="503">
      <formula>B89=""</formula>
    </cfRule>
  </conditionalFormatting>
  <conditionalFormatting sqref="D90">
    <cfRule type="expression" dxfId="6565" priority="502">
      <formula>B90=""</formula>
    </cfRule>
  </conditionalFormatting>
  <conditionalFormatting sqref="D91">
    <cfRule type="expression" dxfId="6564" priority="501">
      <formula>B91=""</formula>
    </cfRule>
  </conditionalFormatting>
  <conditionalFormatting sqref="D92">
    <cfRule type="expression" dxfId="6563" priority="500">
      <formula>B92=""</formula>
    </cfRule>
  </conditionalFormatting>
  <conditionalFormatting sqref="D93">
    <cfRule type="expression" dxfId="6562" priority="499">
      <formula>B93=""</formula>
    </cfRule>
  </conditionalFormatting>
  <conditionalFormatting sqref="D94">
    <cfRule type="expression" dxfId="6561" priority="498">
      <formula>B94=""</formula>
    </cfRule>
  </conditionalFormatting>
  <conditionalFormatting sqref="E74 E76 E78 E80 E82 E84 E86 E88 E90 E92">
    <cfRule type="expression" dxfId="6560" priority="497">
      <formula>B74=""</formula>
    </cfRule>
  </conditionalFormatting>
  <conditionalFormatting sqref="E75 E77 E79 E81 E83 E85 E87 E89 E91 E93">
    <cfRule type="expression" dxfId="6559" priority="496">
      <formula>B75=""</formula>
    </cfRule>
  </conditionalFormatting>
  <conditionalFormatting sqref="E76:E86">
    <cfRule type="expression" dxfId="6558" priority="495">
      <formula>B76=""</formula>
    </cfRule>
  </conditionalFormatting>
  <conditionalFormatting sqref="E87">
    <cfRule type="expression" dxfId="6557" priority="494">
      <formula>B87=""</formula>
    </cfRule>
  </conditionalFormatting>
  <conditionalFormatting sqref="E88">
    <cfRule type="expression" dxfId="6556" priority="493">
      <formula>B88=""</formula>
    </cfRule>
  </conditionalFormatting>
  <conditionalFormatting sqref="E89">
    <cfRule type="expression" dxfId="6555" priority="492">
      <formula>B89=""</formula>
    </cfRule>
  </conditionalFormatting>
  <conditionalFormatting sqref="E90">
    <cfRule type="expression" dxfId="6554" priority="491">
      <formula>B90=""</formula>
    </cfRule>
  </conditionalFormatting>
  <conditionalFormatting sqref="E91">
    <cfRule type="expression" dxfId="6553" priority="490">
      <formula>B91=""</formula>
    </cfRule>
  </conditionalFormatting>
  <conditionalFormatting sqref="E92">
    <cfRule type="expression" dxfId="6552" priority="489">
      <formula>B92=""</formula>
    </cfRule>
  </conditionalFormatting>
  <conditionalFormatting sqref="E93">
    <cfRule type="expression" dxfId="6551" priority="488">
      <formula>B93=""</formula>
    </cfRule>
  </conditionalFormatting>
  <conditionalFormatting sqref="E94">
    <cfRule type="expression" dxfId="6550" priority="487">
      <formula>B94=""</formula>
    </cfRule>
  </conditionalFormatting>
  <conditionalFormatting sqref="F74 F76 F78 F80 F82 F84 F86 F88 F90 F92">
    <cfRule type="expression" dxfId="6549" priority="486">
      <formula>B74=""</formula>
    </cfRule>
  </conditionalFormatting>
  <conditionalFormatting sqref="F75 F77 F79 F81 F83 F85 F87 F89 F91 F93">
    <cfRule type="expression" dxfId="6548" priority="485">
      <formula>B75=""</formula>
    </cfRule>
  </conditionalFormatting>
  <conditionalFormatting sqref="F76:F86">
    <cfRule type="expression" dxfId="6547" priority="484">
      <formula>B76=""</formula>
    </cfRule>
  </conditionalFormatting>
  <conditionalFormatting sqref="F87">
    <cfRule type="expression" dxfId="6546" priority="483">
      <formula>B87=""</formula>
    </cfRule>
  </conditionalFormatting>
  <conditionalFormatting sqref="F88">
    <cfRule type="expression" dxfId="6545" priority="482">
      <formula>B88=""</formula>
    </cfRule>
  </conditionalFormatting>
  <conditionalFormatting sqref="F89">
    <cfRule type="expression" dxfId="6544" priority="481">
      <formula>B89=""</formula>
    </cfRule>
  </conditionalFormatting>
  <conditionalFormatting sqref="F90">
    <cfRule type="expression" dxfId="6543" priority="480">
      <formula>B90=""</formula>
    </cfRule>
  </conditionalFormatting>
  <conditionalFormatting sqref="F91">
    <cfRule type="expression" dxfId="6542" priority="479">
      <formula>B91=""</formula>
    </cfRule>
  </conditionalFormatting>
  <conditionalFormatting sqref="F92">
    <cfRule type="expression" dxfId="6541" priority="478">
      <formula>B92=""</formula>
    </cfRule>
  </conditionalFormatting>
  <conditionalFormatting sqref="F93">
    <cfRule type="expression" dxfId="6540" priority="477">
      <formula>B93=""</formula>
    </cfRule>
  </conditionalFormatting>
  <conditionalFormatting sqref="F94">
    <cfRule type="expression" dxfId="6539" priority="476">
      <formula>B94=""</formula>
    </cfRule>
  </conditionalFormatting>
  <conditionalFormatting sqref="E75 E77 E79 E81 E83 E85 E87 E89 E91 E93">
    <cfRule type="expression" dxfId="6538" priority="475">
      <formula>B75=""</formula>
    </cfRule>
  </conditionalFormatting>
  <conditionalFormatting sqref="E76:E86">
    <cfRule type="expression" dxfId="6537" priority="474">
      <formula>B76=""</formula>
    </cfRule>
  </conditionalFormatting>
  <conditionalFormatting sqref="E87">
    <cfRule type="expression" dxfId="6536" priority="473">
      <formula>B87=""</formula>
    </cfRule>
  </conditionalFormatting>
  <conditionalFormatting sqref="E88">
    <cfRule type="expression" dxfId="6535" priority="472">
      <formula>B88=""</formula>
    </cfRule>
  </conditionalFormatting>
  <conditionalFormatting sqref="E89">
    <cfRule type="expression" dxfId="6534" priority="471">
      <formula>B89=""</formula>
    </cfRule>
  </conditionalFormatting>
  <conditionalFormatting sqref="E90">
    <cfRule type="expression" dxfId="6533" priority="470">
      <formula>B90=""</formula>
    </cfRule>
  </conditionalFormatting>
  <conditionalFormatting sqref="E91">
    <cfRule type="expression" dxfId="6532" priority="469">
      <formula>B91=""</formula>
    </cfRule>
  </conditionalFormatting>
  <conditionalFormatting sqref="E92">
    <cfRule type="expression" dxfId="6531" priority="468">
      <formula>B92=""</formula>
    </cfRule>
  </conditionalFormatting>
  <conditionalFormatting sqref="E93">
    <cfRule type="expression" dxfId="6530" priority="467">
      <formula>B93=""</formula>
    </cfRule>
  </conditionalFormatting>
  <conditionalFormatting sqref="E94">
    <cfRule type="expression" dxfId="6529" priority="466">
      <formula>B94=""</formula>
    </cfRule>
  </conditionalFormatting>
  <conditionalFormatting sqref="G74 G76 G78 G80 G82 G84 G86 G88 G90 G92">
    <cfRule type="expression" dxfId="6528" priority="465">
      <formula>B74=""</formula>
    </cfRule>
  </conditionalFormatting>
  <conditionalFormatting sqref="G75 G77 G79 G81 G83 G85 G87 G89 G91 G93">
    <cfRule type="expression" dxfId="6527" priority="464">
      <formula>B75=""</formula>
    </cfRule>
  </conditionalFormatting>
  <conditionalFormatting sqref="G76:G86">
    <cfRule type="expression" dxfId="6526" priority="463">
      <formula>B76=""</formula>
    </cfRule>
  </conditionalFormatting>
  <conditionalFormatting sqref="G87">
    <cfRule type="expression" dxfId="6525" priority="462">
      <formula>B87=""</formula>
    </cfRule>
  </conditionalFormatting>
  <conditionalFormatting sqref="G88">
    <cfRule type="expression" dxfId="6524" priority="461">
      <formula>B88=""</formula>
    </cfRule>
  </conditionalFormatting>
  <conditionalFormatting sqref="G89">
    <cfRule type="expression" dxfId="6523" priority="460">
      <formula>B89=""</formula>
    </cfRule>
  </conditionalFormatting>
  <conditionalFormatting sqref="G90">
    <cfRule type="expression" dxfId="6522" priority="459">
      <formula>B90=""</formula>
    </cfRule>
  </conditionalFormatting>
  <conditionalFormatting sqref="G91">
    <cfRule type="expression" dxfId="6521" priority="458">
      <formula>B91=""</formula>
    </cfRule>
  </conditionalFormatting>
  <conditionalFormatting sqref="G92">
    <cfRule type="expression" dxfId="6520" priority="457">
      <formula>B92=""</formula>
    </cfRule>
  </conditionalFormatting>
  <conditionalFormatting sqref="G93">
    <cfRule type="expression" dxfId="6519" priority="456">
      <formula>B93=""</formula>
    </cfRule>
  </conditionalFormatting>
  <conditionalFormatting sqref="G94">
    <cfRule type="expression" dxfId="6518" priority="455">
      <formula>B94=""</formula>
    </cfRule>
  </conditionalFormatting>
  <conditionalFormatting sqref="H74 H76 H78 H80 H82 H84 H86 H88 H90 H92">
    <cfRule type="expression" dxfId="6517" priority="454">
      <formula>B74=""</formula>
    </cfRule>
  </conditionalFormatting>
  <conditionalFormatting sqref="H75 H77 H79 H81 H83 H85 H87 H89 H91 H93">
    <cfRule type="expression" dxfId="6516" priority="453">
      <formula>B75=""</formula>
    </cfRule>
  </conditionalFormatting>
  <conditionalFormatting sqref="H76:H86">
    <cfRule type="expression" dxfId="6515" priority="452">
      <formula>B76=""</formula>
    </cfRule>
  </conditionalFormatting>
  <conditionalFormatting sqref="H87">
    <cfRule type="expression" dxfId="6514" priority="451">
      <formula>B87=""</formula>
    </cfRule>
  </conditionalFormatting>
  <conditionalFormatting sqref="H88">
    <cfRule type="expression" dxfId="6513" priority="450">
      <formula>B88=""</formula>
    </cfRule>
  </conditionalFormatting>
  <conditionalFormatting sqref="H89">
    <cfRule type="expression" dxfId="6512" priority="449">
      <formula>B89=""</formula>
    </cfRule>
  </conditionalFormatting>
  <conditionalFormatting sqref="H90">
    <cfRule type="expression" dxfId="6511" priority="448">
      <formula>B90=""</formula>
    </cfRule>
  </conditionalFormatting>
  <conditionalFormatting sqref="H91">
    <cfRule type="expression" dxfId="6510" priority="447">
      <formula>B91=""</formula>
    </cfRule>
  </conditionalFormatting>
  <conditionalFormatting sqref="H92">
    <cfRule type="expression" dxfId="6509" priority="446">
      <formula>B92=""</formula>
    </cfRule>
  </conditionalFormatting>
  <conditionalFormatting sqref="H93">
    <cfRule type="expression" dxfId="6508" priority="445">
      <formula>B93=""</formula>
    </cfRule>
  </conditionalFormatting>
  <conditionalFormatting sqref="H94">
    <cfRule type="expression" dxfId="6507" priority="444">
      <formula>B94=""</formula>
    </cfRule>
  </conditionalFormatting>
  <conditionalFormatting sqref="C49">
    <cfRule type="expression" dxfId="6506" priority="443">
      <formula>B49=""</formula>
    </cfRule>
  </conditionalFormatting>
  <conditionalFormatting sqref="C71">
    <cfRule type="expression" dxfId="6505" priority="442">
      <formula>B71=""</formula>
    </cfRule>
  </conditionalFormatting>
  <conditionalFormatting sqref="C93">
    <cfRule type="expression" dxfId="6504" priority="441">
      <formula>B93=""</formula>
    </cfRule>
  </conditionalFormatting>
  <conditionalFormatting sqref="C8:C27">
    <cfRule type="expression" dxfId="6503" priority="440">
      <formula>B8=""</formula>
    </cfRule>
  </conditionalFormatting>
  <conditionalFormatting sqref="C9 C11 C13 C15 C17 C19 C21 C23 C25 C27">
    <cfRule type="expression" dxfId="6502" priority="439">
      <formula>B9=""</formula>
    </cfRule>
  </conditionalFormatting>
  <conditionalFormatting sqref="C10:C20">
    <cfRule type="expression" dxfId="6501" priority="438">
      <formula>B10=""</formula>
    </cfRule>
  </conditionalFormatting>
  <conditionalFormatting sqref="C21">
    <cfRule type="expression" dxfId="6500" priority="437">
      <formula>B21=""</formula>
    </cfRule>
  </conditionalFormatting>
  <conditionalFormatting sqref="C22">
    <cfRule type="expression" dxfId="6499" priority="436">
      <formula>B22=""</formula>
    </cfRule>
  </conditionalFormatting>
  <conditionalFormatting sqref="C23">
    <cfRule type="expression" dxfId="6498" priority="435">
      <formula>B23=""</formula>
    </cfRule>
  </conditionalFormatting>
  <conditionalFormatting sqref="C24">
    <cfRule type="expression" dxfId="6497" priority="434">
      <formula>B24=""</formula>
    </cfRule>
  </conditionalFormatting>
  <conditionalFormatting sqref="C25">
    <cfRule type="expression" dxfId="6496" priority="433">
      <formula>B25=""</formula>
    </cfRule>
  </conditionalFormatting>
  <conditionalFormatting sqref="C26">
    <cfRule type="expression" dxfId="6495" priority="432">
      <formula>B26=""</formula>
    </cfRule>
  </conditionalFormatting>
  <conditionalFormatting sqref="C27">
    <cfRule type="expression" dxfId="6494" priority="431">
      <formula>B27=""</formula>
    </cfRule>
  </conditionalFormatting>
  <conditionalFormatting sqref="C28">
    <cfRule type="expression" dxfId="6493" priority="430">
      <formula>B28=""</formula>
    </cfRule>
  </conditionalFormatting>
  <conditionalFormatting sqref="C31 C33 C35 C37 C39 C41 C43 C45 C47 C49">
    <cfRule type="expression" dxfId="6492" priority="428">
      <formula>B31=""</formula>
    </cfRule>
  </conditionalFormatting>
  <conditionalFormatting sqref="C43">
    <cfRule type="expression" dxfId="6491" priority="426">
      <formula>B43=""</formula>
    </cfRule>
  </conditionalFormatting>
  <conditionalFormatting sqref="C44">
    <cfRule type="expression" dxfId="6490" priority="425">
      <formula>B44=""</formula>
    </cfRule>
  </conditionalFormatting>
  <conditionalFormatting sqref="C45">
    <cfRule type="expression" dxfId="6489" priority="424">
      <formula>B45=""</formula>
    </cfRule>
  </conditionalFormatting>
  <conditionalFormatting sqref="C46">
    <cfRule type="expression" dxfId="6488" priority="423">
      <formula>B46=""</formula>
    </cfRule>
  </conditionalFormatting>
  <conditionalFormatting sqref="C47">
    <cfRule type="expression" dxfId="6487" priority="422">
      <formula>B47=""</formula>
    </cfRule>
  </conditionalFormatting>
  <conditionalFormatting sqref="C48">
    <cfRule type="expression" dxfId="6486" priority="421">
      <formula>B48=""</formula>
    </cfRule>
  </conditionalFormatting>
  <conditionalFormatting sqref="C49">
    <cfRule type="expression" dxfId="6485" priority="420">
      <formula>B49=""</formula>
    </cfRule>
  </conditionalFormatting>
  <conditionalFormatting sqref="C50">
    <cfRule type="expression" dxfId="6484" priority="419">
      <formula>B50=""</formula>
    </cfRule>
  </conditionalFormatting>
  <conditionalFormatting sqref="C52:C71">
    <cfRule type="expression" dxfId="6483" priority="418">
      <formula>B52=""</formula>
    </cfRule>
  </conditionalFormatting>
  <conditionalFormatting sqref="C53 C55 C57 C59 C61 C63 C65 C67 C69 C71">
    <cfRule type="expression" dxfId="6482" priority="417">
      <formula>B53=""</formula>
    </cfRule>
  </conditionalFormatting>
  <conditionalFormatting sqref="C54:C64">
    <cfRule type="expression" dxfId="6481" priority="416">
      <formula>B54=""</formula>
    </cfRule>
  </conditionalFormatting>
  <conditionalFormatting sqref="C65">
    <cfRule type="expression" dxfId="6480" priority="415">
      <formula>B65=""</formula>
    </cfRule>
  </conditionalFormatting>
  <conditionalFormatting sqref="C66">
    <cfRule type="expression" dxfId="6479" priority="414">
      <formula>B66=""</formula>
    </cfRule>
  </conditionalFormatting>
  <conditionalFormatting sqref="C67">
    <cfRule type="expression" dxfId="6478" priority="413">
      <formula>B67=""</formula>
    </cfRule>
  </conditionalFormatting>
  <conditionalFormatting sqref="C68">
    <cfRule type="expression" dxfId="6477" priority="412">
      <formula>B68=""</formula>
    </cfRule>
  </conditionalFormatting>
  <conditionalFormatting sqref="C69">
    <cfRule type="expression" dxfId="6476" priority="411">
      <formula>B69=""</formula>
    </cfRule>
  </conditionalFormatting>
  <conditionalFormatting sqref="C70">
    <cfRule type="expression" dxfId="6475" priority="410">
      <formula>B70=""</formula>
    </cfRule>
  </conditionalFormatting>
  <conditionalFormatting sqref="C71">
    <cfRule type="expression" dxfId="6474" priority="409">
      <formula>B71=""</formula>
    </cfRule>
  </conditionalFormatting>
  <conditionalFormatting sqref="C72">
    <cfRule type="expression" dxfId="6473" priority="408">
      <formula>B72=""</formula>
    </cfRule>
  </conditionalFormatting>
  <conditionalFormatting sqref="C74:C94">
    <cfRule type="expression" dxfId="6472" priority="407">
      <formula>B74=""</formula>
    </cfRule>
  </conditionalFormatting>
  <conditionalFormatting sqref="C75 C77 C79 C81 C83 C85 C87 C89 C91 C93">
    <cfRule type="expression" dxfId="6471" priority="406">
      <formula>B75=""</formula>
    </cfRule>
  </conditionalFormatting>
  <conditionalFormatting sqref="C76:C86">
    <cfRule type="expression" dxfId="6470" priority="405">
      <formula>B76=""</formula>
    </cfRule>
  </conditionalFormatting>
  <conditionalFormatting sqref="C87">
    <cfRule type="expression" dxfId="6469" priority="404">
      <formula>B87=""</formula>
    </cfRule>
  </conditionalFormatting>
  <conditionalFormatting sqref="C88">
    <cfRule type="expression" dxfId="6468" priority="403">
      <formula>B88=""</formula>
    </cfRule>
  </conditionalFormatting>
  <conditionalFormatting sqref="C89">
    <cfRule type="expression" dxfId="6467" priority="402">
      <formula>B89=""</formula>
    </cfRule>
  </conditionalFormatting>
  <conditionalFormatting sqref="C90">
    <cfRule type="expression" dxfId="6466" priority="401">
      <formula>B90=""</formula>
    </cfRule>
  </conditionalFormatting>
  <conditionalFormatting sqref="C91">
    <cfRule type="expression" dxfId="6465" priority="400">
      <formula>B91=""</formula>
    </cfRule>
  </conditionalFormatting>
  <conditionalFormatting sqref="C92">
    <cfRule type="expression" dxfId="6464" priority="399">
      <formula>B92=""</formula>
    </cfRule>
  </conditionalFormatting>
  <conditionalFormatting sqref="C93">
    <cfRule type="expression" dxfId="6463" priority="398">
      <formula>B93=""</formula>
    </cfRule>
  </conditionalFormatting>
  <conditionalFormatting sqref="C94">
    <cfRule type="expression" dxfId="6462" priority="397">
      <formula>B94=""</formula>
    </cfRule>
  </conditionalFormatting>
  <conditionalFormatting sqref="C8 C10 C12 C14 C16 C18 C20 C22 C24 C26 C32:C49">
    <cfRule type="expression" dxfId="6461" priority="396">
      <formula>B8=""</formula>
    </cfRule>
  </conditionalFormatting>
  <conditionalFormatting sqref="C9 C11 C13 C15 C17 C19 C21 C23 C25 C27">
    <cfRule type="expression" dxfId="6460" priority="395">
      <formula>B9=""</formula>
    </cfRule>
  </conditionalFormatting>
  <conditionalFormatting sqref="C10:C20">
    <cfRule type="expression" dxfId="6459" priority="394">
      <formula>B10=""</formula>
    </cfRule>
  </conditionalFormatting>
  <conditionalFormatting sqref="C21">
    <cfRule type="expression" dxfId="6458" priority="393">
      <formula>B21=""</formula>
    </cfRule>
  </conditionalFormatting>
  <conditionalFormatting sqref="C22">
    <cfRule type="expression" dxfId="6457" priority="392">
      <formula>B22=""</formula>
    </cfRule>
  </conditionalFormatting>
  <conditionalFormatting sqref="C23">
    <cfRule type="expression" dxfId="6456" priority="391">
      <formula>B23=""</formula>
    </cfRule>
  </conditionalFormatting>
  <conditionalFormatting sqref="C24">
    <cfRule type="expression" dxfId="6455" priority="390">
      <formula>B24=""</formula>
    </cfRule>
  </conditionalFormatting>
  <conditionalFormatting sqref="C25">
    <cfRule type="expression" dxfId="6454" priority="389">
      <formula>B25=""</formula>
    </cfRule>
  </conditionalFormatting>
  <conditionalFormatting sqref="C26">
    <cfRule type="expression" dxfId="6453" priority="388">
      <formula>B26=""</formula>
    </cfRule>
  </conditionalFormatting>
  <conditionalFormatting sqref="C27">
    <cfRule type="expression" dxfId="6452" priority="387">
      <formula>B27=""</formula>
    </cfRule>
  </conditionalFormatting>
  <conditionalFormatting sqref="D8 D10 D12 D14 D16 D18 D20 D22 D24 D26">
    <cfRule type="expression" dxfId="6451" priority="386">
      <formula>B8=""</formula>
    </cfRule>
  </conditionalFormatting>
  <conditionalFormatting sqref="D9 D11 D13 D15 D17 D19 D21 D23 D25 D27">
    <cfRule type="expression" dxfId="6450" priority="385">
      <formula>B9=""</formula>
    </cfRule>
  </conditionalFormatting>
  <conditionalFormatting sqref="D10:D20">
    <cfRule type="expression" dxfId="6449" priority="384">
      <formula>B10=""</formula>
    </cfRule>
  </conditionalFormatting>
  <conditionalFormatting sqref="D21">
    <cfRule type="expression" dxfId="6448" priority="383">
      <formula>B21=""</formula>
    </cfRule>
  </conditionalFormatting>
  <conditionalFormatting sqref="D22">
    <cfRule type="expression" dxfId="6447" priority="382">
      <formula>B22=""</formula>
    </cfRule>
  </conditionalFormatting>
  <conditionalFormatting sqref="D23">
    <cfRule type="expression" dxfId="6446" priority="381">
      <formula>B23=""</formula>
    </cfRule>
  </conditionalFormatting>
  <conditionalFormatting sqref="D24">
    <cfRule type="expression" dxfId="6445" priority="380">
      <formula>B24=""</formula>
    </cfRule>
  </conditionalFormatting>
  <conditionalFormatting sqref="D25">
    <cfRule type="expression" dxfId="6444" priority="379">
      <formula>B25=""</formula>
    </cfRule>
  </conditionalFormatting>
  <conditionalFormatting sqref="D26">
    <cfRule type="expression" dxfId="6443" priority="378">
      <formula>B26=""</formula>
    </cfRule>
  </conditionalFormatting>
  <conditionalFormatting sqref="D27">
    <cfRule type="expression" dxfId="6442" priority="377">
      <formula>B27=""</formula>
    </cfRule>
  </conditionalFormatting>
  <conditionalFormatting sqref="E8:E27">
    <cfRule type="expression" dxfId="6441" priority="376">
      <formula>B8=""</formula>
    </cfRule>
  </conditionalFormatting>
  <conditionalFormatting sqref="E9 E11 E13 E15 E17 E19 E21 E23 E25 E27">
    <cfRule type="expression" dxfId="6440" priority="375">
      <formula>B9=""</formula>
    </cfRule>
  </conditionalFormatting>
  <conditionalFormatting sqref="E10:E20">
    <cfRule type="expression" dxfId="6439" priority="374">
      <formula>B10=""</formula>
    </cfRule>
  </conditionalFormatting>
  <conditionalFormatting sqref="E21">
    <cfRule type="expression" dxfId="6438" priority="373">
      <formula>B21=""</formula>
    </cfRule>
  </conditionalFormatting>
  <conditionalFormatting sqref="E22">
    <cfRule type="expression" dxfId="6437" priority="372">
      <formula>B22=""</formula>
    </cfRule>
  </conditionalFormatting>
  <conditionalFormatting sqref="E23">
    <cfRule type="expression" dxfId="6436" priority="371">
      <formula>B23=""</formula>
    </cfRule>
  </conditionalFormatting>
  <conditionalFormatting sqref="E24">
    <cfRule type="expression" dxfId="6435" priority="370">
      <formula>B24=""</formula>
    </cfRule>
  </conditionalFormatting>
  <conditionalFormatting sqref="E25">
    <cfRule type="expression" dxfId="6434" priority="369">
      <formula>B25=""</formula>
    </cfRule>
  </conditionalFormatting>
  <conditionalFormatting sqref="E26">
    <cfRule type="expression" dxfId="6433" priority="368">
      <formula>B26=""</formula>
    </cfRule>
  </conditionalFormatting>
  <conditionalFormatting sqref="E27">
    <cfRule type="expression" dxfId="6432" priority="367">
      <formula>B27=""</formula>
    </cfRule>
  </conditionalFormatting>
  <conditionalFormatting sqref="F8:F27 F30:F49">
    <cfRule type="expression" dxfId="6431" priority="366">
      <formula>B8=""</formula>
    </cfRule>
  </conditionalFormatting>
  <conditionalFormatting sqref="F9 F11 F13 F15 F17 F19 F21 F23 F25 F27">
    <cfRule type="expression" dxfId="6430" priority="365">
      <formula>B9=""</formula>
    </cfRule>
  </conditionalFormatting>
  <conditionalFormatting sqref="F10:F20">
    <cfRule type="expression" dxfId="6429" priority="364">
      <formula>B10=""</formula>
    </cfRule>
  </conditionalFormatting>
  <conditionalFormatting sqref="F21">
    <cfRule type="expression" dxfId="6428" priority="363">
      <formula>B21=""</formula>
    </cfRule>
  </conditionalFormatting>
  <conditionalFormatting sqref="F22">
    <cfRule type="expression" dxfId="6427" priority="362">
      <formula>B22=""</formula>
    </cfRule>
  </conditionalFormatting>
  <conditionalFormatting sqref="F23">
    <cfRule type="expression" dxfId="6426" priority="361">
      <formula>B23=""</formula>
    </cfRule>
  </conditionalFormatting>
  <conditionalFormatting sqref="F24">
    <cfRule type="expression" dxfId="6425" priority="360">
      <formula>B24=""</formula>
    </cfRule>
  </conditionalFormatting>
  <conditionalFormatting sqref="F25">
    <cfRule type="expression" dxfId="6424" priority="359">
      <formula>B25=""</formula>
    </cfRule>
  </conditionalFormatting>
  <conditionalFormatting sqref="F26">
    <cfRule type="expression" dxfId="6423" priority="358">
      <formula>B26=""</formula>
    </cfRule>
  </conditionalFormatting>
  <conditionalFormatting sqref="F27">
    <cfRule type="expression" dxfId="6422" priority="357">
      <formula>B27=""</formula>
    </cfRule>
  </conditionalFormatting>
  <conditionalFormatting sqref="E9 E11 E13 E15 E17 E19 E21 E23 E25 E27">
    <cfRule type="expression" dxfId="6421" priority="356">
      <formula>B9=""</formula>
    </cfRule>
  </conditionalFormatting>
  <conditionalFormatting sqref="E10:E20">
    <cfRule type="expression" dxfId="6420" priority="355">
      <formula>B10=""</formula>
    </cfRule>
  </conditionalFormatting>
  <conditionalFormatting sqref="E21">
    <cfRule type="expression" dxfId="6419" priority="354">
      <formula>B21=""</formula>
    </cfRule>
  </conditionalFormatting>
  <conditionalFormatting sqref="E22">
    <cfRule type="expression" dxfId="6418" priority="353">
      <formula>B22=""</formula>
    </cfRule>
  </conditionalFormatting>
  <conditionalFormatting sqref="E23">
    <cfRule type="expression" dxfId="6417" priority="352">
      <formula>B23=""</formula>
    </cfRule>
  </conditionalFormatting>
  <conditionalFormatting sqref="E24">
    <cfRule type="expression" dxfId="6416" priority="351">
      <formula>B24=""</formula>
    </cfRule>
  </conditionalFormatting>
  <conditionalFormatting sqref="E25">
    <cfRule type="expression" dxfId="6415" priority="350">
      <formula>B25=""</formula>
    </cfRule>
  </conditionalFormatting>
  <conditionalFormatting sqref="E26">
    <cfRule type="expression" dxfId="6414" priority="349">
      <formula>B26=""</formula>
    </cfRule>
  </conditionalFormatting>
  <conditionalFormatting sqref="E27">
    <cfRule type="expression" dxfId="6413" priority="348">
      <formula>B27=""</formula>
    </cfRule>
  </conditionalFormatting>
  <conditionalFormatting sqref="G8:G27">
    <cfRule type="expression" dxfId="6412" priority="347">
      <formula>B8=""</formula>
    </cfRule>
  </conditionalFormatting>
  <conditionalFormatting sqref="G9 G11 G13 G15 G17 G19 G21 G23 G25 G27">
    <cfRule type="expression" dxfId="6411" priority="346">
      <formula>B9=""</formula>
    </cfRule>
  </conditionalFormatting>
  <conditionalFormatting sqref="G10:G20">
    <cfRule type="expression" dxfId="6410" priority="345">
      <formula>B10=""</formula>
    </cfRule>
  </conditionalFormatting>
  <conditionalFormatting sqref="G21">
    <cfRule type="expression" dxfId="6409" priority="344">
      <formula>B21=""</formula>
    </cfRule>
  </conditionalFormatting>
  <conditionalFormatting sqref="G22">
    <cfRule type="expression" dxfId="6408" priority="343">
      <formula>B22=""</formula>
    </cfRule>
  </conditionalFormatting>
  <conditionalFormatting sqref="G23">
    <cfRule type="expression" dxfId="6407" priority="342">
      <formula>B23=""</formula>
    </cfRule>
  </conditionalFormatting>
  <conditionalFormatting sqref="G24">
    <cfRule type="expression" dxfId="6406" priority="341">
      <formula>B24=""</formula>
    </cfRule>
  </conditionalFormatting>
  <conditionalFormatting sqref="G25">
    <cfRule type="expression" dxfId="6405" priority="340">
      <formula>B25=""</formula>
    </cfRule>
  </conditionalFormatting>
  <conditionalFormatting sqref="G26">
    <cfRule type="expression" dxfId="6404" priority="339">
      <formula>B26=""</formula>
    </cfRule>
  </conditionalFormatting>
  <conditionalFormatting sqref="G27">
    <cfRule type="expression" dxfId="6403" priority="338">
      <formula>B27=""</formula>
    </cfRule>
  </conditionalFormatting>
  <conditionalFormatting sqref="H8 H10 H12 H14 H16 H18 H20 H22 H24 H26">
    <cfRule type="expression" dxfId="6402" priority="337">
      <formula>B8=""</formula>
    </cfRule>
  </conditionalFormatting>
  <conditionalFormatting sqref="H9 H11 H13 H15 H17 H19 H21 H23 H25 H27">
    <cfRule type="expression" dxfId="6401" priority="336">
      <formula>B9=""</formula>
    </cfRule>
  </conditionalFormatting>
  <conditionalFormatting sqref="H10:H20">
    <cfRule type="expression" dxfId="6400" priority="335">
      <formula>B10=""</formula>
    </cfRule>
  </conditionalFormatting>
  <conditionalFormatting sqref="H21">
    <cfRule type="expression" dxfId="6399" priority="334">
      <formula>B21=""</formula>
    </cfRule>
  </conditionalFormatting>
  <conditionalFormatting sqref="H22">
    <cfRule type="expression" dxfId="6398" priority="333">
      <formula>B22=""</formula>
    </cfRule>
  </conditionalFormatting>
  <conditionalFormatting sqref="H23">
    <cfRule type="expression" dxfId="6397" priority="332">
      <formula>B23=""</formula>
    </cfRule>
  </conditionalFormatting>
  <conditionalFormatting sqref="H24">
    <cfRule type="expression" dxfId="6396" priority="331">
      <formula>B24=""</formula>
    </cfRule>
  </conditionalFormatting>
  <conditionalFormatting sqref="H25">
    <cfRule type="expression" dxfId="6395" priority="330">
      <formula>B25=""</formula>
    </cfRule>
  </conditionalFormatting>
  <conditionalFormatting sqref="H26">
    <cfRule type="expression" dxfId="6394" priority="329">
      <formula>B26=""</formula>
    </cfRule>
  </conditionalFormatting>
  <conditionalFormatting sqref="H27">
    <cfRule type="expression" dxfId="6393" priority="328">
      <formula>B27=""</formula>
    </cfRule>
  </conditionalFormatting>
  <conditionalFormatting sqref="F8 F10 F12 F14 F16 F18 F20 F22 F24 F26">
    <cfRule type="expression" dxfId="6392" priority="327">
      <formula>B8=""</formula>
    </cfRule>
  </conditionalFormatting>
  <conditionalFormatting sqref="F9 F11 F13 F15 F17 F19 F21 F23 F25 F27">
    <cfRule type="expression" dxfId="6391" priority="326">
      <formula>B9=""</formula>
    </cfRule>
  </conditionalFormatting>
  <conditionalFormatting sqref="F10:F20">
    <cfRule type="expression" dxfId="6390" priority="325">
      <formula>B10=""</formula>
    </cfRule>
  </conditionalFormatting>
  <conditionalFormatting sqref="F21">
    <cfRule type="expression" dxfId="6389" priority="324">
      <formula>B21=""</formula>
    </cfRule>
  </conditionalFormatting>
  <conditionalFormatting sqref="F22">
    <cfRule type="expression" dxfId="6388" priority="323">
      <formula>B22=""</formula>
    </cfRule>
  </conditionalFormatting>
  <conditionalFormatting sqref="F23">
    <cfRule type="expression" dxfId="6387" priority="322">
      <formula>B23=""</formula>
    </cfRule>
  </conditionalFormatting>
  <conditionalFormatting sqref="F24">
    <cfRule type="expression" dxfId="6386" priority="321">
      <formula>B24=""</formula>
    </cfRule>
  </conditionalFormatting>
  <conditionalFormatting sqref="F25">
    <cfRule type="expression" dxfId="6385" priority="320">
      <formula>B25=""</formula>
    </cfRule>
  </conditionalFormatting>
  <conditionalFormatting sqref="F26">
    <cfRule type="expression" dxfId="6384" priority="319">
      <formula>B26=""</formula>
    </cfRule>
  </conditionalFormatting>
  <conditionalFormatting sqref="F27">
    <cfRule type="expression" dxfId="6383" priority="318">
      <formula>B27=""</formula>
    </cfRule>
  </conditionalFormatting>
  <conditionalFormatting sqref="C31 C33 C35 C37 C39 C41 C43 C45 C47 C49">
    <cfRule type="expression" dxfId="6382" priority="316">
      <formula>B31=""</formula>
    </cfRule>
  </conditionalFormatting>
  <conditionalFormatting sqref="C43">
    <cfRule type="expression" dxfId="6381" priority="314">
      <formula>B43=""</formula>
    </cfRule>
  </conditionalFormatting>
  <conditionalFormatting sqref="C44">
    <cfRule type="expression" dxfId="6380" priority="313">
      <formula>B44=""</formula>
    </cfRule>
  </conditionalFormatting>
  <conditionalFormatting sqref="C45">
    <cfRule type="expression" dxfId="6379" priority="312">
      <formula>B45=""</formula>
    </cfRule>
  </conditionalFormatting>
  <conditionalFormatting sqref="C46">
    <cfRule type="expression" dxfId="6378" priority="311">
      <formula>B46=""</formula>
    </cfRule>
  </conditionalFormatting>
  <conditionalFormatting sqref="C47">
    <cfRule type="expression" dxfId="6377" priority="310">
      <formula>B47=""</formula>
    </cfRule>
  </conditionalFormatting>
  <conditionalFormatting sqref="C48">
    <cfRule type="expression" dxfId="6376" priority="309">
      <formula>B48=""</formula>
    </cfRule>
  </conditionalFormatting>
  <conditionalFormatting sqref="C49">
    <cfRule type="expression" dxfId="6375" priority="308">
      <formula>B49=""</formula>
    </cfRule>
  </conditionalFormatting>
  <conditionalFormatting sqref="D30 D32 D34 D36 D38 D40 D42:D49">
    <cfRule type="expression" dxfId="6374" priority="307">
      <formula>B30=""</formula>
    </cfRule>
  </conditionalFormatting>
  <conditionalFormatting sqref="D31 D33 D35 D37 D39 D41 D43 D45 D47 D49">
    <cfRule type="expression" dxfId="6373" priority="306">
      <formula>B31=""</formula>
    </cfRule>
  </conditionalFormatting>
  <conditionalFormatting sqref="D43">
    <cfRule type="expression" dxfId="6372" priority="304">
      <formula>B43=""</formula>
    </cfRule>
  </conditionalFormatting>
  <conditionalFormatting sqref="D44">
    <cfRule type="expression" dxfId="6371" priority="303">
      <formula>B44=""</formula>
    </cfRule>
  </conditionalFormatting>
  <conditionalFormatting sqref="D45">
    <cfRule type="expression" dxfId="6370" priority="302">
      <formula>B45=""</formula>
    </cfRule>
  </conditionalFormatting>
  <conditionalFormatting sqref="D46">
    <cfRule type="expression" dxfId="6369" priority="301">
      <formula>B46=""</formula>
    </cfRule>
  </conditionalFormatting>
  <conditionalFormatting sqref="D47">
    <cfRule type="expression" dxfId="6368" priority="300">
      <formula>B47=""</formula>
    </cfRule>
  </conditionalFormatting>
  <conditionalFormatting sqref="D48">
    <cfRule type="expression" dxfId="6367" priority="299">
      <formula>B48=""</formula>
    </cfRule>
  </conditionalFormatting>
  <conditionalFormatting sqref="D49">
    <cfRule type="expression" dxfId="6366" priority="298">
      <formula>B49=""</formula>
    </cfRule>
  </conditionalFormatting>
  <conditionalFormatting sqref="E30 E32 E34 E36 E38 E40 E42:E49">
    <cfRule type="expression" dxfId="6365" priority="297">
      <formula>B30=""</formula>
    </cfRule>
  </conditionalFormatting>
  <conditionalFormatting sqref="E31 E33 E35 E37 E39 E41 E43 E45 E47 E49">
    <cfRule type="expression" dxfId="6364" priority="296">
      <formula>B31=""</formula>
    </cfRule>
  </conditionalFormatting>
  <conditionalFormatting sqref="E43">
    <cfRule type="expression" dxfId="6363" priority="294">
      <formula>B43=""</formula>
    </cfRule>
  </conditionalFormatting>
  <conditionalFormatting sqref="E44">
    <cfRule type="expression" dxfId="6362" priority="293">
      <formula>B44=""</formula>
    </cfRule>
  </conditionalFormatting>
  <conditionalFormatting sqref="E45">
    <cfRule type="expression" dxfId="6361" priority="292">
      <formula>B45=""</formula>
    </cfRule>
  </conditionalFormatting>
  <conditionalFormatting sqref="E46">
    <cfRule type="expression" dxfId="6360" priority="291">
      <formula>B46=""</formula>
    </cfRule>
  </conditionalFormatting>
  <conditionalFormatting sqref="E47">
    <cfRule type="expression" dxfId="6359" priority="290">
      <formula>B47=""</formula>
    </cfRule>
  </conditionalFormatting>
  <conditionalFormatting sqref="E48">
    <cfRule type="expression" dxfId="6358" priority="289">
      <formula>B48=""</formula>
    </cfRule>
  </conditionalFormatting>
  <conditionalFormatting sqref="E49">
    <cfRule type="expression" dxfId="6357" priority="288">
      <formula>B49=""</formula>
    </cfRule>
  </conditionalFormatting>
  <conditionalFormatting sqref="F30 F32 F34 F36 F38 F40 F42:F49">
    <cfRule type="expression" dxfId="6356" priority="287">
      <formula>B30=""</formula>
    </cfRule>
  </conditionalFormatting>
  <conditionalFormatting sqref="F31 F33 F35 F37 F39 F41 F43 F45 F47 F49">
    <cfRule type="expression" dxfId="6355" priority="286">
      <formula>B31=""</formula>
    </cfRule>
  </conditionalFormatting>
  <conditionalFormatting sqref="F43">
    <cfRule type="expression" dxfId="6354" priority="284">
      <formula>B43=""</formula>
    </cfRule>
  </conditionalFormatting>
  <conditionalFormatting sqref="F44">
    <cfRule type="expression" dxfId="6353" priority="283">
      <formula>B44=""</formula>
    </cfRule>
  </conditionalFormatting>
  <conditionalFormatting sqref="F45">
    <cfRule type="expression" dxfId="6352" priority="282">
      <formula>B45=""</formula>
    </cfRule>
  </conditionalFormatting>
  <conditionalFormatting sqref="F46">
    <cfRule type="expression" dxfId="6351" priority="281">
      <formula>B46=""</formula>
    </cfRule>
  </conditionalFormatting>
  <conditionalFormatting sqref="F47">
    <cfRule type="expression" dxfId="6350" priority="280">
      <formula>B47=""</formula>
    </cfRule>
  </conditionalFormatting>
  <conditionalFormatting sqref="F48">
    <cfRule type="expression" dxfId="6349" priority="279">
      <formula>B48=""</formula>
    </cfRule>
  </conditionalFormatting>
  <conditionalFormatting sqref="F49">
    <cfRule type="expression" dxfId="6348" priority="278">
      <formula>B49=""</formula>
    </cfRule>
  </conditionalFormatting>
  <conditionalFormatting sqref="E31 E33 E35 E37 E39 E41 E43:E49">
    <cfRule type="expression" dxfId="6347" priority="277">
      <formula>B31=""</formula>
    </cfRule>
  </conditionalFormatting>
  <conditionalFormatting sqref="E43">
    <cfRule type="expression" dxfId="6346" priority="275">
      <formula>B43=""</formula>
    </cfRule>
  </conditionalFormatting>
  <conditionalFormatting sqref="E44">
    <cfRule type="expression" dxfId="6345" priority="274">
      <formula>B44=""</formula>
    </cfRule>
  </conditionalFormatting>
  <conditionalFormatting sqref="E45">
    <cfRule type="expression" dxfId="6344" priority="273">
      <formula>B45=""</formula>
    </cfRule>
  </conditionalFormatting>
  <conditionalFormatting sqref="E46">
    <cfRule type="expression" dxfId="6343" priority="272">
      <formula>B46=""</formula>
    </cfRule>
  </conditionalFormatting>
  <conditionalFormatting sqref="E47">
    <cfRule type="expression" dxfId="6342" priority="271">
      <formula>B47=""</formula>
    </cfRule>
  </conditionalFormatting>
  <conditionalFormatting sqref="E48">
    <cfRule type="expression" dxfId="6341" priority="270">
      <formula>B48=""</formula>
    </cfRule>
  </conditionalFormatting>
  <conditionalFormatting sqref="E49">
    <cfRule type="expression" dxfId="6340" priority="269">
      <formula>B49=""</formula>
    </cfRule>
  </conditionalFormatting>
  <conditionalFormatting sqref="G30 G32 G34 G36 G38 G40 G42:G49">
    <cfRule type="expression" dxfId="6339" priority="268">
      <formula>B30=""</formula>
    </cfRule>
  </conditionalFormatting>
  <conditionalFormatting sqref="G31 G33 G35 G37 G39 G41 G43 G45 G47 G49">
    <cfRule type="expression" dxfId="6338" priority="267">
      <formula>B31=""</formula>
    </cfRule>
  </conditionalFormatting>
  <conditionalFormatting sqref="G43">
    <cfRule type="expression" dxfId="6337" priority="265">
      <formula>B43=""</formula>
    </cfRule>
  </conditionalFormatting>
  <conditionalFormatting sqref="G44">
    <cfRule type="expression" dxfId="6336" priority="264">
      <formula>B44=""</formula>
    </cfRule>
  </conditionalFormatting>
  <conditionalFormatting sqref="G45">
    <cfRule type="expression" dxfId="6335" priority="263">
      <formula>B45=""</formula>
    </cfRule>
  </conditionalFormatting>
  <conditionalFormatting sqref="G46">
    <cfRule type="expression" dxfId="6334" priority="262">
      <formula>B46=""</formula>
    </cfRule>
  </conditionalFormatting>
  <conditionalFormatting sqref="G47">
    <cfRule type="expression" dxfId="6333" priority="261">
      <formula>B47=""</formula>
    </cfRule>
  </conditionalFormatting>
  <conditionalFormatting sqref="G48">
    <cfRule type="expression" dxfId="6332" priority="260">
      <formula>B48=""</formula>
    </cfRule>
  </conditionalFormatting>
  <conditionalFormatting sqref="G49">
    <cfRule type="expression" dxfId="6331" priority="259">
      <formula>B49=""</formula>
    </cfRule>
  </conditionalFormatting>
  <conditionalFormatting sqref="H30 H32 H34 H36 H38 H40 H42:H49">
    <cfRule type="expression" dxfId="6330" priority="258">
      <formula>B30=""</formula>
    </cfRule>
  </conditionalFormatting>
  <conditionalFormatting sqref="H31 H33 H35 H37 H39 H41 H43 H45 H47 H49">
    <cfRule type="expression" dxfId="6329" priority="257">
      <formula>B31=""</formula>
    </cfRule>
  </conditionalFormatting>
  <conditionalFormatting sqref="H43">
    <cfRule type="expression" dxfId="6328" priority="255">
      <formula>B43=""</formula>
    </cfRule>
  </conditionalFormatting>
  <conditionalFormatting sqref="H44">
    <cfRule type="expression" dxfId="6327" priority="254">
      <formula>B44=""</formula>
    </cfRule>
  </conditionalFormatting>
  <conditionalFormatting sqref="H45">
    <cfRule type="expression" dxfId="6326" priority="253">
      <formula>B45=""</formula>
    </cfRule>
  </conditionalFormatting>
  <conditionalFormatting sqref="H46">
    <cfRule type="expression" dxfId="6325" priority="252">
      <formula>B46=""</formula>
    </cfRule>
  </conditionalFormatting>
  <conditionalFormatting sqref="H47">
    <cfRule type="expression" dxfId="6324" priority="251">
      <formula>B47=""</formula>
    </cfRule>
  </conditionalFormatting>
  <conditionalFormatting sqref="H48">
    <cfRule type="expression" dxfId="6323" priority="250">
      <formula>B48=""</formula>
    </cfRule>
  </conditionalFormatting>
  <conditionalFormatting sqref="H49">
    <cfRule type="expression" dxfId="6322" priority="249">
      <formula>B49=""</formula>
    </cfRule>
  </conditionalFormatting>
  <conditionalFormatting sqref="C31 C33 C35 C37 C39 C41 C43 C45 C47 C49">
    <cfRule type="expression" dxfId="6321" priority="247">
      <formula>B31=""</formula>
    </cfRule>
  </conditionalFormatting>
  <conditionalFormatting sqref="C43">
    <cfRule type="expression" dxfId="6320" priority="245">
      <formula>B43=""</formula>
    </cfRule>
  </conditionalFormatting>
  <conditionalFormatting sqref="C44">
    <cfRule type="expression" dxfId="6319" priority="244">
      <formula>B44=""</formula>
    </cfRule>
  </conditionalFormatting>
  <conditionalFormatting sqref="C45">
    <cfRule type="expression" dxfId="6318" priority="243">
      <formula>B45=""</formula>
    </cfRule>
  </conditionalFormatting>
  <conditionalFormatting sqref="C46">
    <cfRule type="expression" dxfId="6317" priority="242">
      <formula>B46=""</formula>
    </cfRule>
  </conditionalFormatting>
  <conditionalFormatting sqref="C47">
    <cfRule type="expression" dxfId="6316" priority="241">
      <formula>B47=""</formula>
    </cfRule>
  </conditionalFormatting>
  <conditionalFormatting sqref="C48">
    <cfRule type="expression" dxfId="6315" priority="240">
      <formula>B48=""</formula>
    </cfRule>
  </conditionalFormatting>
  <conditionalFormatting sqref="C49">
    <cfRule type="expression" dxfId="6314" priority="239">
      <formula>B49=""</formula>
    </cfRule>
  </conditionalFormatting>
  <conditionalFormatting sqref="C30 C32 C34 C36 C38 C40 C42 C44 C46 C48">
    <cfRule type="expression" dxfId="6313" priority="238">
      <formula>B30=""</formula>
    </cfRule>
  </conditionalFormatting>
  <conditionalFormatting sqref="C31 C33 C35 C37 C39 C41 C43 C45 C47 C49">
    <cfRule type="expression" dxfId="6312" priority="237">
      <formula>B31=""</formula>
    </cfRule>
  </conditionalFormatting>
  <conditionalFormatting sqref="C43">
    <cfRule type="expression" dxfId="6311" priority="235">
      <formula>B43=""</formula>
    </cfRule>
  </conditionalFormatting>
  <conditionalFormatting sqref="C44">
    <cfRule type="expression" dxfId="6310" priority="234">
      <formula>B44=""</formula>
    </cfRule>
  </conditionalFormatting>
  <conditionalFormatting sqref="C45">
    <cfRule type="expression" dxfId="6309" priority="233">
      <formula>B45=""</formula>
    </cfRule>
  </conditionalFormatting>
  <conditionalFormatting sqref="C46">
    <cfRule type="expression" dxfId="6308" priority="232">
      <formula>B46=""</formula>
    </cfRule>
  </conditionalFormatting>
  <conditionalFormatting sqref="C47">
    <cfRule type="expression" dxfId="6307" priority="231">
      <formula>B47=""</formula>
    </cfRule>
  </conditionalFormatting>
  <conditionalFormatting sqref="C48">
    <cfRule type="expression" dxfId="6306" priority="230">
      <formula>B48=""</formula>
    </cfRule>
  </conditionalFormatting>
  <conditionalFormatting sqref="C49">
    <cfRule type="expression" dxfId="6305" priority="229">
      <formula>B49=""</formula>
    </cfRule>
  </conditionalFormatting>
  <conditionalFormatting sqref="D30 D32 D34 D36 D38 D40 D42:D49">
    <cfRule type="expression" dxfId="6304" priority="228">
      <formula>B30=""</formula>
    </cfRule>
  </conditionalFormatting>
  <conditionalFormatting sqref="D31 D33 D35 D37 D39 D41 D43 D45 D47 D49">
    <cfRule type="expression" dxfId="6303" priority="227">
      <formula>B31=""</formula>
    </cfRule>
  </conditionalFormatting>
  <conditionalFormatting sqref="D43">
    <cfRule type="expression" dxfId="6302" priority="225">
      <formula>B43=""</formula>
    </cfRule>
  </conditionalFormatting>
  <conditionalFormatting sqref="D44">
    <cfRule type="expression" dxfId="6301" priority="224">
      <formula>B44=""</formula>
    </cfRule>
  </conditionalFormatting>
  <conditionalFormatting sqref="D45">
    <cfRule type="expression" dxfId="6300" priority="223">
      <formula>B45=""</formula>
    </cfRule>
  </conditionalFormatting>
  <conditionalFormatting sqref="D46">
    <cfRule type="expression" dxfId="6299" priority="222">
      <formula>B46=""</formula>
    </cfRule>
  </conditionalFormatting>
  <conditionalFormatting sqref="D47">
    <cfRule type="expression" dxfId="6298" priority="221">
      <formula>B47=""</formula>
    </cfRule>
  </conditionalFormatting>
  <conditionalFormatting sqref="D48">
    <cfRule type="expression" dxfId="6297" priority="220">
      <formula>B48=""</formula>
    </cfRule>
  </conditionalFormatting>
  <conditionalFormatting sqref="D49">
    <cfRule type="expression" dxfId="6296" priority="219">
      <formula>B49=""</formula>
    </cfRule>
  </conditionalFormatting>
  <conditionalFormatting sqref="E31 E33 E35 E37 E39 E41 E43 E45 E47 E49">
    <cfRule type="expression" dxfId="6295" priority="217">
      <formula>B31=""</formula>
    </cfRule>
  </conditionalFormatting>
  <conditionalFormatting sqref="E43">
    <cfRule type="expression" dxfId="6294" priority="215">
      <formula>B43=""</formula>
    </cfRule>
  </conditionalFormatting>
  <conditionalFormatting sqref="E44">
    <cfRule type="expression" dxfId="6293" priority="214">
      <formula>B44=""</formula>
    </cfRule>
  </conditionalFormatting>
  <conditionalFormatting sqref="E45">
    <cfRule type="expression" dxfId="6292" priority="213">
      <formula>B45=""</formula>
    </cfRule>
  </conditionalFormatting>
  <conditionalFormatting sqref="E46">
    <cfRule type="expression" dxfId="6291" priority="212">
      <formula>B46=""</formula>
    </cfRule>
  </conditionalFormatting>
  <conditionalFormatting sqref="E47">
    <cfRule type="expression" dxfId="6290" priority="211">
      <formula>B47=""</formula>
    </cfRule>
  </conditionalFormatting>
  <conditionalFormatting sqref="E48">
    <cfRule type="expression" dxfId="6289" priority="210">
      <formula>B48=""</formula>
    </cfRule>
  </conditionalFormatting>
  <conditionalFormatting sqref="E49">
    <cfRule type="expression" dxfId="6288" priority="209">
      <formula>B49=""</formula>
    </cfRule>
  </conditionalFormatting>
  <conditionalFormatting sqref="F31 F33 F35 F37 F39 F41 F43 F45 F47 F49">
    <cfRule type="expression" dxfId="6287" priority="207">
      <formula>B31=""</formula>
    </cfRule>
  </conditionalFormatting>
  <conditionalFormatting sqref="F43">
    <cfRule type="expression" dxfId="6286" priority="205">
      <formula>B43=""</formula>
    </cfRule>
  </conditionalFormatting>
  <conditionalFormatting sqref="F44">
    <cfRule type="expression" dxfId="6285" priority="204">
      <formula>B44=""</formula>
    </cfRule>
  </conditionalFormatting>
  <conditionalFormatting sqref="F45">
    <cfRule type="expression" dxfId="6284" priority="203">
      <formula>B45=""</formula>
    </cfRule>
  </conditionalFormatting>
  <conditionalFormatting sqref="F46">
    <cfRule type="expression" dxfId="6283" priority="202">
      <formula>B46=""</formula>
    </cfRule>
  </conditionalFormatting>
  <conditionalFormatting sqref="F47">
    <cfRule type="expression" dxfId="6282" priority="201">
      <formula>B47=""</formula>
    </cfRule>
  </conditionalFormatting>
  <conditionalFormatting sqref="F48">
    <cfRule type="expression" dxfId="6281" priority="200">
      <formula>B48=""</formula>
    </cfRule>
  </conditionalFormatting>
  <conditionalFormatting sqref="F49">
    <cfRule type="expression" dxfId="6280" priority="199">
      <formula>B49=""</formula>
    </cfRule>
  </conditionalFormatting>
  <conditionalFormatting sqref="E31 E33 E35 E37 E39 E41 E43:E49">
    <cfRule type="expression" dxfId="6279" priority="198">
      <formula>B31=""</formula>
    </cfRule>
  </conditionalFormatting>
  <conditionalFormatting sqref="E43">
    <cfRule type="expression" dxfId="6278" priority="196">
      <formula>B43=""</formula>
    </cfRule>
  </conditionalFormatting>
  <conditionalFormatting sqref="E44">
    <cfRule type="expression" dxfId="6277" priority="195">
      <formula>B44=""</formula>
    </cfRule>
  </conditionalFormatting>
  <conditionalFormatting sqref="E45">
    <cfRule type="expression" dxfId="6276" priority="194">
      <formula>B45=""</formula>
    </cfRule>
  </conditionalFormatting>
  <conditionalFormatting sqref="E46">
    <cfRule type="expression" dxfId="6275" priority="193">
      <formula>B46=""</formula>
    </cfRule>
  </conditionalFormatting>
  <conditionalFormatting sqref="E47">
    <cfRule type="expression" dxfId="6274" priority="192">
      <formula>B47=""</formula>
    </cfRule>
  </conditionalFormatting>
  <conditionalFormatting sqref="E48">
    <cfRule type="expression" dxfId="6273" priority="191">
      <formula>B48=""</formula>
    </cfRule>
  </conditionalFormatting>
  <conditionalFormatting sqref="E49">
    <cfRule type="expression" dxfId="6272" priority="190">
      <formula>B49=""</formula>
    </cfRule>
  </conditionalFormatting>
  <conditionalFormatting sqref="G31 G33 G35 G37 G39 G41 G43 G45 G47 G49">
    <cfRule type="expression" dxfId="6271" priority="188">
      <formula>B31=""</formula>
    </cfRule>
  </conditionalFormatting>
  <conditionalFormatting sqref="G43">
    <cfRule type="expression" dxfId="6270" priority="186">
      <formula>B43=""</formula>
    </cfRule>
  </conditionalFormatting>
  <conditionalFormatting sqref="G44">
    <cfRule type="expression" dxfId="6269" priority="185">
      <formula>B44=""</formula>
    </cfRule>
  </conditionalFormatting>
  <conditionalFormatting sqref="G45">
    <cfRule type="expression" dxfId="6268" priority="184">
      <formula>B45=""</formula>
    </cfRule>
  </conditionalFormatting>
  <conditionalFormatting sqref="G46">
    <cfRule type="expression" dxfId="6267" priority="183">
      <formula>B46=""</formula>
    </cfRule>
  </conditionalFormatting>
  <conditionalFormatting sqref="G47">
    <cfRule type="expression" dxfId="6266" priority="182">
      <formula>B47=""</formula>
    </cfRule>
  </conditionalFormatting>
  <conditionalFormatting sqref="G48">
    <cfRule type="expression" dxfId="6265" priority="181">
      <formula>B48=""</formula>
    </cfRule>
  </conditionalFormatting>
  <conditionalFormatting sqref="G49">
    <cfRule type="expression" dxfId="6264" priority="180">
      <formula>B49=""</formula>
    </cfRule>
  </conditionalFormatting>
  <conditionalFormatting sqref="H30 H32 H34 H36 H38 H40 H42:H49">
    <cfRule type="expression" dxfId="6263" priority="179">
      <formula>B30=""</formula>
    </cfRule>
  </conditionalFormatting>
  <conditionalFormatting sqref="H31 H33 H35 H37 H39 H41 H43 H45 H47 H49">
    <cfRule type="expression" dxfId="6262" priority="178">
      <formula>B31=""</formula>
    </cfRule>
  </conditionalFormatting>
  <conditionalFormatting sqref="H43">
    <cfRule type="expression" dxfId="6261" priority="176">
      <formula>B43=""</formula>
    </cfRule>
  </conditionalFormatting>
  <conditionalFormatting sqref="H44">
    <cfRule type="expression" dxfId="6260" priority="175">
      <formula>B44=""</formula>
    </cfRule>
  </conditionalFormatting>
  <conditionalFormatting sqref="H45">
    <cfRule type="expression" dxfId="6259" priority="174">
      <formula>B45=""</formula>
    </cfRule>
  </conditionalFormatting>
  <conditionalFormatting sqref="H46">
    <cfRule type="expression" dxfId="6258" priority="173">
      <formula>B46=""</formula>
    </cfRule>
  </conditionalFormatting>
  <conditionalFormatting sqref="H47">
    <cfRule type="expression" dxfId="6257" priority="172">
      <formula>B47=""</formula>
    </cfRule>
  </conditionalFormatting>
  <conditionalFormatting sqref="H48">
    <cfRule type="expression" dxfId="6256" priority="171">
      <formula>B48=""</formula>
    </cfRule>
  </conditionalFormatting>
  <conditionalFormatting sqref="H49">
    <cfRule type="expression" dxfId="6255" priority="170">
      <formula>B49=""</formula>
    </cfRule>
  </conditionalFormatting>
  <conditionalFormatting sqref="F30 F32 F34 F36 F38 F40 F42:F49">
    <cfRule type="expression" dxfId="6254" priority="169">
      <formula>B30=""</formula>
    </cfRule>
  </conditionalFormatting>
  <conditionalFormatting sqref="F31 F33 F35 F37 F39 F41 F43 F45 F47 F49">
    <cfRule type="expression" dxfId="6253" priority="168">
      <formula>B31=""</formula>
    </cfRule>
  </conditionalFormatting>
  <conditionalFormatting sqref="F43">
    <cfRule type="expression" dxfId="6252" priority="166">
      <formula>B43=""</formula>
    </cfRule>
  </conditionalFormatting>
  <conditionalFormatting sqref="F44">
    <cfRule type="expression" dxfId="6251" priority="165">
      <formula>B44=""</formula>
    </cfRule>
  </conditionalFormatting>
  <conditionalFormatting sqref="F45">
    <cfRule type="expression" dxfId="6250" priority="164">
      <formula>B45=""</formula>
    </cfRule>
  </conditionalFormatting>
  <conditionalFormatting sqref="F46">
    <cfRule type="expression" dxfId="6249" priority="163">
      <formula>B46=""</formula>
    </cfRule>
  </conditionalFormatting>
  <conditionalFormatting sqref="F47">
    <cfRule type="expression" dxfId="6248" priority="162">
      <formula>B47=""</formula>
    </cfRule>
  </conditionalFormatting>
  <conditionalFormatting sqref="F48">
    <cfRule type="expression" dxfId="6247" priority="161">
      <formula>B48=""</formula>
    </cfRule>
  </conditionalFormatting>
  <conditionalFormatting sqref="F49">
    <cfRule type="expression" dxfId="6246" priority="160">
      <formula>B49=""</formula>
    </cfRule>
  </conditionalFormatting>
  <conditionalFormatting sqref="C52:C71">
    <cfRule type="expression" dxfId="6245" priority="159">
      <formula>B52=""</formula>
    </cfRule>
  </conditionalFormatting>
  <conditionalFormatting sqref="C53 C55 C57 C59 C61 C63 C65 C67 C69 C71">
    <cfRule type="expression" dxfId="6244" priority="158">
      <formula>B53=""</formula>
    </cfRule>
  </conditionalFormatting>
  <conditionalFormatting sqref="C54:C64">
    <cfRule type="expression" dxfId="6243" priority="157">
      <formula>B54=""</formula>
    </cfRule>
  </conditionalFormatting>
  <conditionalFormatting sqref="C65">
    <cfRule type="expression" dxfId="6242" priority="156">
      <formula>B65=""</formula>
    </cfRule>
  </conditionalFormatting>
  <conditionalFormatting sqref="C66">
    <cfRule type="expression" dxfId="6241" priority="155">
      <formula>B66=""</formula>
    </cfRule>
  </conditionalFormatting>
  <conditionalFormatting sqref="C67">
    <cfRule type="expression" dxfId="6240" priority="154">
      <formula>B67=""</formula>
    </cfRule>
  </conditionalFormatting>
  <conditionalFormatting sqref="C68">
    <cfRule type="expression" dxfId="6239" priority="153">
      <formula>B68=""</formula>
    </cfRule>
  </conditionalFormatting>
  <conditionalFormatting sqref="C69">
    <cfRule type="expression" dxfId="6238" priority="152">
      <formula>B69=""</formula>
    </cfRule>
  </conditionalFormatting>
  <conditionalFormatting sqref="C70">
    <cfRule type="expression" dxfId="6237" priority="151">
      <formula>B70=""</formula>
    </cfRule>
  </conditionalFormatting>
  <conditionalFormatting sqref="C71">
    <cfRule type="expression" dxfId="6236" priority="150">
      <formula>B71=""</formula>
    </cfRule>
  </conditionalFormatting>
  <conditionalFormatting sqref="C71">
    <cfRule type="expression" dxfId="6235" priority="149">
      <formula>B71=""</formula>
    </cfRule>
  </conditionalFormatting>
  <conditionalFormatting sqref="C52:C71">
    <cfRule type="expression" dxfId="6234" priority="148">
      <formula>B52=""</formula>
    </cfRule>
  </conditionalFormatting>
  <conditionalFormatting sqref="C53 C55 C57 C59 C61 C63 C65 C67 C69 C71">
    <cfRule type="expression" dxfId="6233" priority="147">
      <formula>B53=""</formula>
    </cfRule>
  </conditionalFormatting>
  <conditionalFormatting sqref="C54:C64">
    <cfRule type="expression" dxfId="6232" priority="146">
      <formula>B54=""</formula>
    </cfRule>
  </conditionalFormatting>
  <conditionalFormatting sqref="C65">
    <cfRule type="expression" dxfId="6231" priority="145">
      <formula>B65=""</formula>
    </cfRule>
  </conditionalFormatting>
  <conditionalFormatting sqref="C66">
    <cfRule type="expression" dxfId="6230" priority="144">
      <formula>B66=""</formula>
    </cfRule>
  </conditionalFormatting>
  <conditionalFormatting sqref="C67">
    <cfRule type="expression" dxfId="6229" priority="143">
      <formula>B67=""</formula>
    </cfRule>
  </conditionalFormatting>
  <conditionalFormatting sqref="C68">
    <cfRule type="expression" dxfId="6228" priority="142">
      <formula>B68=""</formula>
    </cfRule>
  </conditionalFormatting>
  <conditionalFormatting sqref="C69">
    <cfRule type="expression" dxfId="6227" priority="141">
      <formula>B69=""</formula>
    </cfRule>
  </conditionalFormatting>
  <conditionalFormatting sqref="C70">
    <cfRule type="expression" dxfId="6226" priority="140">
      <formula>B70=""</formula>
    </cfRule>
  </conditionalFormatting>
  <conditionalFormatting sqref="C71">
    <cfRule type="expression" dxfId="6225" priority="139">
      <formula>B71=""</formula>
    </cfRule>
  </conditionalFormatting>
  <conditionalFormatting sqref="C52:C71">
    <cfRule type="expression" dxfId="6224" priority="138">
      <formula>B52=""</formula>
    </cfRule>
  </conditionalFormatting>
  <conditionalFormatting sqref="C53 C55 C57 C59 C61 C63 C65 C67 C69 C71">
    <cfRule type="expression" dxfId="6223" priority="137">
      <formula>B53=""</formula>
    </cfRule>
  </conditionalFormatting>
  <conditionalFormatting sqref="C54:C64">
    <cfRule type="expression" dxfId="6222" priority="136">
      <formula>B54=""</formula>
    </cfRule>
  </conditionalFormatting>
  <conditionalFormatting sqref="C65">
    <cfRule type="expression" dxfId="6221" priority="135">
      <formula>B65=""</formula>
    </cfRule>
  </conditionalFormatting>
  <conditionalFormatting sqref="C66">
    <cfRule type="expression" dxfId="6220" priority="134">
      <formula>B66=""</formula>
    </cfRule>
  </conditionalFormatting>
  <conditionalFormatting sqref="C67">
    <cfRule type="expression" dxfId="6219" priority="133">
      <formula>B67=""</formula>
    </cfRule>
  </conditionalFormatting>
  <conditionalFormatting sqref="C68">
    <cfRule type="expression" dxfId="6218" priority="132">
      <formula>B68=""</formula>
    </cfRule>
  </conditionalFormatting>
  <conditionalFormatting sqref="C69">
    <cfRule type="expression" dxfId="6217" priority="131">
      <formula>B69=""</formula>
    </cfRule>
  </conditionalFormatting>
  <conditionalFormatting sqref="C70">
    <cfRule type="expression" dxfId="6216" priority="130">
      <formula>B70=""</formula>
    </cfRule>
  </conditionalFormatting>
  <conditionalFormatting sqref="C71">
    <cfRule type="expression" dxfId="6215" priority="129">
      <formula>B71=""</formula>
    </cfRule>
  </conditionalFormatting>
  <conditionalFormatting sqref="C52:C71">
    <cfRule type="expression" dxfId="6214" priority="128">
      <formula>B52=""</formula>
    </cfRule>
  </conditionalFormatting>
  <conditionalFormatting sqref="C53 C55 C57 C59 C61 C63 C65 C67 C69 C71">
    <cfRule type="expression" dxfId="6213" priority="127">
      <formula>B53=""</formula>
    </cfRule>
  </conditionalFormatting>
  <conditionalFormatting sqref="C54:C64">
    <cfRule type="expression" dxfId="6212" priority="126">
      <formula>B54=""</formula>
    </cfRule>
  </conditionalFormatting>
  <conditionalFormatting sqref="C65">
    <cfRule type="expression" dxfId="6211" priority="125">
      <formula>B65=""</formula>
    </cfRule>
  </conditionalFormatting>
  <conditionalFormatting sqref="C66">
    <cfRule type="expression" dxfId="6210" priority="124">
      <formula>B66=""</formula>
    </cfRule>
  </conditionalFormatting>
  <conditionalFormatting sqref="C67">
    <cfRule type="expression" dxfId="6209" priority="123">
      <formula>B67=""</formula>
    </cfRule>
  </conditionalFormatting>
  <conditionalFormatting sqref="C68">
    <cfRule type="expression" dxfId="6208" priority="122">
      <formula>B68=""</formula>
    </cfRule>
  </conditionalFormatting>
  <conditionalFormatting sqref="C69">
    <cfRule type="expression" dxfId="6207" priority="121">
      <formula>B69=""</formula>
    </cfRule>
  </conditionalFormatting>
  <conditionalFormatting sqref="C70">
    <cfRule type="expression" dxfId="6206" priority="120">
      <formula>B70=""</formula>
    </cfRule>
  </conditionalFormatting>
  <conditionalFormatting sqref="C71">
    <cfRule type="expression" dxfId="6205" priority="119">
      <formula>B71=""</formula>
    </cfRule>
  </conditionalFormatting>
  <conditionalFormatting sqref="C52 C54 C56 C58 C60 C62 C64 C66 C68 C70">
    <cfRule type="expression" dxfId="6204" priority="118">
      <formula>B52=""</formula>
    </cfRule>
  </conditionalFormatting>
  <conditionalFormatting sqref="C53 C55 C57 C59 C61 C63 C65 C67 C69 C71">
    <cfRule type="expression" dxfId="6203" priority="117">
      <formula>B53=""</formula>
    </cfRule>
  </conditionalFormatting>
  <conditionalFormatting sqref="C54:C64">
    <cfRule type="expression" dxfId="6202" priority="116">
      <formula>B54=""</formula>
    </cfRule>
  </conditionalFormatting>
  <conditionalFormatting sqref="C65">
    <cfRule type="expression" dxfId="6201" priority="115">
      <formula>B65=""</formula>
    </cfRule>
  </conditionalFormatting>
  <conditionalFormatting sqref="C66">
    <cfRule type="expression" dxfId="6200" priority="114">
      <formula>B66=""</formula>
    </cfRule>
  </conditionalFormatting>
  <conditionalFormatting sqref="C67">
    <cfRule type="expression" dxfId="6199" priority="113">
      <formula>B67=""</formula>
    </cfRule>
  </conditionalFormatting>
  <conditionalFormatting sqref="C68">
    <cfRule type="expression" dxfId="6198" priority="112">
      <formula>B68=""</formula>
    </cfRule>
  </conditionalFormatting>
  <conditionalFormatting sqref="C69">
    <cfRule type="expression" dxfId="6197" priority="111">
      <formula>B69=""</formula>
    </cfRule>
  </conditionalFormatting>
  <conditionalFormatting sqref="C70">
    <cfRule type="expression" dxfId="6196" priority="110">
      <formula>B70=""</formula>
    </cfRule>
  </conditionalFormatting>
  <conditionalFormatting sqref="C71">
    <cfRule type="expression" dxfId="6195" priority="109">
      <formula>B71=""</formula>
    </cfRule>
  </conditionalFormatting>
  <conditionalFormatting sqref="C74:C93">
    <cfRule type="expression" dxfId="6194" priority="108">
      <formula>B74=""</formula>
    </cfRule>
  </conditionalFormatting>
  <conditionalFormatting sqref="C75 C77 C79 C81 C83 C85 C87 C89 C91 C93">
    <cfRule type="expression" dxfId="6193" priority="107">
      <formula>B75=""</formula>
    </cfRule>
  </conditionalFormatting>
  <conditionalFormatting sqref="C76:C86">
    <cfRule type="expression" dxfId="6192" priority="106">
      <formula>B76=""</formula>
    </cfRule>
  </conditionalFormatting>
  <conditionalFormatting sqref="C87">
    <cfRule type="expression" dxfId="6191" priority="105">
      <formula>B87=""</formula>
    </cfRule>
  </conditionalFormatting>
  <conditionalFormatting sqref="C88">
    <cfRule type="expression" dxfId="6190" priority="104">
      <formula>B88=""</formula>
    </cfRule>
  </conditionalFormatting>
  <conditionalFormatting sqref="C89">
    <cfRule type="expression" dxfId="6189" priority="103">
      <formula>B89=""</formula>
    </cfRule>
  </conditionalFormatting>
  <conditionalFormatting sqref="C90">
    <cfRule type="expression" dxfId="6188" priority="102">
      <formula>B90=""</formula>
    </cfRule>
  </conditionalFormatting>
  <conditionalFormatting sqref="C91">
    <cfRule type="expression" dxfId="6187" priority="101">
      <formula>B91=""</formula>
    </cfRule>
  </conditionalFormatting>
  <conditionalFormatting sqref="C92">
    <cfRule type="expression" dxfId="6186" priority="100">
      <formula>B92=""</formula>
    </cfRule>
  </conditionalFormatting>
  <conditionalFormatting sqref="C93">
    <cfRule type="expression" dxfId="6185" priority="99">
      <formula>B93=""</formula>
    </cfRule>
  </conditionalFormatting>
  <conditionalFormatting sqref="C93">
    <cfRule type="expression" dxfId="6184" priority="98">
      <formula>B93=""</formula>
    </cfRule>
  </conditionalFormatting>
  <conditionalFormatting sqref="C74:C93">
    <cfRule type="expression" dxfId="6183" priority="97">
      <formula>B74=""</formula>
    </cfRule>
  </conditionalFormatting>
  <conditionalFormatting sqref="C75 C77 C79 C81 C83 C85 C87 C89 C91 C93">
    <cfRule type="expression" dxfId="6182" priority="96">
      <formula>B75=""</formula>
    </cfRule>
  </conditionalFormatting>
  <conditionalFormatting sqref="C76:C86">
    <cfRule type="expression" dxfId="6181" priority="95">
      <formula>B76=""</formula>
    </cfRule>
  </conditionalFormatting>
  <conditionalFormatting sqref="C87">
    <cfRule type="expression" dxfId="6180" priority="94">
      <formula>B87=""</formula>
    </cfRule>
  </conditionalFormatting>
  <conditionalFormatting sqref="C88">
    <cfRule type="expression" dxfId="6179" priority="93">
      <formula>B88=""</formula>
    </cfRule>
  </conditionalFormatting>
  <conditionalFormatting sqref="C89">
    <cfRule type="expression" dxfId="6178" priority="92">
      <formula>B89=""</formula>
    </cfRule>
  </conditionalFormatting>
  <conditionalFormatting sqref="C90">
    <cfRule type="expression" dxfId="6177" priority="91">
      <formula>B90=""</formula>
    </cfRule>
  </conditionalFormatting>
  <conditionalFormatting sqref="C91">
    <cfRule type="expression" dxfId="6176" priority="90">
      <formula>B91=""</formula>
    </cfRule>
  </conditionalFormatting>
  <conditionalFormatting sqref="C92">
    <cfRule type="expression" dxfId="6175" priority="89">
      <formula>B92=""</formula>
    </cfRule>
  </conditionalFormatting>
  <conditionalFormatting sqref="C93">
    <cfRule type="expression" dxfId="6174" priority="88">
      <formula>B93=""</formula>
    </cfRule>
  </conditionalFormatting>
  <conditionalFormatting sqref="C74:C93">
    <cfRule type="expression" dxfId="6173" priority="87">
      <formula>B74=""</formula>
    </cfRule>
  </conditionalFormatting>
  <conditionalFormatting sqref="C75 C77 C79 C81 C83 C85 C87 C89 C91 C93">
    <cfRule type="expression" dxfId="6172" priority="86">
      <formula>B75=""</formula>
    </cfRule>
  </conditionalFormatting>
  <conditionalFormatting sqref="C76:C86">
    <cfRule type="expression" dxfId="6171" priority="85">
      <formula>B76=""</formula>
    </cfRule>
  </conditionalFormatting>
  <conditionalFormatting sqref="C87">
    <cfRule type="expression" dxfId="6170" priority="84">
      <formula>B87=""</formula>
    </cfRule>
  </conditionalFormatting>
  <conditionalFormatting sqref="C88">
    <cfRule type="expression" dxfId="6169" priority="83">
      <formula>B88=""</formula>
    </cfRule>
  </conditionalFormatting>
  <conditionalFormatting sqref="C89">
    <cfRule type="expression" dxfId="6168" priority="82">
      <formula>B89=""</formula>
    </cfRule>
  </conditionalFormatting>
  <conditionalFormatting sqref="C90">
    <cfRule type="expression" dxfId="6167" priority="81">
      <formula>B90=""</formula>
    </cfRule>
  </conditionalFormatting>
  <conditionalFormatting sqref="C91">
    <cfRule type="expression" dxfId="6166" priority="80">
      <formula>B91=""</formula>
    </cfRule>
  </conditionalFormatting>
  <conditionalFormatting sqref="C92">
    <cfRule type="expression" dxfId="6165" priority="79">
      <formula>B92=""</formula>
    </cfRule>
  </conditionalFormatting>
  <conditionalFormatting sqref="C93">
    <cfRule type="expression" dxfId="6164" priority="78">
      <formula>B93=""</formula>
    </cfRule>
  </conditionalFormatting>
  <conditionalFormatting sqref="C93">
    <cfRule type="expression" dxfId="6163" priority="77">
      <formula>B93=""</formula>
    </cfRule>
  </conditionalFormatting>
  <conditionalFormatting sqref="C74:C93">
    <cfRule type="expression" dxfId="6162" priority="76">
      <formula>B74=""</formula>
    </cfRule>
  </conditionalFormatting>
  <conditionalFormatting sqref="C75 C77 C79 C81 C83 C85 C87 C89 C91 C93">
    <cfRule type="expression" dxfId="6161" priority="75">
      <formula>B75=""</formula>
    </cfRule>
  </conditionalFormatting>
  <conditionalFormatting sqref="C76:C86">
    <cfRule type="expression" dxfId="6160" priority="74">
      <formula>B76=""</formula>
    </cfRule>
  </conditionalFormatting>
  <conditionalFormatting sqref="C87">
    <cfRule type="expression" dxfId="6159" priority="73">
      <formula>B87=""</formula>
    </cfRule>
  </conditionalFormatting>
  <conditionalFormatting sqref="C88">
    <cfRule type="expression" dxfId="6158" priority="72">
      <formula>B88=""</formula>
    </cfRule>
  </conditionalFormatting>
  <conditionalFormatting sqref="C89">
    <cfRule type="expression" dxfId="6157" priority="71">
      <formula>B89=""</formula>
    </cfRule>
  </conditionalFormatting>
  <conditionalFormatting sqref="C90">
    <cfRule type="expression" dxfId="6156" priority="70">
      <formula>B90=""</formula>
    </cfRule>
  </conditionalFormatting>
  <conditionalFormatting sqref="C91">
    <cfRule type="expression" dxfId="6155" priority="69">
      <formula>B91=""</formula>
    </cfRule>
  </conditionalFormatting>
  <conditionalFormatting sqref="C92">
    <cfRule type="expression" dxfId="6154" priority="68">
      <formula>B92=""</formula>
    </cfRule>
  </conditionalFormatting>
  <conditionalFormatting sqref="C93">
    <cfRule type="expression" dxfId="6153" priority="67">
      <formula>B93=""</formula>
    </cfRule>
  </conditionalFormatting>
  <conditionalFormatting sqref="C74:C93">
    <cfRule type="expression" dxfId="6152" priority="66">
      <formula>B74=""</formula>
    </cfRule>
  </conditionalFormatting>
  <conditionalFormatting sqref="C75 C77 C79 C81 C83 C85 C87 C89 C91 C93">
    <cfRule type="expression" dxfId="6151" priority="65">
      <formula>B75=""</formula>
    </cfRule>
  </conditionalFormatting>
  <conditionalFormatting sqref="C76:C86">
    <cfRule type="expression" dxfId="6150" priority="64">
      <formula>B76=""</formula>
    </cfRule>
  </conditionalFormatting>
  <conditionalFormatting sqref="C87">
    <cfRule type="expression" dxfId="6149" priority="63">
      <formula>B87=""</formula>
    </cfRule>
  </conditionalFormatting>
  <conditionalFormatting sqref="C88">
    <cfRule type="expression" dxfId="6148" priority="62">
      <formula>B88=""</formula>
    </cfRule>
  </conditionalFormatting>
  <conditionalFormatting sqref="C89">
    <cfRule type="expression" dxfId="6147" priority="61">
      <formula>B89=""</formula>
    </cfRule>
  </conditionalFormatting>
  <conditionalFormatting sqref="C90">
    <cfRule type="expression" dxfId="6146" priority="60">
      <formula>B90=""</formula>
    </cfRule>
  </conditionalFormatting>
  <conditionalFormatting sqref="C91">
    <cfRule type="expression" dxfId="6145" priority="59">
      <formula>B91=""</formula>
    </cfRule>
  </conditionalFormatting>
  <conditionalFormatting sqref="C92">
    <cfRule type="expression" dxfId="6144" priority="58">
      <formula>B92=""</formula>
    </cfRule>
  </conditionalFormatting>
  <conditionalFormatting sqref="C93">
    <cfRule type="expression" dxfId="6143" priority="57">
      <formula>B93=""</formula>
    </cfRule>
  </conditionalFormatting>
  <conditionalFormatting sqref="C74:C93">
    <cfRule type="expression" dxfId="6142" priority="56">
      <formula>B74=""</formula>
    </cfRule>
  </conditionalFormatting>
  <conditionalFormatting sqref="C75 C77 C79 C81 C83 C85 C87 C89 C91 C93">
    <cfRule type="expression" dxfId="6141" priority="55">
      <formula>B75=""</formula>
    </cfRule>
  </conditionalFormatting>
  <conditionalFormatting sqref="C76:C86">
    <cfRule type="expression" dxfId="6140" priority="54">
      <formula>B76=""</formula>
    </cfRule>
  </conditionalFormatting>
  <conditionalFormatting sqref="C87">
    <cfRule type="expression" dxfId="6139" priority="53">
      <formula>B87=""</formula>
    </cfRule>
  </conditionalFormatting>
  <conditionalFormatting sqref="C88">
    <cfRule type="expression" dxfId="6138" priority="52">
      <formula>B88=""</formula>
    </cfRule>
  </conditionalFormatting>
  <conditionalFormatting sqref="C89">
    <cfRule type="expression" dxfId="6137" priority="51">
      <formula>B89=""</formula>
    </cfRule>
  </conditionalFormatting>
  <conditionalFormatting sqref="C90">
    <cfRule type="expression" dxfId="6136" priority="50">
      <formula>B90=""</formula>
    </cfRule>
  </conditionalFormatting>
  <conditionalFormatting sqref="C91">
    <cfRule type="expression" dxfId="6135" priority="49">
      <formula>B91=""</formula>
    </cfRule>
  </conditionalFormatting>
  <conditionalFormatting sqref="C92">
    <cfRule type="expression" dxfId="6134" priority="48">
      <formula>B92=""</formula>
    </cfRule>
  </conditionalFormatting>
  <conditionalFormatting sqref="C93">
    <cfRule type="expression" dxfId="6133" priority="47">
      <formula>B93=""</formula>
    </cfRule>
  </conditionalFormatting>
  <conditionalFormatting sqref="C74 C76 C78 C80 C82 C84 C86 C88 C90 C92">
    <cfRule type="expression" dxfId="6132" priority="46">
      <formula>B74=""</formula>
    </cfRule>
  </conditionalFormatting>
  <conditionalFormatting sqref="C75 C77 C79 C81 C83 C85 C87 C89 C91 C93">
    <cfRule type="expression" dxfId="6131" priority="45">
      <formula>B75=""</formula>
    </cfRule>
  </conditionalFormatting>
  <conditionalFormatting sqref="C76:C86">
    <cfRule type="expression" dxfId="6130" priority="44">
      <formula>B76=""</formula>
    </cfRule>
  </conditionalFormatting>
  <conditionalFormatting sqref="C87">
    <cfRule type="expression" dxfId="6129" priority="43">
      <formula>B87=""</formula>
    </cfRule>
  </conditionalFormatting>
  <conditionalFormatting sqref="C88">
    <cfRule type="expression" dxfId="6128" priority="42">
      <formula>B88=""</formula>
    </cfRule>
  </conditionalFormatting>
  <conditionalFormatting sqref="C89">
    <cfRule type="expression" dxfId="6127" priority="41">
      <formula>B89=""</formula>
    </cfRule>
  </conditionalFormatting>
  <conditionalFormatting sqref="C90">
    <cfRule type="expression" dxfId="6126" priority="40">
      <formula>B90=""</formula>
    </cfRule>
  </conditionalFormatting>
  <conditionalFormatting sqref="C91">
    <cfRule type="expression" dxfId="6125" priority="39">
      <formula>B91=""</formula>
    </cfRule>
  </conditionalFormatting>
  <conditionalFormatting sqref="C92">
    <cfRule type="expression" dxfId="6124" priority="38">
      <formula>B92=""</formula>
    </cfRule>
  </conditionalFormatting>
  <conditionalFormatting sqref="C93">
    <cfRule type="expression" dxfId="6123" priority="37">
      <formula>B93=""</formula>
    </cfRule>
  </conditionalFormatting>
  <conditionalFormatting sqref="C8:C27">
    <cfRule type="expression" dxfId="6122" priority="35">
      <formula>B8=""</formula>
    </cfRule>
  </conditionalFormatting>
  <conditionalFormatting sqref="C9 C11 C13 C15 C17 C19 C21 C23 C25 C27">
    <cfRule type="expression" dxfId="6121" priority="34">
      <formula>B9=""</formula>
    </cfRule>
  </conditionalFormatting>
  <conditionalFormatting sqref="C8:C27">
    <cfRule type="expression" dxfId="6120" priority="33">
      <formula>B8=""</formula>
    </cfRule>
  </conditionalFormatting>
  <conditionalFormatting sqref="C9 C11 C13 C15 C17 C19 C21 C23 C25 C27">
    <cfRule type="expression" dxfId="6119" priority="32">
      <formula>B9=""</formula>
    </cfRule>
  </conditionalFormatting>
  <conditionalFormatting sqref="C8 C10 C12 C14 C16 C18 C20 C22 C24 C26">
    <cfRule type="expression" dxfId="6118" priority="31">
      <formula>B8=""</formula>
    </cfRule>
  </conditionalFormatting>
  <conditionalFormatting sqref="C9 C11 C13 C15 C17 C19 C21 C23 C25 C27">
    <cfRule type="expression" dxfId="6117" priority="30">
      <formula>B9=""</formula>
    </cfRule>
  </conditionalFormatting>
  <conditionalFormatting sqref="C8:C27">
    <cfRule type="expression" dxfId="6116" priority="28">
      <formula>B8=""</formula>
    </cfRule>
  </conditionalFormatting>
  <conditionalFormatting sqref="C9 C11 C13 C15 C17 C19 C21 C23 C25 C27">
    <cfRule type="expression" dxfId="6115" priority="27">
      <formula>B9=""</formula>
    </cfRule>
  </conditionalFormatting>
  <conditionalFormatting sqref="C9 C11 C13 C15 C17 C19 C21 C23 C25 C27">
    <cfRule type="expression" dxfId="6114" priority="26">
      <formula>B9=""</formula>
    </cfRule>
  </conditionalFormatting>
  <conditionalFormatting sqref="C8 C10 C12 C14 C16 C18 C20 C22 C24 C26">
    <cfRule type="expression" dxfId="6113" priority="25">
      <formula>B8=""</formula>
    </cfRule>
  </conditionalFormatting>
  <conditionalFormatting sqref="C9 C11 C13 C15 C17 C19 C21 C23 C25 C27">
    <cfRule type="expression" dxfId="6112" priority="24">
      <formula>B9=""</formula>
    </cfRule>
  </conditionalFormatting>
  <conditionalFormatting sqref="C8:C27">
    <cfRule type="expression" dxfId="6111" priority="23">
      <formula>B8=""</formula>
    </cfRule>
  </conditionalFormatting>
  <conditionalFormatting sqref="C9 C11 C13 C15 C17 C19 C21 C23 C25 C27">
    <cfRule type="expression" dxfId="6110" priority="22">
      <formula>B9=""</formula>
    </cfRule>
  </conditionalFormatting>
  <conditionalFormatting sqref="C8:C27">
    <cfRule type="expression" dxfId="6109" priority="21">
      <formula>B8=""</formula>
    </cfRule>
  </conditionalFormatting>
  <conditionalFormatting sqref="C9 C11 C13 C15 C17 C19 C21 C23 C25 C27">
    <cfRule type="expression" dxfId="6108" priority="20">
      <formula>B9=""</formula>
    </cfRule>
  </conditionalFormatting>
  <conditionalFormatting sqref="C8:C27">
    <cfRule type="expression" dxfId="6107" priority="19">
      <formula>B8=""</formula>
    </cfRule>
  </conditionalFormatting>
  <conditionalFormatting sqref="C9 C11 C13 C15 C17 C19 C21 C23 C25 C27">
    <cfRule type="expression" dxfId="6106" priority="18">
      <formula>B9=""</formula>
    </cfRule>
  </conditionalFormatting>
  <conditionalFormatting sqref="E50">
    <cfRule type="expression" dxfId="6105" priority="16">
      <formula>B50=""</formula>
    </cfRule>
  </conditionalFormatting>
  <conditionalFormatting sqref="E50">
    <cfRule type="expression" dxfId="6104" priority="15">
      <formula>B50=""</formula>
    </cfRule>
  </conditionalFormatting>
  <conditionalFormatting sqref="E50">
    <cfRule type="expression" dxfId="6103" priority="14">
      <formula>B50=""</formula>
    </cfRule>
  </conditionalFormatting>
  <conditionalFormatting sqref="E50">
    <cfRule type="expression" dxfId="6102" priority="13">
      <formula>B50=""</formula>
    </cfRule>
  </conditionalFormatting>
  <conditionalFormatting sqref="E50">
    <cfRule type="expression" dxfId="6101" priority="12">
      <formula>B50=""</formula>
    </cfRule>
  </conditionalFormatting>
  <conditionalFormatting sqref="E50">
    <cfRule type="expression" dxfId="6100" priority="11">
      <formula>B50=""</formula>
    </cfRule>
  </conditionalFormatting>
  <conditionalFormatting sqref="E50">
    <cfRule type="expression" dxfId="6099" priority="10">
      <formula>B50=""</formula>
    </cfRule>
  </conditionalFormatting>
  <conditionalFormatting sqref="E50">
    <cfRule type="expression" dxfId="6098" priority="9">
      <formula>B50=""</formula>
    </cfRule>
  </conditionalFormatting>
  <conditionalFormatting sqref="E50">
    <cfRule type="expression" dxfId="6097" priority="8">
      <formula>B50=""</formula>
    </cfRule>
  </conditionalFormatting>
  <conditionalFormatting sqref="E50">
    <cfRule type="expression" dxfId="6096" priority="7">
      <formula>B50=""</formula>
    </cfRule>
  </conditionalFormatting>
  <conditionalFormatting sqref="E50">
    <cfRule type="expression" dxfId="6095" priority="6">
      <formula>B50=""</formula>
    </cfRule>
  </conditionalFormatting>
  <conditionalFormatting sqref="E50">
    <cfRule type="expression" dxfId="6094" priority="5">
      <formula>B50=""</formula>
    </cfRule>
  </conditionalFormatting>
  <conditionalFormatting sqref="E50">
    <cfRule type="expression" dxfId="6093" priority="4">
      <formula>B50=""</formula>
    </cfRule>
  </conditionalFormatting>
  <conditionalFormatting sqref="E50">
    <cfRule type="expression" dxfId="6092" priority="3">
      <formula>B50=""</formula>
    </cfRule>
  </conditionalFormatting>
  <conditionalFormatting sqref="E50">
    <cfRule type="expression" dxfId="6091" priority="2">
      <formula>B50=""</formula>
    </cfRule>
  </conditionalFormatting>
  <conditionalFormatting sqref="E50">
    <cfRule type="expression" dxfId="6090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DATA!B1013</f>
        <v xml:space="preserve">Building </v>
      </c>
    </row>
    <row r="2" spans="2:8" ht="25.8">
      <c r="C2" s="232" t="str">
        <f>'All Hours'!D1</f>
        <v>PLEASE INSERT TENDERER NAME ON INPUT DATA SHEET</v>
      </c>
      <c r="E2" s="920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DATA!B1013</f>
        <v xml:space="preserve">Building </v>
      </c>
      <c r="C6" s="26"/>
      <c r="D6" s="211" t="s">
        <v>6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3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89" priority="736">
      <formula>LEN(TRIM(B8))=0</formula>
    </cfRule>
  </conditionalFormatting>
  <conditionalFormatting sqref="C8:C27">
    <cfRule type="expression" dxfId="6088" priority="735">
      <formula>B8=""</formula>
    </cfRule>
  </conditionalFormatting>
  <conditionalFormatting sqref="C9 C11 C13 C15 C17 C19 C21 C23 C25 C27">
    <cfRule type="expression" dxfId="6087" priority="734">
      <formula>B9=""</formula>
    </cfRule>
  </conditionalFormatting>
  <conditionalFormatting sqref="C10:C20">
    <cfRule type="expression" dxfId="6086" priority="733">
      <formula>B10=""</formula>
    </cfRule>
  </conditionalFormatting>
  <conditionalFormatting sqref="C21">
    <cfRule type="expression" dxfId="6085" priority="732">
      <formula>B21=""</formula>
    </cfRule>
  </conditionalFormatting>
  <conditionalFormatting sqref="C22">
    <cfRule type="expression" dxfId="6084" priority="731">
      <formula>B22=""</formula>
    </cfRule>
  </conditionalFormatting>
  <conditionalFormatting sqref="C23">
    <cfRule type="expression" dxfId="6083" priority="730">
      <formula>B23=""</formula>
    </cfRule>
  </conditionalFormatting>
  <conditionalFormatting sqref="C24">
    <cfRule type="expression" dxfId="6082" priority="729">
      <formula>B24=""</formula>
    </cfRule>
  </conditionalFormatting>
  <conditionalFormatting sqref="C25">
    <cfRule type="expression" dxfId="6081" priority="728">
      <formula>B25=""</formula>
    </cfRule>
  </conditionalFormatting>
  <conditionalFormatting sqref="C26">
    <cfRule type="expression" dxfId="6080" priority="727">
      <formula>B26=""</formula>
    </cfRule>
  </conditionalFormatting>
  <conditionalFormatting sqref="C27">
    <cfRule type="expression" dxfId="6079" priority="726">
      <formula>B27=""</formula>
    </cfRule>
  </conditionalFormatting>
  <conditionalFormatting sqref="C28">
    <cfRule type="expression" dxfId="6078" priority="725">
      <formula>B28=""</formula>
    </cfRule>
  </conditionalFormatting>
  <conditionalFormatting sqref="D8 D10 D12 D14 D16 D18 D20 D22 D24 D26">
    <cfRule type="expression" dxfId="6077" priority="724">
      <formula>B8=""</formula>
    </cfRule>
  </conditionalFormatting>
  <conditionalFormatting sqref="D9 D11 D13 D15 D17 D19 D21 D23 D25 D27">
    <cfRule type="expression" dxfId="6076" priority="723">
      <formula>B9=""</formula>
    </cfRule>
  </conditionalFormatting>
  <conditionalFormatting sqref="D10:D20">
    <cfRule type="expression" dxfId="6075" priority="722">
      <formula>B10=""</formula>
    </cfRule>
  </conditionalFormatting>
  <conditionalFormatting sqref="D21">
    <cfRule type="expression" dxfId="6074" priority="721">
      <formula>B21=""</formula>
    </cfRule>
  </conditionalFormatting>
  <conditionalFormatting sqref="D22">
    <cfRule type="expression" dxfId="6073" priority="720">
      <formula>B22=""</formula>
    </cfRule>
  </conditionalFormatting>
  <conditionalFormatting sqref="D23">
    <cfRule type="expression" dxfId="6072" priority="719">
      <formula>B23=""</formula>
    </cfRule>
  </conditionalFormatting>
  <conditionalFormatting sqref="D24">
    <cfRule type="expression" dxfId="6071" priority="718">
      <formula>B24=""</formula>
    </cfRule>
  </conditionalFormatting>
  <conditionalFormatting sqref="D25">
    <cfRule type="expression" dxfId="6070" priority="717">
      <formula>B25=""</formula>
    </cfRule>
  </conditionalFormatting>
  <conditionalFormatting sqref="D26">
    <cfRule type="expression" dxfId="6069" priority="716">
      <formula>B26=""</formula>
    </cfRule>
  </conditionalFormatting>
  <conditionalFormatting sqref="D27">
    <cfRule type="expression" dxfId="6068" priority="715">
      <formula>B27=""</formula>
    </cfRule>
  </conditionalFormatting>
  <conditionalFormatting sqref="D28">
    <cfRule type="expression" dxfId="6067" priority="714">
      <formula>B28=""</formula>
    </cfRule>
  </conditionalFormatting>
  <conditionalFormatting sqref="E8 E10 E12 E14 E16 E18 E20 E22 E24 E26">
    <cfRule type="expression" dxfId="6066" priority="713">
      <formula>B8=""</formula>
    </cfRule>
  </conditionalFormatting>
  <conditionalFormatting sqref="E9 E11 E13 E15 E17 E19 E21 E23 E25 E27">
    <cfRule type="expression" dxfId="6065" priority="712">
      <formula>B9=""</formula>
    </cfRule>
  </conditionalFormatting>
  <conditionalFormatting sqref="E10:E20">
    <cfRule type="expression" dxfId="6064" priority="711">
      <formula>B10=""</formula>
    </cfRule>
  </conditionalFormatting>
  <conditionalFormatting sqref="E21">
    <cfRule type="expression" dxfId="6063" priority="710">
      <formula>B21=""</formula>
    </cfRule>
  </conditionalFormatting>
  <conditionalFormatting sqref="E22">
    <cfRule type="expression" dxfId="6062" priority="709">
      <formula>B22=""</formula>
    </cfRule>
  </conditionalFormatting>
  <conditionalFormatting sqref="E23">
    <cfRule type="expression" dxfId="6061" priority="708">
      <formula>B23=""</formula>
    </cfRule>
  </conditionalFormatting>
  <conditionalFormatting sqref="E24">
    <cfRule type="expression" dxfId="6060" priority="707">
      <formula>B24=""</formula>
    </cfRule>
  </conditionalFormatting>
  <conditionalFormatting sqref="E25">
    <cfRule type="expression" dxfId="6059" priority="706">
      <formula>B25=""</formula>
    </cfRule>
  </conditionalFormatting>
  <conditionalFormatting sqref="E26">
    <cfRule type="expression" dxfId="6058" priority="705">
      <formula>B26=""</formula>
    </cfRule>
  </conditionalFormatting>
  <conditionalFormatting sqref="E27">
    <cfRule type="expression" dxfId="6057" priority="704">
      <formula>B27=""</formula>
    </cfRule>
  </conditionalFormatting>
  <conditionalFormatting sqref="E28">
    <cfRule type="expression" dxfId="6056" priority="703">
      <formula>B28=""</formula>
    </cfRule>
  </conditionalFormatting>
  <conditionalFormatting sqref="F8 F10 F12 F14 F16 F18 F20 F22 F24 F26">
    <cfRule type="expression" dxfId="6055" priority="702">
      <formula>B8=""</formula>
    </cfRule>
  </conditionalFormatting>
  <conditionalFormatting sqref="F9 F11 F13 F15 F17 F19 F21 F23 F25 F27">
    <cfRule type="expression" dxfId="6054" priority="701">
      <formula>B9=""</formula>
    </cfRule>
  </conditionalFormatting>
  <conditionalFormatting sqref="F10:F20">
    <cfRule type="expression" dxfId="6053" priority="700">
      <formula>B10=""</formula>
    </cfRule>
  </conditionalFormatting>
  <conditionalFormatting sqref="F21">
    <cfRule type="expression" dxfId="6052" priority="699">
      <formula>B21=""</formula>
    </cfRule>
  </conditionalFormatting>
  <conditionalFormatting sqref="F22">
    <cfRule type="expression" dxfId="6051" priority="698">
      <formula>B22=""</formula>
    </cfRule>
  </conditionalFormatting>
  <conditionalFormatting sqref="F23">
    <cfRule type="expression" dxfId="6050" priority="697">
      <formula>B23=""</formula>
    </cfRule>
  </conditionalFormatting>
  <conditionalFormatting sqref="F24">
    <cfRule type="expression" dxfId="6049" priority="696">
      <formula>B24=""</formula>
    </cfRule>
  </conditionalFormatting>
  <conditionalFormatting sqref="F25">
    <cfRule type="expression" dxfId="6048" priority="695">
      <formula>B25=""</formula>
    </cfRule>
  </conditionalFormatting>
  <conditionalFormatting sqref="F26">
    <cfRule type="expression" dxfId="6047" priority="694">
      <formula>B26=""</formula>
    </cfRule>
  </conditionalFormatting>
  <conditionalFormatting sqref="F27">
    <cfRule type="expression" dxfId="6046" priority="693">
      <formula>B27=""</formula>
    </cfRule>
  </conditionalFormatting>
  <conditionalFormatting sqref="F28">
    <cfRule type="expression" dxfId="6045" priority="692">
      <formula>B28=""</formula>
    </cfRule>
  </conditionalFormatting>
  <conditionalFormatting sqref="E9 E11 E13 E15 E17 E19 E21 E23 E25 E27">
    <cfRule type="expression" dxfId="6044" priority="691">
      <formula>B9=""</formula>
    </cfRule>
  </conditionalFormatting>
  <conditionalFormatting sqref="E10:E20">
    <cfRule type="expression" dxfId="6043" priority="690">
      <formula>B10=""</formula>
    </cfRule>
  </conditionalFormatting>
  <conditionalFormatting sqref="E21">
    <cfRule type="expression" dxfId="6042" priority="689">
      <formula>B21=""</formula>
    </cfRule>
  </conditionalFormatting>
  <conditionalFormatting sqref="E22">
    <cfRule type="expression" dxfId="6041" priority="688">
      <formula>B22=""</formula>
    </cfRule>
  </conditionalFormatting>
  <conditionalFormatting sqref="E23">
    <cfRule type="expression" dxfId="6040" priority="687">
      <formula>B23=""</formula>
    </cfRule>
  </conditionalFormatting>
  <conditionalFormatting sqref="E24">
    <cfRule type="expression" dxfId="6039" priority="686">
      <formula>B24=""</formula>
    </cfRule>
  </conditionalFormatting>
  <conditionalFormatting sqref="E25">
    <cfRule type="expression" dxfId="6038" priority="685">
      <formula>B25=""</formula>
    </cfRule>
  </conditionalFormatting>
  <conditionalFormatting sqref="E26">
    <cfRule type="expression" dxfId="6037" priority="684">
      <formula>B26=""</formula>
    </cfRule>
  </conditionalFormatting>
  <conditionalFormatting sqref="E27">
    <cfRule type="expression" dxfId="6036" priority="683">
      <formula>B27=""</formula>
    </cfRule>
  </conditionalFormatting>
  <conditionalFormatting sqref="E28">
    <cfRule type="expression" dxfId="6035" priority="682">
      <formula>B28=""</formula>
    </cfRule>
  </conditionalFormatting>
  <conditionalFormatting sqref="G8 G10 G12 G14 G16 G18 G20 G22 G24 G26">
    <cfRule type="expression" dxfId="6034" priority="681">
      <formula>B8=""</formula>
    </cfRule>
  </conditionalFormatting>
  <conditionalFormatting sqref="G9 G11 G13 G15 G17 G19 G21 G23 G25 G27">
    <cfRule type="expression" dxfId="6033" priority="680">
      <formula>B9=""</formula>
    </cfRule>
  </conditionalFormatting>
  <conditionalFormatting sqref="G10:G20">
    <cfRule type="expression" dxfId="6032" priority="679">
      <formula>B10=""</formula>
    </cfRule>
  </conditionalFormatting>
  <conditionalFormatting sqref="G21">
    <cfRule type="expression" dxfId="6031" priority="678">
      <formula>B21=""</formula>
    </cfRule>
  </conditionalFormatting>
  <conditionalFormatting sqref="G22">
    <cfRule type="expression" dxfId="6030" priority="677">
      <formula>B22=""</formula>
    </cfRule>
  </conditionalFormatting>
  <conditionalFormatting sqref="G23">
    <cfRule type="expression" dxfId="6029" priority="676">
      <formula>B23=""</formula>
    </cfRule>
  </conditionalFormatting>
  <conditionalFormatting sqref="G24">
    <cfRule type="expression" dxfId="6028" priority="675">
      <formula>B24=""</formula>
    </cfRule>
  </conditionalFormatting>
  <conditionalFormatting sqref="G25">
    <cfRule type="expression" dxfId="6027" priority="674">
      <formula>B25=""</formula>
    </cfRule>
  </conditionalFormatting>
  <conditionalFormatting sqref="G26">
    <cfRule type="expression" dxfId="6026" priority="673">
      <formula>B26=""</formula>
    </cfRule>
  </conditionalFormatting>
  <conditionalFormatting sqref="G27">
    <cfRule type="expression" dxfId="6025" priority="672">
      <formula>B27=""</formula>
    </cfRule>
  </conditionalFormatting>
  <conditionalFormatting sqref="G28">
    <cfRule type="expression" dxfId="6024" priority="671">
      <formula>B28=""</formula>
    </cfRule>
  </conditionalFormatting>
  <conditionalFormatting sqref="H8 H10 H12 H14 H16 H18 H20 H22 H24 H26">
    <cfRule type="expression" dxfId="6023" priority="670">
      <formula>B8=""</formula>
    </cfRule>
  </conditionalFormatting>
  <conditionalFormatting sqref="H9 H11 H13 H15 H17 H19 H21 H23 H25 H27">
    <cfRule type="expression" dxfId="6022" priority="669">
      <formula>B9=""</formula>
    </cfRule>
  </conditionalFormatting>
  <conditionalFormatting sqref="H10:H20">
    <cfRule type="expression" dxfId="6021" priority="668">
      <formula>B10=""</formula>
    </cfRule>
  </conditionalFormatting>
  <conditionalFormatting sqref="H21">
    <cfRule type="expression" dxfId="6020" priority="667">
      <formula>B21=""</formula>
    </cfRule>
  </conditionalFormatting>
  <conditionalFormatting sqref="H22">
    <cfRule type="expression" dxfId="6019" priority="666">
      <formula>B22=""</formula>
    </cfRule>
  </conditionalFormatting>
  <conditionalFormatting sqref="H23">
    <cfRule type="expression" dxfId="6018" priority="665">
      <formula>B23=""</formula>
    </cfRule>
  </conditionalFormatting>
  <conditionalFormatting sqref="H24">
    <cfRule type="expression" dxfId="6017" priority="664">
      <formula>B24=""</formula>
    </cfRule>
  </conditionalFormatting>
  <conditionalFormatting sqref="H25">
    <cfRule type="expression" dxfId="6016" priority="663">
      <formula>B25=""</formula>
    </cfRule>
  </conditionalFormatting>
  <conditionalFormatting sqref="H26">
    <cfRule type="expression" dxfId="6015" priority="662">
      <formula>B26=""</formula>
    </cfRule>
  </conditionalFormatting>
  <conditionalFormatting sqref="H27">
    <cfRule type="expression" dxfId="6014" priority="661">
      <formula>B27=""</formula>
    </cfRule>
  </conditionalFormatting>
  <conditionalFormatting sqref="H28">
    <cfRule type="expression" dxfId="6013" priority="660">
      <formula>B28=""</formula>
    </cfRule>
  </conditionalFormatting>
  <conditionalFormatting sqref="C30:C50">
    <cfRule type="expression" dxfId="6012" priority="659">
      <formula>B30=""</formula>
    </cfRule>
  </conditionalFormatting>
  <conditionalFormatting sqref="C31 C33 C35 C37 C39 C41 C43 C45 C47 C49">
    <cfRule type="expression" dxfId="6011" priority="658">
      <formula>B31=""</formula>
    </cfRule>
  </conditionalFormatting>
  <conditionalFormatting sqref="C32:C42">
    <cfRule type="expression" dxfId="6010" priority="657">
      <formula>B32=""</formula>
    </cfRule>
  </conditionalFormatting>
  <conditionalFormatting sqref="C43">
    <cfRule type="expression" dxfId="6009" priority="656">
      <formula>B43=""</formula>
    </cfRule>
  </conditionalFormatting>
  <conditionalFormatting sqref="C44">
    <cfRule type="expression" dxfId="6008" priority="655">
      <formula>B44=""</formula>
    </cfRule>
  </conditionalFormatting>
  <conditionalFormatting sqref="C45">
    <cfRule type="expression" dxfId="6007" priority="654">
      <formula>B45=""</formula>
    </cfRule>
  </conditionalFormatting>
  <conditionalFormatting sqref="C46">
    <cfRule type="expression" dxfId="6006" priority="653">
      <formula>B46=""</formula>
    </cfRule>
  </conditionalFormatting>
  <conditionalFormatting sqref="C47">
    <cfRule type="expression" dxfId="6005" priority="652">
      <formula>B47=""</formula>
    </cfRule>
  </conditionalFormatting>
  <conditionalFormatting sqref="C48">
    <cfRule type="expression" dxfId="6004" priority="651">
      <formula>B48=""</formula>
    </cfRule>
  </conditionalFormatting>
  <conditionalFormatting sqref="C49">
    <cfRule type="expression" dxfId="6003" priority="650">
      <formula>B49=""</formula>
    </cfRule>
  </conditionalFormatting>
  <conditionalFormatting sqref="C50">
    <cfRule type="expression" dxfId="6002" priority="649">
      <formula>B50=""</formula>
    </cfRule>
  </conditionalFormatting>
  <conditionalFormatting sqref="D30 D32 D34 D36 D38 D40 D42 D44 D46 D48">
    <cfRule type="expression" dxfId="6001" priority="648">
      <formula>B30=""</formula>
    </cfRule>
  </conditionalFormatting>
  <conditionalFormatting sqref="D31 D33 D35 D37 D39 D41 D43 D45 D47 D49">
    <cfRule type="expression" dxfId="6000" priority="647">
      <formula>B31=""</formula>
    </cfRule>
  </conditionalFormatting>
  <conditionalFormatting sqref="D32:D42">
    <cfRule type="expression" dxfId="5999" priority="646">
      <formula>B32=""</formula>
    </cfRule>
  </conditionalFormatting>
  <conditionalFormatting sqref="D43">
    <cfRule type="expression" dxfId="5998" priority="645">
      <formula>B43=""</formula>
    </cfRule>
  </conditionalFormatting>
  <conditionalFormatting sqref="D44">
    <cfRule type="expression" dxfId="5997" priority="644">
      <formula>B44=""</formula>
    </cfRule>
  </conditionalFormatting>
  <conditionalFormatting sqref="D45">
    <cfRule type="expression" dxfId="5996" priority="643">
      <formula>B45=""</formula>
    </cfRule>
  </conditionalFormatting>
  <conditionalFormatting sqref="D46">
    <cfRule type="expression" dxfId="5995" priority="642">
      <formula>B46=""</formula>
    </cfRule>
  </conditionalFormatting>
  <conditionalFormatting sqref="D47">
    <cfRule type="expression" dxfId="5994" priority="641">
      <formula>B47=""</formula>
    </cfRule>
  </conditionalFormatting>
  <conditionalFormatting sqref="D48">
    <cfRule type="expression" dxfId="5993" priority="640">
      <formula>B48=""</formula>
    </cfRule>
  </conditionalFormatting>
  <conditionalFormatting sqref="D49">
    <cfRule type="expression" dxfId="5992" priority="639">
      <formula>B49=""</formula>
    </cfRule>
  </conditionalFormatting>
  <conditionalFormatting sqref="D50">
    <cfRule type="expression" dxfId="5991" priority="638">
      <formula>B50=""</formula>
    </cfRule>
  </conditionalFormatting>
  <conditionalFormatting sqref="E30 E32 E34 E36 E38 E40 E42 E44 E46 E48">
    <cfRule type="expression" dxfId="5990" priority="637">
      <formula>B30=""</formula>
    </cfRule>
  </conditionalFormatting>
  <conditionalFormatting sqref="E31 E33 E35 E37 E39 E41 E43 E45 E47 E49">
    <cfRule type="expression" dxfId="5989" priority="636">
      <formula>B31=""</formula>
    </cfRule>
  </conditionalFormatting>
  <conditionalFormatting sqref="E32:E42">
    <cfRule type="expression" dxfId="5988" priority="635">
      <formula>B32=""</formula>
    </cfRule>
  </conditionalFormatting>
  <conditionalFormatting sqref="E43">
    <cfRule type="expression" dxfId="5987" priority="634">
      <formula>B43=""</formula>
    </cfRule>
  </conditionalFormatting>
  <conditionalFormatting sqref="E44">
    <cfRule type="expression" dxfId="5986" priority="633">
      <formula>B44=""</formula>
    </cfRule>
  </conditionalFormatting>
  <conditionalFormatting sqref="E45">
    <cfRule type="expression" dxfId="5985" priority="632">
      <formula>B45=""</formula>
    </cfRule>
  </conditionalFormatting>
  <conditionalFormatting sqref="E46">
    <cfRule type="expression" dxfId="5984" priority="631">
      <formula>B46=""</formula>
    </cfRule>
  </conditionalFormatting>
  <conditionalFormatting sqref="E47">
    <cfRule type="expression" dxfId="5983" priority="630">
      <formula>B47=""</formula>
    </cfRule>
  </conditionalFormatting>
  <conditionalFormatting sqref="E48">
    <cfRule type="expression" dxfId="5982" priority="629">
      <formula>B48=""</formula>
    </cfRule>
  </conditionalFormatting>
  <conditionalFormatting sqref="E49">
    <cfRule type="expression" dxfId="5981" priority="628">
      <formula>B49=""</formula>
    </cfRule>
  </conditionalFormatting>
  <conditionalFormatting sqref="E50">
    <cfRule type="expression" dxfId="5980" priority="627">
      <formula>B50=""</formula>
    </cfRule>
  </conditionalFormatting>
  <conditionalFormatting sqref="F30 F32 F34 F36 F38 F40 F42 F44 F46 F48">
    <cfRule type="expression" dxfId="5979" priority="626">
      <formula>B30=""</formula>
    </cfRule>
  </conditionalFormatting>
  <conditionalFormatting sqref="F31 F33 F35 F37 F39 F41 F43 F45 F47 F49">
    <cfRule type="expression" dxfId="5978" priority="625">
      <formula>B31=""</formula>
    </cfRule>
  </conditionalFormatting>
  <conditionalFormatting sqref="F32:F42">
    <cfRule type="expression" dxfId="5977" priority="624">
      <formula>B32=""</formula>
    </cfRule>
  </conditionalFormatting>
  <conditionalFormatting sqref="F43">
    <cfRule type="expression" dxfId="5976" priority="623">
      <formula>B43=""</formula>
    </cfRule>
  </conditionalFormatting>
  <conditionalFormatting sqref="F44">
    <cfRule type="expression" dxfId="5975" priority="622">
      <formula>B44=""</formula>
    </cfRule>
  </conditionalFormatting>
  <conditionalFormatting sqref="F45">
    <cfRule type="expression" dxfId="5974" priority="621">
      <formula>B45=""</formula>
    </cfRule>
  </conditionalFormatting>
  <conditionalFormatting sqref="F46">
    <cfRule type="expression" dxfId="5973" priority="620">
      <formula>B46=""</formula>
    </cfRule>
  </conditionalFormatting>
  <conditionalFormatting sqref="F47">
    <cfRule type="expression" dxfId="5972" priority="619">
      <formula>B47=""</formula>
    </cfRule>
  </conditionalFormatting>
  <conditionalFormatting sqref="F48">
    <cfRule type="expression" dxfId="5971" priority="618">
      <formula>B48=""</formula>
    </cfRule>
  </conditionalFormatting>
  <conditionalFormatting sqref="F49">
    <cfRule type="expression" dxfId="5970" priority="617">
      <formula>B49=""</formula>
    </cfRule>
  </conditionalFormatting>
  <conditionalFormatting sqref="F50">
    <cfRule type="expression" dxfId="5969" priority="616">
      <formula>B50=""</formula>
    </cfRule>
  </conditionalFormatting>
  <conditionalFormatting sqref="E31 E33 E35 E37 E39 E41 E43 E45 E47 E49">
    <cfRule type="expression" dxfId="5968" priority="615">
      <formula>B31=""</formula>
    </cfRule>
  </conditionalFormatting>
  <conditionalFormatting sqref="E32:E42">
    <cfRule type="expression" dxfId="5967" priority="614">
      <formula>B32=""</formula>
    </cfRule>
  </conditionalFormatting>
  <conditionalFormatting sqref="E43">
    <cfRule type="expression" dxfId="5966" priority="613">
      <formula>B43=""</formula>
    </cfRule>
  </conditionalFormatting>
  <conditionalFormatting sqref="E44">
    <cfRule type="expression" dxfId="5965" priority="612">
      <formula>B44=""</formula>
    </cfRule>
  </conditionalFormatting>
  <conditionalFormatting sqref="E45">
    <cfRule type="expression" dxfId="5964" priority="611">
      <formula>B45=""</formula>
    </cfRule>
  </conditionalFormatting>
  <conditionalFormatting sqref="E46">
    <cfRule type="expression" dxfId="5963" priority="610">
      <formula>B46=""</formula>
    </cfRule>
  </conditionalFormatting>
  <conditionalFormatting sqref="E47">
    <cfRule type="expression" dxfId="5962" priority="609">
      <formula>B47=""</formula>
    </cfRule>
  </conditionalFormatting>
  <conditionalFormatting sqref="E48">
    <cfRule type="expression" dxfId="5961" priority="608">
      <formula>B48=""</formula>
    </cfRule>
  </conditionalFormatting>
  <conditionalFormatting sqref="E49">
    <cfRule type="expression" dxfId="5960" priority="607">
      <formula>B49=""</formula>
    </cfRule>
  </conditionalFormatting>
  <conditionalFormatting sqref="E50">
    <cfRule type="expression" dxfId="5959" priority="606">
      <formula>B50=""</formula>
    </cfRule>
  </conditionalFormatting>
  <conditionalFormatting sqref="G30 G32 G34 G36 G38 G40 G42 G44 G46 G48">
    <cfRule type="expression" dxfId="5958" priority="605">
      <formula>B30=""</formula>
    </cfRule>
  </conditionalFormatting>
  <conditionalFormatting sqref="G31 G33 G35 G37 G39 G41 G43 G45 G47 G49">
    <cfRule type="expression" dxfId="5957" priority="604">
      <formula>B31=""</formula>
    </cfRule>
  </conditionalFormatting>
  <conditionalFormatting sqref="G32:G42">
    <cfRule type="expression" dxfId="5956" priority="603">
      <formula>B32=""</formula>
    </cfRule>
  </conditionalFormatting>
  <conditionalFormatting sqref="G43">
    <cfRule type="expression" dxfId="5955" priority="602">
      <formula>B43=""</formula>
    </cfRule>
  </conditionalFormatting>
  <conditionalFormatting sqref="G44">
    <cfRule type="expression" dxfId="5954" priority="601">
      <formula>B44=""</formula>
    </cfRule>
  </conditionalFormatting>
  <conditionalFormatting sqref="G45">
    <cfRule type="expression" dxfId="5953" priority="600">
      <formula>B45=""</formula>
    </cfRule>
  </conditionalFormatting>
  <conditionalFormatting sqref="G46">
    <cfRule type="expression" dxfId="5952" priority="599">
      <formula>B46=""</formula>
    </cfRule>
  </conditionalFormatting>
  <conditionalFormatting sqref="G47">
    <cfRule type="expression" dxfId="5951" priority="598">
      <formula>B47=""</formula>
    </cfRule>
  </conditionalFormatting>
  <conditionalFormatting sqref="G48">
    <cfRule type="expression" dxfId="5950" priority="597">
      <formula>B48=""</formula>
    </cfRule>
  </conditionalFormatting>
  <conditionalFormatting sqref="G49">
    <cfRule type="expression" dxfId="5949" priority="596">
      <formula>B49=""</formula>
    </cfRule>
  </conditionalFormatting>
  <conditionalFormatting sqref="G50">
    <cfRule type="expression" dxfId="5948" priority="595">
      <formula>B50=""</formula>
    </cfRule>
  </conditionalFormatting>
  <conditionalFormatting sqref="H30 H32 H34 H36 H38 H40 H42 H44 H46 H48">
    <cfRule type="expression" dxfId="5947" priority="594">
      <formula>B30=""</formula>
    </cfRule>
  </conditionalFormatting>
  <conditionalFormatting sqref="H31 H33 H35 H37 H39 H41 H43 H45 H47 H49">
    <cfRule type="expression" dxfId="5946" priority="593">
      <formula>B31=""</formula>
    </cfRule>
  </conditionalFormatting>
  <conditionalFormatting sqref="H32:H42">
    <cfRule type="expression" dxfId="5945" priority="592">
      <formula>B32=""</formula>
    </cfRule>
  </conditionalFormatting>
  <conditionalFormatting sqref="H43">
    <cfRule type="expression" dxfId="5944" priority="591">
      <formula>B43=""</formula>
    </cfRule>
  </conditionalFormatting>
  <conditionalFormatting sqref="H44">
    <cfRule type="expression" dxfId="5943" priority="590">
      <formula>B44=""</formula>
    </cfRule>
  </conditionalFormatting>
  <conditionalFormatting sqref="H45">
    <cfRule type="expression" dxfId="5942" priority="589">
      <formula>B45=""</formula>
    </cfRule>
  </conditionalFormatting>
  <conditionalFormatting sqref="H46">
    <cfRule type="expression" dxfId="5941" priority="588">
      <formula>B46=""</formula>
    </cfRule>
  </conditionalFormatting>
  <conditionalFormatting sqref="H47">
    <cfRule type="expression" dxfId="5940" priority="587">
      <formula>B47=""</formula>
    </cfRule>
  </conditionalFormatting>
  <conditionalFormatting sqref="H48">
    <cfRule type="expression" dxfId="5939" priority="586">
      <formula>B48=""</formula>
    </cfRule>
  </conditionalFormatting>
  <conditionalFormatting sqref="H49">
    <cfRule type="expression" dxfId="5938" priority="585">
      <formula>B49=""</formula>
    </cfRule>
  </conditionalFormatting>
  <conditionalFormatting sqref="H50">
    <cfRule type="expression" dxfId="5937" priority="584">
      <formula>B50=""</formula>
    </cfRule>
  </conditionalFormatting>
  <conditionalFormatting sqref="C52:C71">
    <cfRule type="expression" dxfId="5936" priority="583">
      <formula>B52=""</formula>
    </cfRule>
  </conditionalFormatting>
  <conditionalFormatting sqref="C53 C55 C57 C59 C61 C63 C65 C67 C69 C71">
    <cfRule type="expression" dxfId="5935" priority="582">
      <formula>B53=""</formula>
    </cfRule>
  </conditionalFormatting>
  <conditionalFormatting sqref="C54:C64">
    <cfRule type="expression" dxfId="5934" priority="581">
      <formula>B54=""</formula>
    </cfRule>
  </conditionalFormatting>
  <conditionalFormatting sqref="C65">
    <cfRule type="expression" dxfId="5933" priority="580">
      <formula>B65=""</formula>
    </cfRule>
  </conditionalFormatting>
  <conditionalFormatting sqref="C66">
    <cfRule type="expression" dxfId="5932" priority="579">
      <formula>B66=""</formula>
    </cfRule>
  </conditionalFormatting>
  <conditionalFormatting sqref="C67">
    <cfRule type="expression" dxfId="5931" priority="578">
      <formula>B67=""</formula>
    </cfRule>
  </conditionalFormatting>
  <conditionalFormatting sqref="C68">
    <cfRule type="expression" dxfId="5930" priority="577">
      <formula>B68=""</formula>
    </cfRule>
  </conditionalFormatting>
  <conditionalFormatting sqref="C69">
    <cfRule type="expression" dxfId="5929" priority="576">
      <formula>B69=""</formula>
    </cfRule>
  </conditionalFormatting>
  <conditionalFormatting sqref="C70">
    <cfRule type="expression" dxfId="5928" priority="575">
      <formula>B70=""</formula>
    </cfRule>
  </conditionalFormatting>
  <conditionalFormatting sqref="C71">
    <cfRule type="expression" dxfId="5927" priority="574">
      <formula>B71=""</formula>
    </cfRule>
  </conditionalFormatting>
  <conditionalFormatting sqref="C72">
    <cfRule type="expression" dxfId="5926" priority="573">
      <formula>B72=""</formula>
    </cfRule>
  </conditionalFormatting>
  <conditionalFormatting sqref="D52 D54 D56 D58 D60 D62 D64 D66 D68 D70">
    <cfRule type="expression" dxfId="5925" priority="572">
      <formula>B52=""</formula>
    </cfRule>
  </conditionalFormatting>
  <conditionalFormatting sqref="D53 D55 D57 D59 D61 D63 D65 D67 D69 D71">
    <cfRule type="expression" dxfId="5924" priority="571">
      <formula>B53=""</formula>
    </cfRule>
  </conditionalFormatting>
  <conditionalFormatting sqref="D54:D64">
    <cfRule type="expression" dxfId="5923" priority="570">
      <formula>B54=""</formula>
    </cfRule>
  </conditionalFormatting>
  <conditionalFormatting sqref="D65">
    <cfRule type="expression" dxfId="5922" priority="569">
      <formula>B65=""</formula>
    </cfRule>
  </conditionalFormatting>
  <conditionalFormatting sqref="D66">
    <cfRule type="expression" dxfId="5921" priority="568">
      <formula>B66=""</formula>
    </cfRule>
  </conditionalFormatting>
  <conditionalFormatting sqref="D67">
    <cfRule type="expression" dxfId="5920" priority="567">
      <formula>B67=""</formula>
    </cfRule>
  </conditionalFormatting>
  <conditionalFormatting sqref="D68">
    <cfRule type="expression" dxfId="5919" priority="566">
      <formula>B68=""</formula>
    </cfRule>
  </conditionalFormatting>
  <conditionalFormatting sqref="D69">
    <cfRule type="expression" dxfId="5918" priority="565">
      <formula>B69=""</formula>
    </cfRule>
  </conditionalFormatting>
  <conditionalFormatting sqref="D70">
    <cfRule type="expression" dxfId="5917" priority="564">
      <formula>B70=""</formula>
    </cfRule>
  </conditionalFormatting>
  <conditionalFormatting sqref="D71">
    <cfRule type="expression" dxfId="5916" priority="563">
      <formula>B71=""</formula>
    </cfRule>
  </conditionalFormatting>
  <conditionalFormatting sqref="D72">
    <cfRule type="expression" dxfId="5915" priority="562">
      <formula>B72=""</formula>
    </cfRule>
  </conditionalFormatting>
  <conditionalFormatting sqref="E52 E54 E56 E58 E60 E62 E64 E66 E68 E70">
    <cfRule type="expression" dxfId="5914" priority="561">
      <formula>B52=""</formula>
    </cfRule>
  </conditionalFormatting>
  <conditionalFormatting sqref="E53 E55 E57 E59 E61 E63 E65 E67 E69 E71">
    <cfRule type="expression" dxfId="5913" priority="560">
      <formula>B53=""</formula>
    </cfRule>
  </conditionalFormatting>
  <conditionalFormatting sqref="E54:E64">
    <cfRule type="expression" dxfId="5912" priority="559">
      <formula>B54=""</formula>
    </cfRule>
  </conditionalFormatting>
  <conditionalFormatting sqref="E65">
    <cfRule type="expression" dxfId="5911" priority="558">
      <formula>B65=""</formula>
    </cfRule>
  </conditionalFormatting>
  <conditionalFormatting sqref="E66">
    <cfRule type="expression" dxfId="5910" priority="557">
      <formula>B66=""</formula>
    </cfRule>
  </conditionalFormatting>
  <conditionalFormatting sqref="E67">
    <cfRule type="expression" dxfId="5909" priority="556">
      <formula>B67=""</formula>
    </cfRule>
  </conditionalFormatting>
  <conditionalFormatting sqref="E68">
    <cfRule type="expression" dxfId="5908" priority="555">
      <formula>B68=""</formula>
    </cfRule>
  </conditionalFormatting>
  <conditionalFormatting sqref="E69">
    <cfRule type="expression" dxfId="5907" priority="554">
      <formula>B69=""</formula>
    </cfRule>
  </conditionalFormatting>
  <conditionalFormatting sqref="E70">
    <cfRule type="expression" dxfId="5906" priority="553">
      <formula>B70=""</formula>
    </cfRule>
  </conditionalFormatting>
  <conditionalFormatting sqref="E71">
    <cfRule type="expression" dxfId="5905" priority="552">
      <formula>B71=""</formula>
    </cfRule>
  </conditionalFormatting>
  <conditionalFormatting sqref="E72">
    <cfRule type="expression" dxfId="5904" priority="551">
      <formula>B72=""</formula>
    </cfRule>
  </conditionalFormatting>
  <conditionalFormatting sqref="F52 F54 F56 F58 F60 F62 F64 F66 F68 F70">
    <cfRule type="expression" dxfId="5903" priority="550">
      <formula>B52=""</formula>
    </cfRule>
  </conditionalFormatting>
  <conditionalFormatting sqref="F53 F55 F57 F59 F61 F63 F65 F67 F69 F71">
    <cfRule type="expression" dxfId="5902" priority="549">
      <formula>B53=""</formula>
    </cfRule>
  </conditionalFormatting>
  <conditionalFormatting sqref="F54:F64">
    <cfRule type="expression" dxfId="5901" priority="548">
      <formula>B54=""</formula>
    </cfRule>
  </conditionalFormatting>
  <conditionalFormatting sqref="F65">
    <cfRule type="expression" dxfId="5900" priority="547">
      <formula>B65=""</formula>
    </cfRule>
  </conditionalFormatting>
  <conditionalFormatting sqref="F66">
    <cfRule type="expression" dxfId="5899" priority="546">
      <formula>B66=""</formula>
    </cfRule>
  </conditionalFormatting>
  <conditionalFormatting sqref="F67">
    <cfRule type="expression" dxfId="5898" priority="545">
      <formula>B67=""</formula>
    </cfRule>
  </conditionalFormatting>
  <conditionalFormatting sqref="F68">
    <cfRule type="expression" dxfId="5897" priority="544">
      <formula>B68=""</formula>
    </cfRule>
  </conditionalFormatting>
  <conditionalFormatting sqref="F69">
    <cfRule type="expression" dxfId="5896" priority="543">
      <formula>B69=""</formula>
    </cfRule>
  </conditionalFormatting>
  <conditionalFormatting sqref="F70">
    <cfRule type="expression" dxfId="5895" priority="542">
      <formula>B70=""</formula>
    </cfRule>
  </conditionalFormatting>
  <conditionalFormatting sqref="F71">
    <cfRule type="expression" dxfId="5894" priority="541">
      <formula>B71=""</formula>
    </cfRule>
  </conditionalFormatting>
  <conditionalFormatting sqref="F72">
    <cfRule type="expression" dxfId="5893" priority="540">
      <formula>B72=""</formula>
    </cfRule>
  </conditionalFormatting>
  <conditionalFormatting sqref="E53 E55 E57 E59 E61 E63 E65 E67 E69 E71">
    <cfRule type="expression" dxfId="5892" priority="539">
      <formula>B53=""</formula>
    </cfRule>
  </conditionalFormatting>
  <conditionalFormatting sqref="E54:E64">
    <cfRule type="expression" dxfId="5891" priority="538">
      <formula>B54=""</formula>
    </cfRule>
  </conditionalFormatting>
  <conditionalFormatting sqref="E65">
    <cfRule type="expression" dxfId="5890" priority="537">
      <formula>B65=""</formula>
    </cfRule>
  </conditionalFormatting>
  <conditionalFormatting sqref="E66">
    <cfRule type="expression" dxfId="5889" priority="536">
      <formula>B66=""</formula>
    </cfRule>
  </conditionalFormatting>
  <conditionalFormatting sqref="E67">
    <cfRule type="expression" dxfId="5888" priority="535">
      <formula>B67=""</formula>
    </cfRule>
  </conditionalFormatting>
  <conditionalFormatting sqref="E68">
    <cfRule type="expression" dxfId="5887" priority="534">
      <formula>B68=""</formula>
    </cfRule>
  </conditionalFormatting>
  <conditionalFormatting sqref="E69">
    <cfRule type="expression" dxfId="5886" priority="533">
      <formula>B69=""</formula>
    </cfRule>
  </conditionalFormatting>
  <conditionalFormatting sqref="E70">
    <cfRule type="expression" dxfId="5885" priority="532">
      <formula>B70=""</formula>
    </cfRule>
  </conditionalFormatting>
  <conditionalFormatting sqref="E71">
    <cfRule type="expression" dxfId="5884" priority="531">
      <formula>B71=""</formula>
    </cfRule>
  </conditionalFormatting>
  <conditionalFormatting sqref="E72">
    <cfRule type="expression" dxfId="5883" priority="530">
      <formula>B72=""</formula>
    </cfRule>
  </conditionalFormatting>
  <conditionalFormatting sqref="G52 G54 G56 G58 G60 G62 G64 G66 G68 G70">
    <cfRule type="expression" dxfId="5882" priority="529">
      <formula>B52=""</formula>
    </cfRule>
  </conditionalFormatting>
  <conditionalFormatting sqref="G53 G55 G57 G59 G61 G63 G65 G67 G69 G71">
    <cfRule type="expression" dxfId="5881" priority="528">
      <formula>B53=""</formula>
    </cfRule>
  </conditionalFormatting>
  <conditionalFormatting sqref="G54:G64">
    <cfRule type="expression" dxfId="5880" priority="527">
      <formula>B54=""</formula>
    </cfRule>
  </conditionalFormatting>
  <conditionalFormatting sqref="G65">
    <cfRule type="expression" dxfId="5879" priority="526">
      <formula>B65=""</formula>
    </cfRule>
  </conditionalFormatting>
  <conditionalFormatting sqref="G66">
    <cfRule type="expression" dxfId="5878" priority="525">
      <formula>B66=""</formula>
    </cfRule>
  </conditionalFormatting>
  <conditionalFormatting sqref="G67">
    <cfRule type="expression" dxfId="5877" priority="524">
      <formula>B67=""</formula>
    </cfRule>
  </conditionalFormatting>
  <conditionalFormatting sqref="G68">
    <cfRule type="expression" dxfId="5876" priority="523">
      <formula>B68=""</formula>
    </cfRule>
  </conditionalFormatting>
  <conditionalFormatting sqref="G69">
    <cfRule type="expression" dxfId="5875" priority="522">
      <formula>B69=""</formula>
    </cfRule>
  </conditionalFormatting>
  <conditionalFormatting sqref="G70">
    <cfRule type="expression" dxfId="5874" priority="521">
      <formula>B70=""</formula>
    </cfRule>
  </conditionalFormatting>
  <conditionalFormatting sqref="G71">
    <cfRule type="expression" dxfId="5873" priority="520">
      <formula>B71=""</formula>
    </cfRule>
  </conditionalFormatting>
  <conditionalFormatting sqref="G72">
    <cfRule type="expression" dxfId="5872" priority="519">
      <formula>B72=""</formula>
    </cfRule>
  </conditionalFormatting>
  <conditionalFormatting sqref="H52 H54 H56 H58 H60 H62 H64 H66 H68 H70">
    <cfRule type="expression" dxfId="5871" priority="518">
      <formula>B52=""</formula>
    </cfRule>
  </conditionalFormatting>
  <conditionalFormatting sqref="H53 H55 H57 H59 H61 H63 H65 H67 H69 H71">
    <cfRule type="expression" dxfId="5870" priority="517">
      <formula>B53=""</formula>
    </cfRule>
  </conditionalFormatting>
  <conditionalFormatting sqref="H54:H64">
    <cfRule type="expression" dxfId="5869" priority="516">
      <formula>B54=""</formula>
    </cfRule>
  </conditionalFormatting>
  <conditionalFormatting sqref="H65">
    <cfRule type="expression" dxfId="5868" priority="515">
      <formula>B65=""</formula>
    </cfRule>
  </conditionalFormatting>
  <conditionalFormatting sqref="H66">
    <cfRule type="expression" dxfId="5867" priority="514">
      <formula>B66=""</formula>
    </cfRule>
  </conditionalFormatting>
  <conditionalFormatting sqref="H67">
    <cfRule type="expression" dxfId="5866" priority="513">
      <formula>B67=""</formula>
    </cfRule>
  </conditionalFormatting>
  <conditionalFormatting sqref="H68">
    <cfRule type="expression" dxfId="5865" priority="512">
      <formula>B68=""</formula>
    </cfRule>
  </conditionalFormatting>
  <conditionalFormatting sqref="H69">
    <cfRule type="expression" dxfId="5864" priority="511">
      <formula>B69=""</formula>
    </cfRule>
  </conditionalFormatting>
  <conditionalFormatting sqref="H70">
    <cfRule type="expression" dxfId="5863" priority="510">
      <formula>B70=""</formula>
    </cfRule>
  </conditionalFormatting>
  <conditionalFormatting sqref="H71">
    <cfRule type="expression" dxfId="5862" priority="509">
      <formula>B71=""</formula>
    </cfRule>
  </conditionalFormatting>
  <conditionalFormatting sqref="H72">
    <cfRule type="expression" dxfId="5861" priority="508">
      <formula>B72=""</formula>
    </cfRule>
  </conditionalFormatting>
  <conditionalFormatting sqref="C74:C94">
    <cfRule type="expression" dxfId="5860" priority="507">
      <formula>B74=""</formula>
    </cfRule>
  </conditionalFormatting>
  <conditionalFormatting sqref="C75 C77 C79 C81 C83 C85 C87 C89 C91 C93">
    <cfRule type="expression" dxfId="5859" priority="506">
      <formula>B75=""</formula>
    </cfRule>
  </conditionalFormatting>
  <conditionalFormatting sqref="C76:C86">
    <cfRule type="expression" dxfId="5858" priority="505">
      <formula>B76=""</formula>
    </cfRule>
  </conditionalFormatting>
  <conditionalFormatting sqref="C87">
    <cfRule type="expression" dxfId="5857" priority="504">
      <formula>B87=""</formula>
    </cfRule>
  </conditionalFormatting>
  <conditionalFormatting sqref="C88">
    <cfRule type="expression" dxfId="5856" priority="503">
      <formula>B88=""</formula>
    </cfRule>
  </conditionalFormatting>
  <conditionalFormatting sqref="C89">
    <cfRule type="expression" dxfId="5855" priority="502">
      <formula>B89=""</formula>
    </cfRule>
  </conditionalFormatting>
  <conditionalFormatting sqref="C90">
    <cfRule type="expression" dxfId="5854" priority="501">
      <formula>B90=""</formula>
    </cfRule>
  </conditionalFormatting>
  <conditionalFormatting sqref="C91">
    <cfRule type="expression" dxfId="5853" priority="500">
      <formula>B91=""</formula>
    </cfRule>
  </conditionalFormatting>
  <conditionalFormatting sqref="C92">
    <cfRule type="expression" dxfId="5852" priority="499">
      <formula>B92=""</formula>
    </cfRule>
  </conditionalFormatting>
  <conditionalFormatting sqref="C93">
    <cfRule type="expression" dxfId="5851" priority="498">
      <formula>B93=""</formula>
    </cfRule>
  </conditionalFormatting>
  <conditionalFormatting sqref="C94">
    <cfRule type="expression" dxfId="5850" priority="497">
      <formula>B94=""</formula>
    </cfRule>
  </conditionalFormatting>
  <conditionalFormatting sqref="D74 D76 D78 D80 D82 D84 D86 D88 D90 D92">
    <cfRule type="expression" dxfId="5849" priority="496">
      <formula>B74=""</formula>
    </cfRule>
  </conditionalFormatting>
  <conditionalFormatting sqref="D75 D77 D79 D81 D83 D85 D87 D89 D91 D93">
    <cfRule type="expression" dxfId="5848" priority="495">
      <formula>B75=""</formula>
    </cfRule>
  </conditionalFormatting>
  <conditionalFormatting sqref="D76:D86">
    <cfRule type="expression" dxfId="5847" priority="494">
      <formula>B76=""</formula>
    </cfRule>
  </conditionalFormatting>
  <conditionalFormatting sqref="D87">
    <cfRule type="expression" dxfId="5846" priority="493">
      <formula>B87=""</formula>
    </cfRule>
  </conditionalFormatting>
  <conditionalFormatting sqref="D88">
    <cfRule type="expression" dxfId="5845" priority="492">
      <formula>B88=""</formula>
    </cfRule>
  </conditionalFormatting>
  <conditionalFormatting sqref="D89">
    <cfRule type="expression" dxfId="5844" priority="491">
      <formula>B89=""</formula>
    </cfRule>
  </conditionalFormatting>
  <conditionalFormatting sqref="D90">
    <cfRule type="expression" dxfId="5843" priority="490">
      <formula>B90=""</formula>
    </cfRule>
  </conditionalFormatting>
  <conditionalFormatting sqref="D91">
    <cfRule type="expression" dxfId="5842" priority="489">
      <formula>B91=""</formula>
    </cfRule>
  </conditionalFormatting>
  <conditionalFormatting sqref="D92">
    <cfRule type="expression" dxfId="5841" priority="488">
      <formula>B92=""</formula>
    </cfRule>
  </conditionalFormatting>
  <conditionalFormatting sqref="D93">
    <cfRule type="expression" dxfId="5840" priority="487">
      <formula>B93=""</formula>
    </cfRule>
  </conditionalFormatting>
  <conditionalFormatting sqref="D94">
    <cfRule type="expression" dxfId="5839" priority="486">
      <formula>B94=""</formula>
    </cfRule>
  </conditionalFormatting>
  <conditionalFormatting sqref="E74 E76 E78 E80 E82 E84 E86 E88 E90 E92">
    <cfRule type="expression" dxfId="5838" priority="485">
      <formula>B74=""</formula>
    </cfRule>
  </conditionalFormatting>
  <conditionalFormatting sqref="E75 E77 E79 E81 E83 E85 E87 E89 E91 E93">
    <cfRule type="expression" dxfId="5837" priority="484">
      <formula>B75=""</formula>
    </cfRule>
  </conditionalFormatting>
  <conditionalFormatting sqref="E76:E86">
    <cfRule type="expression" dxfId="5836" priority="483">
      <formula>B76=""</formula>
    </cfRule>
  </conditionalFormatting>
  <conditionalFormatting sqref="E87">
    <cfRule type="expression" dxfId="5835" priority="482">
      <formula>B87=""</formula>
    </cfRule>
  </conditionalFormatting>
  <conditionalFormatting sqref="E88">
    <cfRule type="expression" dxfId="5834" priority="481">
      <formula>B88=""</formula>
    </cfRule>
  </conditionalFormatting>
  <conditionalFormatting sqref="E89">
    <cfRule type="expression" dxfId="5833" priority="480">
      <formula>B89=""</formula>
    </cfRule>
  </conditionalFormatting>
  <conditionalFormatting sqref="E90">
    <cfRule type="expression" dxfId="5832" priority="479">
      <formula>B90=""</formula>
    </cfRule>
  </conditionalFormatting>
  <conditionalFormatting sqref="E91">
    <cfRule type="expression" dxfId="5831" priority="478">
      <formula>B91=""</formula>
    </cfRule>
  </conditionalFormatting>
  <conditionalFormatting sqref="E92">
    <cfRule type="expression" dxfId="5830" priority="477">
      <formula>B92=""</formula>
    </cfRule>
  </conditionalFormatting>
  <conditionalFormatting sqref="E93">
    <cfRule type="expression" dxfId="5829" priority="476">
      <formula>B93=""</formula>
    </cfRule>
  </conditionalFormatting>
  <conditionalFormatting sqref="E94">
    <cfRule type="expression" dxfId="5828" priority="475">
      <formula>B94=""</formula>
    </cfRule>
  </conditionalFormatting>
  <conditionalFormatting sqref="F74 F76 F78 F80 F82 F84 F86 F88 F90 F92">
    <cfRule type="expression" dxfId="5827" priority="474">
      <formula>B74=""</formula>
    </cfRule>
  </conditionalFormatting>
  <conditionalFormatting sqref="F75 F77 F79 F81 F83 F85 F87 F89 F91 F93">
    <cfRule type="expression" dxfId="5826" priority="473">
      <formula>B75=""</formula>
    </cfRule>
  </conditionalFormatting>
  <conditionalFormatting sqref="F76:F86">
    <cfRule type="expression" dxfId="5825" priority="472">
      <formula>B76=""</formula>
    </cfRule>
  </conditionalFormatting>
  <conditionalFormatting sqref="F87">
    <cfRule type="expression" dxfId="5824" priority="471">
      <formula>B87=""</formula>
    </cfRule>
  </conditionalFormatting>
  <conditionalFormatting sqref="F88">
    <cfRule type="expression" dxfId="5823" priority="470">
      <formula>B88=""</formula>
    </cfRule>
  </conditionalFormatting>
  <conditionalFormatting sqref="F89">
    <cfRule type="expression" dxfId="5822" priority="469">
      <formula>B89=""</formula>
    </cfRule>
  </conditionalFormatting>
  <conditionalFormatting sqref="F90">
    <cfRule type="expression" dxfId="5821" priority="468">
      <formula>B90=""</formula>
    </cfRule>
  </conditionalFormatting>
  <conditionalFormatting sqref="F91">
    <cfRule type="expression" dxfId="5820" priority="467">
      <formula>B91=""</formula>
    </cfRule>
  </conditionalFormatting>
  <conditionalFormatting sqref="F92">
    <cfRule type="expression" dxfId="5819" priority="466">
      <formula>B92=""</formula>
    </cfRule>
  </conditionalFormatting>
  <conditionalFormatting sqref="F93">
    <cfRule type="expression" dxfId="5818" priority="465">
      <formula>B93=""</formula>
    </cfRule>
  </conditionalFormatting>
  <conditionalFormatting sqref="F94">
    <cfRule type="expression" dxfId="5817" priority="464">
      <formula>B94=""</formula>
    </cfRule>
  </conditionalFormatting>
  <conditionalFormatting sqref="E75 E77 E79 E81 E83 E85 E87 E89 E91 E93">
    <cfRule type="expression" dxfId="5816" priority="463">
      <formula>B75=""</formula>
    </cfRule>
  </conditionalFormatting>
  <conditionalFormatting sqref="E76:E86">
    <cfRule type="expression" dxfId="5815" priority="462">
      <formula>B76=""</formula>
    </cfRule>
  </conditionalFormatting>
  <conditionalFormatting sqref="E87">
    <cfRule type="expression" dxfId="5814" priority="461">
      <formula>B87=""</formula>
    </cfRule>
  </conditionalFormatting>
  <conditionalFormatting sqref="E88">
    <cfRule type="expression" dxfId="5813" priority="460">
      <formula>B88=""</formula>
    </cfRule>
  </conditionalFormatting>
  <conditionalFormatting sqref="E89">
    <cfRule type="expression" dxfId="5812" priority="459">
      <formula>B89=""</formula>
    </cfRule>
  </conditionalFormatting>
  <conditionalFormatting sqref="E90">
    <cfRule type="expression" dxfId="5811" priority="458">
      <formula>B90=""</formula>
    </cfRule>
  </conditionalFormatting>
  <conditionalFormatting sqref="E91">
    <cfRule type="expression" dxfId="5810" priority="457">
      <formula>B91=""</formula>
    </cfRule>
  </conditionalFormatting>
  <conditionalFormatting sqref="E92">
    <cfRule type="expression" dxfId="5809" priority="456">
      <formula>B92=""</formula>
    </cfRule>
  </conditionalFormatting>
  <conditionalFormatting sqref="E93">
    <cfRule type="expression" dxfId="5808" priority="455">
      <formula>B93=""</formula>
    </cfRule>
  </conditionalFormatting>
  <conditionalFormatting sqref="E94">
    <cfRule type="expression" dxfId="5807" priority="454">
      <formula>B94=""</formula>
    </cfRule>
  </conditionalFormatting>
  <conditionalFormatting sqref="G74 G76 G78 G80 G82 G84 G86 G88 G90 G92">
    <cfRule type="expression" dxfId="5806" priority="453">
      <formula>B74=""</formula>
    </cfRule>
  </conditionalFormatting>
  <conditionalFormatting sqref="G75 G77 G79 G81 G83 G85 G87 G89 G91 G93">
    <cfRule type="expression" dxfId="5805" priority="452">
      <formula>B75=""</formula>
    </cfRule>
  </conditionalFormatting>
  <conditionalFormatting sqref="G76:G86">
    <cfRule type="expression" dxfId="5804" priority="451">
      <formula>B76=""</formula>
    </cfRule>
  </conditionalFormatting>
  <conditionalFormatting sqref="G87">
    <cfRule type="expression" dxfId="5803" priority="450">
      <formula>B87=""</formula>
    </cfRule>
  </conditionalFormatting>
  <conditionalFormatting sqref="G88">
    <cfRule type="expression" dxfId="5802" priority="449">
      <formula>B88=""</formula>
    </cfRule>
  </conditionalFormatting>
  <conditionalFormatting sqref="G89">
    <cfRule type="expression" dxfId="5801" priority="448">
      <formula>B89=""</formula>
    </cfRule>
  </conditionalFormatting>
  <conditionalFormatting sqref="G90">
    <cfRule type="expression" dxfId="5800" priority="447">
      <formula>B90=""</formula>
    </cfRule>
  </conditionalFormatting>
  <conditionalFormatting sqref="G91">
    <cfRule type="expression" dxfId="5799" priority="446">
      <formula>B91=""</formula>
    </cfRule>
  </conditionalFormatting>
  <conditionalFormatting sqref="G92">
    <cfRule type="expression" dxfId="5798" priority="445">
      <formula>B92=""</formula>
    </cfRule>
  </conditionalFormatting>
  <conditionalFormatting sqref="G93">
    <cfRule type="expression" dxfId="5797" priority="444">
      <formula>B93=""</formula>
    </cfRule>
  </conditionalFormatting>
  <conditionalFormatting sqref="G94">
    <cfRule type="expression" dxfId="5796" priority="443">
      <formula>B94=""</formula>
    </cfRule>
  </conditionalFormatting>
  <conditionalFormatting sqref="H74 H76 H78 H80 H82 H84 H86 H88 H90 H92">
    <cfRule type="expression" dxfId="5795" priority="442">
      <formula>B74=""</formula>
    </cfRule>
  </conditionalFormatting>
  <conditionalFormatting sqref="H75 H77 H79 H81 H83 H85 H87 H89 H91 H93">
    <cfRule type="expression" dxfId="5794" priority="441">
      <formula>B75=""</formula>
    </cfRule>
  </conditionalFormatting>
  <conditionalFormatting sqref="H76:H86">
    <cfRule type="expression" dxfId="5793" priority="440">
      <formula>B76=""</formula>
    </cfRule>
  </conditionalFormatting>
  <conditionalFormatting sqref="H87">
    <cfRule type="expression" dxfId="5792" priority="439">
      <formula>B87=""</formula>
    </cfRule>
  </conditionalFormatting>
  <conditionalFormatting sqref="H88">
    <cfRule type="expression" dxfId="5791" priority="438">
      <formula>B88=""</formula>
    </cfRule>
  </conditionalFormatting>
  <conditionalFormatting sqref="H89">
    <cfRule type="expression" dxfId="5790" priority="437">
      <formula>B89=""</formula>
    </cfRule>
  </conditionalFormatting>
  <conditionalFormatting sqref="H90">
    <cfRule type="expression" dxfId="5789" priority="436">
      <formula>B90=""</formula>
    </cfRule>
  </conditionalFormatting>
  <conditionalFormatting sqref="H91">
    <cfRule type="expression" dxfId="5788" priority="435">
      <formula>B91=""</formula>
    </cfRule>
  </conditionalFormatting>
  <conditionalFormatting sqref="H92">
    <cfRule type="expression" dxfId="5787" priority="434">
      <formula>B92=""</formula>
    </cfRule>
  </conditionalFormatting>
  <conditionalFormatting sqref="H93">
    <cfRule type="expression" dxfId="5786" priority="433">
      <formula>B93=""</formula>
    </cfRule>
  </conditionalFormatting>
  <conditionalFormatting sqref="H94">
    <cfRule type="expression" dxfId="5785" priority="432">
      <formula>B94=""</formula>
    </cfRule>
  </conditionalFormatting>
  <conditionalFormatting sqref="C49">
    <cfRule type="expression" dxfId="5784" priority="431">
      <formula>B49=""</formula>
    </cfRule>
  </conditionalFormatting>
  <conditionalFormatting sqref="C71">
    <cfRule type="expression" dxfId="5783" priority="430">
      <formula>B71=""</formula>
    </cfRule>
  </conditionalFormatting>
  <conditionalFormatting sqref="C93">
    <cfRule type="expression" dxfId="5782" priority="429">
      <formula>B93=""</formula>
    </cfRule>
  </conditionalFormatting>
  <conditionalFormatting sqref="C8:C27">
    <cfRule type="expression" dxfId="5781" priority="428">
      <formula>B8=""</formula>
    </cfRule>
  </conditionalFormatting>
  <conditionalFormatting sqref="C9 C11 C13 C15 C17 C19 C21 C23 C25 C27">
    <cfRule type="expression" dxfId="5780" priority="427">
      <formula>B9=""</formula>
    </cfRule>
  </conditionalFormatting>
  <conditionalFormatting sqref="C10:C20">
    <cfRule type="expression" dxfId="5779" priority="426">
      <formula>B10=""</formula>
    </cfRule>
  </conditionalFormatting>
  <conditionalFormatting sqref="C21">
    <cfRule type="expression" dxfId="5778" priority="425">
      <formula>B21=""</formula>
    </cfRule>
  </conditionalFormatting>
  <conditionalFormatting sqref="C22">
    <cfRule type="expression" dxfId="5777" priority="424">
      <formula>B22=""</formula>
    </cfRule>
  </conditionalFormatting>
  <conditionalFormatting sqref="C23">
    <cfRule type="expression" dxfId="5776" priority="423">
      <formula>B23=""</formula>
    </cfRule>
  </conditionalFormatting>
  <conditionalFormatting sqref="C24">
    <cfRule type="expression" dxfId="5775" priority="422">
      <formula>B24=""</formula>
    </cfRule>
  </conditionalFormatting>
  <conditionalFormatting sqref="C25">
    <cfRule type="expression" dxfId="5774" priority="421">
      <formula>B25=""</formula>
    </cfRule>
  </conditionalFormatting>
  <conditionalFormatting sqref="C26">
    <cfRule type="expression" dxfId="5773" priority="420">
      <formula>B26=""</formula>
    </cfRule>
  </conditionalFormatting>
  <conditionalFormatting sqref="C27">
    <cfRule type="expression" dxfId="5772" priority="419">
      <formula>B27=""</formula>
    </cfRule>
  </conditionalFormatting>
  <conditionalFormatting sqref="C28">
    <cfRule type="expression" dxfId="5771" priority="418">
      <formula>B28=""</formula>
    </cfRule>
  </conditionalFormatting>
  <conditionalFormatting sqref="C30:C50">
    <cfRule type="expression" dxfId="5770" priority="417">
      <formula>B30=""</formula>
    </cfRule>
  </conditionalFormatting>
  <conditionalFormatting sqref="C31 C33 C35 C37 C39 C41 C43 C45 C47 C49">
    <cfRule type="expression" dxfId="5769" priority="416">
      <formula>B31=""</formula>
    </cfRule>
  </conditionalFormatting>
  <conditionalFormatting sqref="C32:C42">
    <cfRule type="expression" dxfId="5768" priority="415">
      <formula>B32=""</formula>
    </cfRule>
  </conditionalFormatting>
  <conditionalFormatting sqref="C43">
    <cfRule type="expression" dxfId="5767" priority="414">
      <formula>B43=""</formula>
    </cfRule>
  </conditionalFormatting>
  <conditionalFormatting sqref="C44">
    <cfRule type="expression" dxfId="5766" priority="413">
      <formula>B44=""</formula>
    </cfRule>
  </conditionalFormatting>
  <conditionalFormatting sqref="C45">
    <cfRule type="expression" dxfId="5765" priority="412">
      <formula>B45=""</formula>
    </cfRule>
  </conditionalFormatting>
  <conditionalFormatting sqref="C46">
    <cfRule type="expression" dxfId="5764" priority="411">
      <formula>B46=""</formula>
    </cfRule>
  </conditionalFormatting>
  <conditionalFormatting sqref="C47">
    <cfRule type="expression" dxfId="5763" priority="410">
      <formula>B47=""</formula>
    </cfRule>
  </conditionalFormatting>
  <conditionalFormatting sqref="C48">
    <cfRule type="expression" dxfId="5762" priority="409">
      <formula>B48=""</formula>
    </cfRule>
  </conditionalFormatting>
  <conditionalFormatting sqref="C49">
    <cfRule type="expression" dxfId="5761" priority="408">
      <formula>B49=""</formula>
    </cfRule>
  </conditionalFormatting>
  <conditionalFormatting sqref="C50">
    <cfRule type="expression" dxfId="5760" priority="407">
      <formula>B50=""</formula>
    </cfRule>
  </conditionalFormatting>
  <conditionalFormatting sqref="C52:C71">
    <cfRule type="expression" dxfId="5759" priority="406">
      <formula>B52=""</formula>
    </cfRule>
  </conditionalFormatting>
  <conditionalFormatting sqref="C53 C55 C57 C59 C61 C63 C65 C67 C69 C71">
    <cfRule type="expression" dxfId="5758" priority="405">
      <formula>B53=""</formula>
    </cfRule>
  </conditionalFormatting>
  <conditionalFormatting sqref="C54:C64">
    <cfRule type="expression" dxfId="5757" priority="404">
      <formula>B54=""</formula>
    </cfRule>
  </conditionalFormatting>
  <conditionalFormatting sqref="C65">
    <cfRule type="expression" dxfId="5756" priority="403">
      <formula>B65=""</formula>
    </cfRule>
  </conditionalFormatting>
  <conditionalFormatting sqref="C66">
    <cfRule type="expression" dxfId="5755" priority="402">
      <formula>B66=""</formula>
    </cfRule>
  </conditionalFormatting>
  <conditionalFormatting sqref="C67">
    <cfRule type="expression" dxfId="5754" priority="401">
      <formula>B67=""</formula>
    </cfRule>
  </conditionalFormatting>
  <conditionalFormatting sqref="C68">
    <cfRule type="expression" dxfId="5753" priority="400">
      <formula>B68=""</formula>
    </cfRule>
  </conditionalFormatting>
  <conditionalFormatting sqref="C69">
    <cfRule type="expression" dxfId="5752" priority="399">
      <formula>B69=""</formula>
    </cfRule>
  </conditionalFormatting>
  <conditionalFormatting sqref="C70">
    <cfRule type="expression" dxfId="5751" priority="398">
      <formula>B70=""</formula>
    </cfRule>
  </conditionalFormatting>
  <conditionalFormatting sqref="C71">
    <cfRule type="expression" dxfId="5750" priority="397">
      <formula>B71=""</formula>
    </cfRule>
  </conditionalFormatting>
  <conditionalFormatting sqref="C72">
    <cfRule type="expression" dxfId="5749" priority="396">
      <formula>B72=""</formula>
    </cfRule>
  </conditionalFormatting>
  <conditionalFormatting sqref="C74:C94">
    <cfRule type="expression" dxfId="5748" priority="395">
      <formula>B74=""</formula>
    </cfRule>
  </conditionalFormatting>
  <conditionalFormatting sqref="C75 C77 C79 C81 C83 C85 C87 C89 C91 C93">
    <cfRule type="expression" dxfId="5747" priority="394">
      <formula>B75=""</formula>
    </cfRule>
  </conditionalFormatting>
  <conditionalFormatting sqref="C76:C86">
    <cfRule type="expression" dxfId="5746" priority="393">
      <formula>B76=""</formula>
    </cfRule>
  </conditionalFormatting>
  <conditionalFormatting sqref="C87">
    <cfRule type="expression" dxfId="5745" priority="392">
      <formula>B87=""</formula>
    </cfRule>
  </conditionalFormatting>
  <conditionalFormatting sqref="C88">
    <cfRule type="expression" dxfId="5744" priority="391">
      <formula>B88=""</formula>
    </cfRule>
  </conditionalFormatting>
  <conditionalFormatting sqref="C89">
    <cfRule type="expression" dxfId="5743" priority="390">
      <formula>B89=""</formula>
    </cfRule>
  </conditionalFormatting>
  <conditionalFormatting sqref="C90">
    <cfRule type="expression" dxfId="5742" priority="389">
      <formula>B90=""</formula>
    </cfRule>
  </conditionalFormatting>
  <conditionalFormatting sqref="C91">
    <cfRule type="expression" dxfId="5741" priority="388">
      <formula>B91=""</formula>
    </cfRule>
  </conditionalFormatting>
  <conditionalFormatting sqref="C92">
    <cfRule type="expression" dxfId="5740" priority="387">
      <formula>B92=""</formula>
    </cfRule>
  </conditionalFormatting>
  <conditionalFormatting sqref="C93">
    <cfRule type="expression" dxfId="5739" priority="386">
      <formula>B93=""</formula>
    </cfRule>
  </conditionalFormatting>
  <conditionalFormatting sqref="C94">
    <cfRule type="expression" dxfId="5738" priority="385">
      <formula>B94=""</formula>
    </cfRule>
  </conditionalFormatting>
  <conditionalFormatting sqref="C8 C10 C12 C14 C16 C18 C20 C22 C24 C26">
    <cfRule type="expression" dxfId="5737" priority="384">
      <formula>B8=""</formula>
    </cfRule>
  </conditionalFormatting>
  <conditionalFormatting sqref="C9 C11 C13 C15 C17 C19 C21 C23 C25 C27">
    <cfRule type="expression" dxfId="5736" priority="383">
      <formula>B9=""</formula>
    </cfRule>
  </conditionalFormatting>
  <conditionalFormatting sqref="C10:C20">
    <cfRule type="expression" dxfId="5735" priority="382">
      <formula>B10=""</formula>
    </cfRule>
  </conditionalFormatting>
  <conditionalFormatting sqref="C21">
    <cfRule type="expression" dxfId="5734" priority="381">
      <formula>B21=""</formula>
    </cfRule>
  </conditionalFormatting>
  <conditionalFormatting sqref="C22">
    <cfRule type="expression" dxfId="5733" priority="380">
      <formula>B22=""</formula>
    </cfRule>
  </conditionalFormatting>
  <conditionalFormatting sqref="C23">
    <cfRule type="expression" dxfId="5732" priority="379">
      <formula>B23=""</formula>
    </cfRule>
  </conditionalFormatting>
  <conditionalFormatting sqref="C24">
    <cfRule type="expression" dxfId="5731" priority="378">
      <formula>B24=""</formula>
    </cfRule>
  </conditionalFormatting>
  <conditionalFormatting sqref="C25">
    <cfRule type="expression" dxfId="5730" priority="377">
      <formula>B25=""</formula>
    </cfRule>
  </conditionalFormatting>
  <conditionalFormatting sqref="C26">
    <cfRule type="expression" dxfId="5729" priority="376">
      <formula>B26=""</formula>
    </cfRule>
  </conditionalFormatting>
  <conditionalFormatting sqref="C27">
    <cfRule type="expression" dxfId="5728" priority="375">
      <formula>B27=""</formula>
    </cfRule>
  </conditionalFormatting>
  <conditionalFormatting sqref="D8 D10 D12 D14 D16 D18 D20 D22 D24 D26">
    <cfRule type="expression" dxfId="5727" priority="374">
      <formula>B8=""</formula>
    </cfRule>
  </conditionalFormatting>
  <conditionalFormatting sqref="D9 D11 D13 D15 D17 D19 D21 D23 D25 D27">
    <cfRule type="expression" dxfId="5726" priority="373">
      <formula>B9=""</formula>
    </cfRule>
  </conditionalFormatting>
  <conditionalFormatting sqref="D10:D20">
    <cfRule type="expression" dxfId="5725" priority="372">
      <formula>B10=""</formula>
    </cfRule>
  </conditionalFormatting>
  <conditionalFormatting sqref="D21">
    <cfRule type="expression" dxfId="5724" priority="371">
      <formula>B21=""</formula>
    </cfRule>
  </conditionalFormatting>
  <conditionalFormatting sqref="D22">
    <cfRule type="expression" dxfId="5723" priority="370">
      <formula>B22=""</formula>
    </cfRule>
  </conditionalFormatting>
  <conditionalFormatting sqref="D23">
    <cfRule type="expression" dxfId="5722" priority="369">
      <formula>B23=""</formula>
    </cfRule>
  </conditionalFormatting>
  <conditionalFormatting sqref="D24">
    <cfRule type="expression" dxfId="5721" priority="368">
      <formula>B24=""</formula>
    </cfRule>
  </conditionalFormatting>
  <conditionalFormatting sqref="D25">
    <cfRule type="expression" dxfId="5720" priority="367">
      <formula>B25=""</formula>
    </cfRule>
  </conditionalFormatting>
  <conditionalFormatting sqref="D26">
    <cfRule type="expression" dxfId="5719" priority="366">
      <formula>B26=""</formula>
    </cfRule>
  </conditionalFormatting>
  <conditionalFormatting sqref="D27">
    <cfRule type="expression" dxfId="5718" priority="365">
      <formula>B27=""</formula>
    </cfRule>
  </conditionalFormatting>
  <conditionalFormatting sqref="E8:E27">
    <cfRule type="expression" dxfId="5717" priority="364">
      <formula>B8=""</formula>
    </cfRule>
  </conditionalFormatting>
  <conditionalFormatting sqref="E9 E11 E13 E15 E17 E19 E21 E23 E25 E27">
    <cfRule type="expression" dxfId="5716" priority="363">
      <formula>B9=""</formula>
    </cfRule>
  </conditionalFormatting>
  <conditionalFormatting sqref="E10:E20">
    <cfRule type="expression" dxfId="5715" priority="362">
      <formula>B10=""</formula>
    </cfRule>
  </conditionalFormatting>
  <conditionalFormatting sqref="E21">
    <cfRule type="expression" dxfId="5714" priority="361">
      <formula>B21=""</formula>
    </cfRule>
  </conditionalFormatting>
  <conditionalFormatting sqref="E22">
    <cfRule type="expression" dxfId="5713" priority="360">
      <formula>B22=""</formula>
    </cfRule>
  </conditionalFormatting>
  <conditionalFormatting sqref="E23">
    <cfRule type="expression" dxfId="5712" priority="359">
      <formula>B23=""</formula>
    </cfRule>
  </conditionalFormatting>
  <conditionalFormatting sqref="E24">
    <cfRule type="expression" dxfId="5711" priority="358">
      <formula>B24=""</formula>
    </cfRule>
  </conditionalFormatting>
  <conditionalFormatting sqref="E25">
    <cfRule type="expression" dxfId="5710" priority="357">
      <formula>B25=""</formula>
    </cfRule>
  </conditionalFormatting>
  <conditionalFormatting sqref="E26">
    <cfRule type="expression" dxfId="5709" priority="356">
      <formula>B26=""</formula>
    </cfRule>
  </conditionalFormatting>
  <conditionalFormatting sqref="E27">
    <cfRule type="expression" dxfId="5708" priority="355">
      <formula>B27=""</formula>
    </cfRule>
  </conditionalFormatting>
  <conditionalFormatting sqref="F8:F27">
    <cfRule type="expression" dxfId="5707" priority="354">
      <formula>B8=""</formula>
    </cfRule>
  </conditionalFormatting>
  <conditionalFormatting sqref="F9 F11 F13 F15 F17 F19 F21 F23 F25 F27">
    <cfRule type="expression" dxfId="5706" priority="353">
      <formula>B9=""</formula>
    </cfRule>
  </conditionalFormatting>
  <conditionalFormatting sqref="F10:F20">
    <cfRule type="expression" dxfId="5705" priority="352">
      <formula>B10=""</formula>
    </cfRule>
  </conditionalFormatting>
  <conditionalFormatting sqref="F21">
    <cfRule type="expression" dxfId="5704" priority="351">
      <formula>B21=""</formula>
    </cfRule>
  </conditionalFormatting>
  <conditionalFormatting sqref="F22">
    <cfRule type="expression" dxfId="5703" priority="350">
      <formula>B22=""</formula>
    </cfRule>
  </conditionalFormatting>
  <conditionalFormatting sqref="F23">
    <cfRule type="expression" dxfId="5702" priority="349">
      <formula>B23=""</formula>
    </cfRule>
  </conditionalFormatting>
  <conditionalFormatting sqref="F24">
    <cfRule type="expression" dxfId="5701" priority="348">
      <formula>B24=""</formula>
    </cfRule>
  </conditionalFormatting>
  <conditionalFormatting sqref="F25">
    <cfRule type="expression" dxfId="5700" priority="347">
      <formula>B25=""</formula>
    </cfRule>
  </conditionalFormatting>
  <conditionalFormatting sqref="F26">
    <cfRule type="expression" dxfId="5699" priority="346">
      <formula>B26=""</formula>
    </cfRule>
  </conditionalFormatting>
  <conditionalFormatting sqref="F27">
    <cfRule type="expression" dxfId="5698" priority="345">
      <formula>B27=""</formula>
    </cfRule>
  </conditionalFormatting>
  <conditionalFormatting sqref="E9 E11 E13 E15 E17 E19 E21 E23 E25 E27">
    <cfRule type="expression" dxfId="5697" priority="344">
      <formula>B9=""</formula>
    </cfRule>
  </conditionalFormatting>
  <conditionalFormatting sqref="E10:E20">
    <cfRule type="expression" dxfId="5696" priority="343">
      <formula>B10=""</formula>
    </cfRule>
  </conditionalFormatting>
  <conditionalFormatting sqref="E21">
    <cfRule type="expression" dxfId="5695" priority="342">
      <formula>B21=""</formula>
    </cfRule>
  </conditionalFormatting>
  <conditionalFormatting sqref="E22">
    <cfRule type="expression" dxfId="5694" priority="341">
      <formula>B22=""</formula>
    </cfRule>
  </conditionalFormatting>
  <conditionalFormatting sqref="E23">
    <cfRule type="expression" dxfId="5693" priority="340">
      <formula>B23=""</formula>
    </cfRule>
  </conditionalFormatting>
  <conditionalFormatting sqref="E24">
    <cfRule type="expression" dxfId="5692" priority="339">
      <formula>B24=""</formula>
    </cfRule>
  </conditionalFormatting>
  <conditionalFormatting sqref="E25">
    <cfRule type="expression" dxfId="5691" priority="338">
      <formula>B25=""</formula>
    </cfRule>
  </conditionalFormatting>
  <conditionalFormatting sqref="E26">
    <cfRule type="expression" dxfId="5690" priority="337">
      <formula>B26=""</formula>
    </cfRule>
  </conditionalFormatting>
  <conditionalFormatting sqref="E27">
    <cfRule type="expression" dxfId="5689" priority="336">
      <formula>B27=""</formula>
    </cfRule>
  </conditionalFormatting>
  <conditionalFormatting sqref="G8:G27">
    <cfRule type="expression" dxfId="5688" priority="335">
      <formula>B8=""</formula>
    </cfRule>
  </conditionalFormatting>
  <conditionalFormatting sqref="G9 G11 G13 G15 G17 G19 G21 G23 G25 G27">
    <cfRule type="expression" dxfId="5687" priority="334">
      <formula>B9=""</formula>
    </cfRule>
  </conditionalFormatting>
  <conditionalFormatting sqref="G10:G20">
    <cfRule type="expression" dxfId="5686" priority="333">
      <formula>B10=""</formula>
    </cfRule>
  </conditionalFormatting>
  <conditionalFormatting sqref="G21">
    <cfRule type="expression" dxfId="5685" priority="332">
      <formula>B21=""</formula>
    </cfRule>
  </conditionalFormatting>
  <conditionalFormatting sqref="G22">
    <cfRule type="expression" dxfId="5684" priority="331">
      <formula>B22=""</formula>
    </cfRule>
  </conditionalFormatting>
  <conditionalFormatting sqref="G23">
    <cfRule type="expression" dxfId="5683" priority="330">
      <formula>B23=""</formula>
    </cfRule>
  </conditionalFormatting>
  <conditionalFormatting sqref="G24">
    <cfRule type="expression" dxfId="5682" priority="329">
      <formula>B24=""</formula>
    </cfRule>
  </conditionalFormatting>
  <conditionalFormatting sqref="G25">
    <cfRule type="expression" dxfId="5681" priority="328">
      <formula>B25=""</formula>
    </cfRule>
  </conditionalFormatting>
  <conditionalFormatting sqref="G26">
    <cfRule type="expression" dxfId="5680" priority="327">
      <formula>B26=""</formula>
    </cfRule>
  </conditionalFormatting>
  <conditionalFormatting sqref="G27">
    <cfRule type="expression" dxfId="5679" priority="326">
      <formula>B27=""</formula>
    </cfRule>
  </conditionalFormatting>
  <conditionalFormatting sqref="H8 H10 H12 H14 H16 H18 H20 H22 H24 H26">
    <cfRule type="expression" dxfId="5678" priority="325">
      <formula>B8=""</formula>
    </cfRule>
  </conditionalFormatting>
  <conditionalFormatting sqref="H9 H11 H13 H15 H17 H19 H21 H23 H25 H27">
    <cfRule type="expression" dxfId="5677" priority="324">
      <formula>B9=""</formula>
    </cfRule>
  </conditionalFormatting>
  <conditionalFormatting sqref="H10:H20">
    <cfRule type="expression" dxfId="5676" priority="323">
      <formula>B10=""</formula>
    </cfRule>
  </conditionalFormatting>
  <conditionalFormatting sqref="H21">
    <cfRule type="expression" dxfId="5675" priority="322">
      <formula>B21=""</formula>
    </cfRule>
  </conditionalFormatting>
  <conditionalFormatting sqref="H22">
    <cfRule type="expression" dxfId="5674" priority="321">
      <formula>B22=""</formula>
    </cfRule>
  </conditionalFormatting>
  <conditionalFormatting sqref="H23">
    <cfRule type="expression" dxfId="5673" priority="320">
      <formula>B23=""</formula>
    </cfRule>
  </conditionalFormatting>
  <conditionalFormatting sqref="H24">
    <cfRule type="expression" dxfId="5672" priority="319">
      <formula>B24=""</formula>
    </cfRule>
  </conditionalFormatting>
  <conditionalFormatting sqref="H25">
    <cfRule type="expression" dxfId="5671" priority="318">
      <formula>B25=""</formula>
    </cfRule>
  </conditionalFormatting>
  <conditionalFormatting sqref="H26">
    <cfRule type="expression" dxfId="5670" priority="317">
      <formula>B26=""</formula>
    </cfRule>
  </conditionalFormatting>
  <conditionalFormatting sqref="H27">
    <cfRule type="expression" dxfId="5669" priority="316">
      <formula>B27=""</formula>
    </cfRule>
  </conditionalFormatting>
  <conditionalFormatting sqref="F8 F10 F12 F14 F16 F18 F20 F22 F24 F26">
    <cfRule type="expression" dxfId="5668" priority="315">
      <formula>B8=""</formula>
    </cfRule>
  </conditionalFormatting>
  <conditionalFormatting sqref="F9 F11 F13 F15 F17 F19 F21 F23 F25 F27">
    <cfRule type="expression" dxfId="5667" priority="314">
      <formula>B9=""</formula>
    </cfRule>
  </conditionalFormatting>
  <conditionalFormatting sqref="F10:F20">
    <cfRule type="expression" dxfId="5666" priority="313">
      <formula>B10=""</formula>
    </cfRule>
  </conditionalFormatting>
  <conditionalFormatting sqref="F21">
    <cfRule type="expression" dxfId="5665" priority="312">
      <formula>B21=""</formula>
    </cfRule>
  </conditionalFormatting>
  <conditionalFormatting sqref="F22">
    <cfRule type="expression" dxfId="5664" priority="311">
      <formula>B22=""</formula>
    </cfRule>
  </conditionalFormatting>
  <conditionalFormatting sqref="F23">
    <cfRule type="expression" dxfId="5663" priority="310">
      <formula>B23=""</formula>
    </cfRule>
  </conditionalFormatting>
  <conditionalFormatting sqref="F24">
    <cfRule type="expression" dxfId="5662" priority="309">
      <formula>B24=""</formula>
    </cfRule>
  </conditionalFormatting>
  <conditionalFormatting sqref="F25">
    <cfRule type="expression" dxfId="5661" priority="308">
      <formula>B25=""</formula>
    </cfRule>
  </conditionalFormatting>
  <conditionalFormatting sqref="F26">
    <cfRule type="expression" dxfId="5660" priority="307">
      <formula>B26=""</formula>
    </cfRule>
  </conditionalFormatting>
  <conditionalFormatting sqref="F27">
    <cfRule type="expression" dxfId="5659" priority="306">
      <formula>B27=""</formula>
    </cfRule>
  </conditionalFormatting>
  <conditionalFormatting sqref="C30:C49">
    <cfRule type="expression" dxfId="5658" priority="305">
      <formula>B30=""</formula>
    </cfRule>
  </conditionalFormatting>
  <conditionalFormatting sqref="C31 C33 C35 C37 C39 C41 C43 C45 C47 C49">
    <cfRule type="expression" dxfId="5657" priority="304">
      <formula>B31=""</formula>
    </cfRule>
  </conditionalFormatting>
  <conditionalFormatting sqref="C32:C42">
    <cfRule type="expression" dxfId="5656" priority="303">
      <formula>B32=""</formula>
    </cfRule>
  </conditionalFormatting>
  <conditionalFormatting sqref="C43">
    <cfRule type="expression" dxfId="5655" priority="302">
      <formula>B43=""</formula>
    </cfRule>
  </conditionalFormatting>
  <conditionalFormatting sqref="C44">
    <cfRule type="expression" dxfId="5654" priority="301">
      <formula>B44=""</formula>
    </cfRule>
  </conditionalFormatting>
  <conditionalFormatting sqref="C45">
    <cfRule type="expression" dxfId="5653" priority="300">
      <formula>B45=""</formula>
    </cfRule>
  </conditionalFormatting>
  <conditionalFormatting sqref="C46">
    <cfRule type="expression" dxfId="5652" priority="299">
      <formula>B46=""</formula>
    </cfRule>
  </conditionalFormatting>
  <conditionalFormatting sqref="C47">
    <cfRule type="expression" dxfId="5651" priority="298">
      <formula>B47=""</formula>
    </cfRule>
  </conditionalFormatting>
  <conditionalFormatting sqref="C48">
    <cfRule type="expression" dxfId="5650" priority="297">
      <formula>B48=""</formula>
    </cfRule>
  </conditionalFormatting>
  <conditionalFormatting sqref="C49">
    <cfRule type="expression" dxfId="5649" priority="296">
      <formula>B49=""</formula>
    </cfRule>
  </conditionalFormatting>
  <conditionalFormatting sqref="D30 D32 D34 D36 D38 D40 D42 D44 D46 D48">
    <cfRule type="expression" dxfId="5648" priority="295">
      <formula>B30=""</formula>
    </cfRule>
  </conditionalFormatting>
  <conditionalFormatting sqref="D31 D33 D35 D37 D39 D41 D43 D45 D47 D49">
    <cfRule type="expression" dxfId="5647" priority="294">
      <formula>B31=""</formula>
    </cfRule>
  </conditionalFormatting>
  <conditionalFormatting sqref="D32:D42">
    <cfRule type="expression" dxfId="5646" priority="293">
      <formula>B32=""</formula>
    </cfRule>
  </conditionalFormatting>
  <conditionalFormatting sqref="D43">
    <cfRule type="expression" dxfId="5645" priority="292">
      <formula>B43=""</formula>
    </cfRule>
  </conditionalFormatting>
  <conditionalFormatting sqref="D44">
    <cfRule type="expression" dxfId="5644" priority="291">
      <formula>B44=""</formula>
    </cfRule>
  </conditionalFormatting>
  <conditionalFormatting sqref="D45">
    <cfRule type="expression" dxfId="5643" priority="290">
      <formula>B45=""</formula>
    </cfRule>
  </conditionalFormatting>
  <conditionalFormatting sqref="D46">
    <cfRule type="expression" dxfId="5642" priority="289">
      <formula>B46=""</formula>
    </cfRule>
  </conditionalFormatting>
  <conditionalFormatting sqref="D47">
    <cfRule type="expression" dxfId="5641" priority="288">
      <formula>B47=""</formula>
    </cfRule>
  </conditionalFormatting>
  <conditionalFormatting sqref="D48">
    <cfRule type="expression" dxfId="5640" priority="287">
      <formula>B48=""</formula>
    </cfRule>
  </conditionalFormatting>
  <conditionalFormatting sqref="D49">
    <cfRule type="expression" dxfId="5639" priority="286">
      <formula>B49=""</formula>
    </cfRule>
  </conditionalFormatting>
  <conditionalFormatting sqref="E30 E32 E34 E36 E38 E40 E42 E44 E46 E48">
    <cfRule type="expression" dxfId="5638" priority="285">
      <formula>B30=""</formula>
    </cfRule>
  </conditionalFormatting>
  <conditionalFormatting sqref="E31 E33 E35 E37 E39 E41 E43 E45 E47 E49">
    <cfRule type="expression" dxfId="5637" priority="284">
      <formula>B31=""</formula>
    </cfRule>
  </conditionalFormatting>
  <conditionalFormatting sqref="E32:E42">
    <cfRule type="expression" dxfId="5636" priority="283">
      <formula>B32=""</formula>
    </cfRule>
  </conditionalFormatting>
  <conditionalFormatting sqref="E43">
    <cfRule type="expression" dxfId="5635" priority="282">
      <formula>B43=""</formula>
    </cfRule>
  </conditionalFormatting>
  <conditionalFormatting sqref="E44">
    <cfRule type="expression" dxfId="5634" priority="281">
      <formula>B44=""</formula>
    </cfRule>
  </conditionalFormatting>
  <conditionalFormatting sqref="E45">
    <cfRule type="expression" dxfId="5633" priority="280">
      <formula>B45=""</formula>
    </cfRule>
  </conditionalFormatting>
  <conditionalFormatting sqref="E46">
    <cfRule type="expression" dxfId="5632" priority="279">
      <formula>B46=""</formula>
    </cfRule>
  </conditionalFormatting>
  <conditionalFormatting sqref="E47">
    <cfRule type="expression" dxfId="5631" priority="278">
      <formula>B47=""</formula>
    </cfRule>
  </conditionalFormatting>
  <conditionalFormatting sqref="E48">
    <cfRule type="expression" dxfId="5630" priority="277">
      <formula>B48=""</formula>
    </cfRule>
  </conditionalFormatting>
  <conditionalFormatting sqref="E49">
    <cfRule type="expression" dxfId="5629" priority="276">
      <formula>B49=""</formula>
    </cfRule>
  </conditionalFormatting>
  <conditionalFormatting sqref="F30 F32 F34 F36 F38 F40 F42 F44 F46 F48">
    <cfRule type="expression" dxfId="5628" priority="275">
      <formula>B30=""</formula>
    </cfRule>
  </conditionalFormatting>
  <conditionalFormatting sqref="F31 F33 F35 F37 F39 F41 F43 F45 F47 F49">
    <cfRule type="expression" dxfId="5627" priority="274">
      <formula>B31=""</formula>
    </cfRule>
  </conditionalFormatting>
  <conditionalFormatting sqref="F32:F42">
    <cfRule type="expression" dxfId="5626" priority="273">
      <formula>B32=""</formula>
    </cfRule>
  </conditionalFormatting>
  <conditionalFormatting sqref="F43">
    <cfRule type="expression" dxfId="5625" priority="272">
      <formula>B43=""</formula>
    </cfRule>
  </conditionalFormatting>
  <conditionalFormatting sqref="F44">
    <cfRule type="expression" dxfId="5624" priority="271">
      <formula>B44=""</formula>
    </cfRule>
  </conditionalFormatting>
  <conditionalFormatting sqref="F45">
    <cfRule type="expression" dxfId="5623" priority="270">
      <formula>B45=""</formula>
    </cfRule>
  </conditionalFormatting>
  <conditionalFormatting sqref="F46">
    <cfRule type="expression" dxfId="5622" priority="269">
      <formula>B46=""</formula>
    </cfRule>
  </conditionalFormatting>
  <conditionalFormatting sqref="F47">
    <cfRule type="expression" dxfId="5621" priority="268">
      <formula>B47=""</formula>
    </cfRule>
  </conditionalFormatting>
  <conditionalFormatting sqref="F48">
    <cfRule type="expression" dxfId="5620" priority="267">
      <formula>B48=""</formula>
    </cfRule>
  </conditionalFormatting>
  <conditionalFormatting sqref="F49">
    <cfRule type="expression" dxfId="5619" priority="266">
      <formula>B49=""</formula>
    </cfRule>
  </conditionalFormatting>
  <conditionalFormatting sqref="E31 E33 E35 E37 E39 E41 E43 E45 E47 E49">
    <cfRule type="expression" dxfId="5618" priority="265">
      <formula>B31=""</formula>
    </cfRule>
  </conditionalFormatting>
  <conditionalFormatting sqref="E32:E42">
    <cfRule type="expression" dxfId="5617" priority="264">
      <formula>B32=""</formula>
    </cfRule>
  </conditionalFormatting>
  <conditionalFormatting sqref="E43">
    <cfRule type="expression" dxfId="5616" priority="263">
      <formula>B43=""</formula>
    </cfRule>
  </conditionalFormatting>
  <conditionalFormatting sqref="E44">
    <cfRule type="expression" dxfId="5615" priority="262">
      <formula>B44=""</formula>
    </cfRule>
  </conditionalFormatting>
  <conditionalFormatting sqref="E45">
    <cfRule type="expression" dxfId="5614" priority="261">
      <formula>B45=""</formula>
    </cfRule>
  </conditionalFormatting>
  <conditionalFormatting sqref="E46">
    <cfRule type="expression" dxfId="5613" priority="260">
      <formula>B46=""</formula>
    </cfRule>
  </conditionalFormatting>
  <conditionalFormatting sqref="E47">
    <cfRule type="expression" dxfId="5612" priority="259">
      <formula>B47=""</formula>
    </cfRule>
  </conditionalFormatting>
  <conditionalFormatting sqref="E48">
    <cfRule type="expression" dxfId="5611" priority="258">
      <formula>B48=""</formula>
    </cfRule>
  </conditionalFormatting>
  <conditionalFormatting sqref="E49">
    <cfRule type="expression" dxfId="5610" priority="257">
      <formula>B49=""</formula>
    </cfRule>
  </conditionalFormatting>
  <conditionalFormatting sqref="G30 G32 G34 G36 G38 G40 G42 G44 G46 G48">
    <cfRule type="expression" dxfId="5609" priority="256">
      <formula>B30=""</formula>
    </cfRule>
  </conditionalFormatting>
  <conditionalFormatting sqref="G31 G33 G35 G37 G39 G41 G43 G45 G47 G49">
    <cfRule type="expression" dxfId="5608" priority="255">
      <formula>B31=""</formula>
    </cfRule>
  </conditionalFormatting>
  <conditionalFormatting sqref="G32:G42">
    <cfRule type="expression" dxfId="5607" priority="254">
      <formula>B32=""</formula>
    </cfRule>
  </conditionalFormatting>
  <conditionalFormatting sqref="G43">
    <cfRule type="expression" dxfId="5606" priority="253">
      <formula>B43=""</formula>
    </cfRule>
  </conditionalFormatting>
  <conditionalFormatting sqref="G44">
    <cfRule type="expression" dxfId="5605" priority="252">
      <formula>B44=""</formula>
    </cfRule>
  </conditionalFormatting>
  <conditionalFormatting sqref="G45">
    <cfRule type="expression" dxfId="5604" priority="251">
      <formula>B45=""</formula>
    </cfRule>
  </conditionalFormatting>
  <conditionalFormatting sqref="G46">
    <cfRule type="expression" dxfId="5603" priority="250">
      <formula>B46=""</formula>
    </cfRule>
  </conditionalFormatting>
  <conditionalFormatting sqref="G47">
    <cfRule type="expression" dxfId="5602" priority="249">
      <formula>B47=""</formula>
    </cfRule>
  </conditionalFormatting>
  <conditionalFormatting sqref="G48">
    <cfRule type="expression" dxfId="5601" priority="248">
      <formula>B48=""</formula>
    </cfRule>
  </conditionalFormatting>
  <conditionalFormatting sqref="G49">
    <cfRule type="expression" dxfId="5600" priority="247">
      <formula>B49=""</formula>
    </cfRule>
  </conditionalFormatting>
  <conditionalFormatting sqref="H30 H32 H34 H36 H38 H40 H42 H44 H46 H48">
    <cfRule type="expression" dxfId="5599" priority="246">
      <formula>B30=""</formula>
    </cfRule>
  </conditionalFormatting>
  <conditionalFormatting sqref="H31 H33 H35 H37 H39 H41 H43 H45 H47 H49">
    <cfRule type="expression" dxfId="5598" priority="245">
      <formula>B31=""</formula>
    </cfRule>
  </conditionalFormatting>
  <conditionalFormatting sqref="H32:H42">
    <cfRule type="expression" dxfId="5597" priority="244">
      <formula>B32=""</formula>
    </cfRule>
  </conditionalFormatting>
  <conditionalFormatting sqref="H43">
    <cfRule type="expression" dxfId="5596" priority="243">
      <formula>B43=""</formula>
    </cfRule>
  </conditionalFormatting>
  <conditionalFormatting sqref="H44">
    <cfRule type="expression" dxfId="5595" priority="242">
      <formula>B44=""</formula>
    </cfRule>
  </conditionalFormatting>
  <conditionalFormatting sqref="H45">
    <cfRule type="expression" dxfId="5594" priority="241">
      <formula>B45=""</formula>
    </cfRule>
  </conditionalFormatting>
  <conditionalFormatting sqref="H46">
    <cfRule type="expression" dxfId="5593" priority="240">
      <formula>B46=""</formula>
    </cfRule>
  </conditionalFormatting>
  <conditionalFormatting sqref="H47">
    <cfRule type="expression" dxfId="5592" priority="239">
      <formula>B47=""</formula>
    </cfRule>
  </conditionalFormatting>
  <conditionalFormatting sqref="H48">
    <cfRule type="expression" dxfId="5591" priority="238">
      <formula>B48=""</formula>
    </cfRule>
  </conditionalFormatting>
  <conditionalFormatting sqref="H49">
    <cfRule type="expression" dxfId="5590" priority="237">
      <formula>B49=""</formula>
    </cfRule>
  </conditionalFormatting>
  <conditionalFormatting sqref="C30:C49">
    <cfRule type="expression" dxfId="5589" priority="236">
      <formula>B30=""</formula>
    </cfRule>
  </conditionalFormatting>
  <conditionalFormatting sqref="C31 C33 C35 C37 C39 C41 C43 C45 C47 C49">
    <cfRule type="expression" dxfId="5588" priority="235">
      <formula>B31=""</formula>
    </cfRule>
  </conditionalFormatting>
  <conditionalFormatting sqref="C32:C42">
    <cfRule type="expression" dxfId="5587" priority="234">
      <formula>B32=""</formula>
    </cfRule>
  </conditionalFormatting>
  <conditionalFormatting sqref="C43">
    <cfRule type="expression" dxfId="5586" priority="233">
      <formula>B43=""</formula>
    </cfRule>
  </conditionalFormatting>
  <conditionalFormatting sqref="C44">
    <cfRule type="expression" dxfId="5585" priority="232">
      <formula>B44=""</formula>
    </cfRule>
  </conditionalFormatting>
  <conditionalFormatting sqref="C45">
    <cfRule type="expression" dxfId="5584" priority="231">
      <formula>B45=""</formula>
    </cfRule>
  </conditionalFormatting>
  <conditionalFormatting sqref="C46">
    <cfRule type="expression" dxfId="5583" priority="230">
      <formula>B46=""</formula>
    </cfRule>
  </conditionalFormatting>
  <conditionalFormatting sqref="C47">
    <cfRule type="expression" dxfId="5582" priority="229">
      <formula>B47=""</formula>
    </cfRule>
  </conditionalFormatting>
  <conditionalFormatting sqref="C48">
    <cfRule type="expression" dxfId="5581" priority="228">
      <formula>B48=""</formula>
    </cfRule>
  </conditionalFormatting>
  <conditionalFormatting sqref="C49">
    <cfRule type="expression" dxfId="5580" priority="227">
      <formula>B49=""</formula>
    </cfRule>
  </conditionalFormatting>
  <conditionalFormatting sqref="C30 C32 C34 C36 C38 C40 C42 C44 C46 C48">
    <cfRule type="expression" dxfId="5579" priority="226">
      <formula>B30=""</formula>
    </cfRule>
  </conditionalFormatting>
  <conditionalFormatting sqref="C31 C33 C35 C37 C39 C41 C43 C45 C47 C49">
    <cfRule type="expression" dxfId="5578" priority="225">
      <formula>B31=""</formula>
    </cfRule>
  </conditionalFormatting>
  <conditionalFormatting sqref="C32:C42">
    <cfRule type="expression" dxfId="5577" priority="224">
      <formula>B32=""</formula>
    </cfRule>
  </conditionalFormatting>
  <conditionalFormatting sqref="C43">
    <cfRule type="expression" dxfId="5576" priority="223">
      <formula>B43=""</formula>
    </cfRule>
  </conditionalFormatting>
  <conditionalFormatting sqref="C44">
    <cfRule type="expression" dxfId="5575" priority="222">
      <formula>B44=""</formula>
    </cfRule>
  </conditionalFormatting>
  <conditionalFormatting sqref="C45">
    <cfRule type="expression" dxfId="5574" priority="221">
      <formula>B45=""</formula>
    </cfRule>
  </conditionalFormatting>
  <conditionalFormatting sqref="C46">
    <cfRule type="expression" dxfId="5573" priority="220">
      <formula>B46=""</formula>
    </cfRule>
  </conditionalFormatting>
  <conditionalFormatting sqref="C47">
    <cfRule type="expression" dxfId="5572" priority="219">
      <formula>B47=""</formula>
    </cfRule>
  </conditionalFormatting>
  <conditionalFormatting sqref="C48">
    <cfRule type="expression" dxfId="5571" priority="218">
      <formula>B48=""</formula>
    </cfRule>
  </conditionalFormatting>
  <conditionalFormatting sqref="C49">
    <cfRule type="expression" dxfId="5570" priority="217">
      <formula>B49=""</formula>
    </cfRule>
  </conditionalFormatting>
  <conditionalFormatting sqref="D30 D32 D34 D36 D38 D40 D42 D44 D46 D48">
    <cfRule type="expression" dxfId="5569" priority="216">
      <formula>B30=""</formula>
    </cfRule>
  </conditionalFormatting>
  <conditionalFormatting sqref="D31 D33 D35 D37 D39 D41 D43 D45 D47 D49">
    <cfRule type="expression" dxfId="5568" priority="215">
      <formula>B31=""</formula>
    </cfRule>
  </conditionalFormatting>
  <conditionalFormatting sqref="D32:D42">
    <cfRule type="expression" dxfId="5567" priority="214">
      <formula>B32=""</formula>
    </cfRule>
  </conditionalFormatting>
  <conditionalFormatting sqref="D43">
    <cfRule type="expression" dxfId="5566" priority="213">
      <formula>B43=""</formula>
    </cfRule>
  </conditionalFormatting>
  <conditionalFormatting sqref="D44">
    <cfRule type="expression" dxfId="5565" priority="212">
      <formula>B44=""</formula>
    </cfRule>
  </conditionalFormatting>
  <conditionalFormatting sqref="D45">
    <cfRule type="expression" dxfId="5564" priority="211">
      <formula>B45=""</formula>
    </cfRule>
  </conditionalFormatting>
  <conditionalFormatting sqref="D46">
    <cfRule type="expression" dxfId="5563" priority="210">
      <formula>B46=""</formula>
    </cfRule>
  </conditionalFormatting>
  <conditionalFormatting sqref="D47">
    <cfRule type="expression" dxfId="5562" priority="209">
      <formula>B47=""</formula>
    </cfRule>
  </conditionalFormatting>
  <conditionalFormatting sqref="D48">
    <cfRule type="expression" dxfId="5561" priority="208">
      <formula>B48=""</formula>
    </cfRule>
  </conditionalFormatting>
  <conditionalFormatting sqref="D49">
    <cfRule type="expression" dxfId="5560" priority="207">
      <formula>B49=""</formula>
    </cfRule>
  </conditionalFormatting>
  <conditionalFormatting sqref="E30:E49">
    <cfRule type="expression" dxfId="5559" priority="206">
      <formula>B30=""</formula>
    </cfRule>
  </conditionalFormatting>
  <conditionalFormatting sqref="E31 E33 E35 E37 E39 E41 E43 E45 E47 E49">
    <cfRule type="expression" dxfId="5558" priority="205">
      <formula>B31=""</formula>
    </cfRule>
  </conditionalFormatting>
  <conditionalFormatting sqref="E32:E42">
    <cfRule type="expression" dxfId="5557" priority="204">
      <formula>B32=""</formula>
    </cfRule>
  </conditionalFormatting>
  <conditionalFormatting sqref="E43">
    <cfRule type="expression" dxfId="5556" priority="203">
      <formula>B43=""</formula>
    </cfRule>
  </conditionalFormatting>
  <conditionalFormatting sqref="E44">
    <cfRule type="expression" dxfId="5555" priority="202">
      <formula>B44=""</formula>
    </cfRule>
  </conditionalFormatting>
  <conditionalFormatting sqref="E45">
    <cfRule type="expression" dxfId="5554" priority="201">
      <formula>B45=""</formula>
    </cfRule>
  </conditionalFormatting>
  <conditionalFormatting sqref="E46">
    <cfRule type="expression" dxfId="5553" priority="200">
      <formula>B46=""</formula>
    </cfRule>
  </conditionalFormatting>
  <conditionalFormatting sqref="E47">
    <cfRule type="expression" dxfId="5552" priority="199">
      <formula>B47=""</formula>
    </cfRule>
  </conditionalFormatting>
  <conditionalFormatting sqref="E48">
    <cfRule type="expression" dxfId="5551" priority="198">
      <formula>B48=""</formula>
    </cfRule>
  </conditionalFormatting>
  <conditionalFormatting sqref="E49">
    <cfRule type="expression" dxfId="5550" priority="197">
      <formula>B49=""</formula>
    </cfRule>
  </conditionalFormatting>
  <conditionalFormatting sqref="F30:F49">
    <cfRule type="expression" dxfId="5549" priority="196">
      <formula>B30=""</formula>
    </cfRule>
  </conditionalFormatting>
  <conditionalFormatting sqref="F31 F33 F35 F37 F39 F41 F43 F45 F47 F49">
    <cfRule type="expression" dxfId="5548" priority="195">
      <formula>B31=""</formula>
    </cfRule>
  </conditionalFormatting>
  <conditionalFormatting sqref="F32:F42">
    <cfRule type="expression" dxfId="5547" priority="194">
      <formula>B32=""</formula>
    </cfRule>
  </conditionalFormatting>
  <conditionalFormatting sqref="F43">
    <cfRule type="expression" dxfId="5546" priority="193">
      <formula>B43=""</formula>
    </cfRule>
  </conditionalFormatting>
  <conditionalFormatting sqref="F44">
    <cfRule type="expression" dxfId="5545" priority="192">
      <formula>B44=""</formula>
    </cfRule>
  </conditionalFormatting>
  <conditionalFormatting sqref="F45">
    <cfRule type="expression" dxfId="5544" priority="191">
      <formula>B45=""</formula>
    </cfRule>
  </conditionalFormatting>
  <conditionalFormatting sqref="F46">
    <cfRule type="expression" dxfId="5543" priority="190">
      <formula>B46=""</formula>
    </cfRule>
  </conditionalFormatting>
  <conditionalFormatting sqref="F47">
    <cfRule type="expression" dxfId="5542" priority="189">
      <formula>B47=""</formula>
    </cfRule>
  </conditionalFormatting>
  <conditionalFormatting sqref="F48">
    <cfRule type="expression" dxfId="5541" priority="188">
      <formula>B48=""</formula>
    </cfRule>
  </conditionalFormatting>
  <conditionalFormatting sqref="F49">
    <cfRule type="expression" dxfId="5540" priority="187">
      <formula>B49=""</formula>
    </cfRule>
  </conditionalFormatting>
  <conditionalFormatting sqref="E31 E33 E35 E37 E39 E41 E43 E45 E47 E49">
    <cfRule type="expression" dxfId="5539" priority="186">
      <formula>B31=""</formula>
    </cfRule>
  </conditionalFormatting>
  <conditionalFormatting sqref="E32:E42">
    <cfRule type="expression" dxfId="5538" priority="185">
      <formula>B32=""</formula>
    </cfRule>
  </conditionalFormatting>
  <conditionalFormatting sqref="E43">
    <cfRule type="expression" dxfId="5537" priority="184">
      <formula>B43=""</formula>
    </cfRule>
  </conditionalFormatting>
  <conditionalFormatting sqref="E44">
    <cfRule type="expression" dxfId="5536" priority="183">
      <formula>B44=""</formula>
    </cfRule>
  </conditionalFormatting>
  <conditionalFormatting sqref="E45">
    <cfRule type="expression" dxfId="5535" priority="182">
      <formula>B45=""</formula>
    </cfRule>
  </conditionalFormatting>
  <conditionalFormatting sqref="E46">
    <cfRule type="expression" dxfId="5534" priority="181">
      <formula>B46=""</formula>
    </cfRule>
  </conditionalFormatting>
  <conditionalFormatting sqref="E47">
    <cfRule type="expression" dxfId="5533" priority="180">
      <formula>B47=""</formula>
    </cfRule>
  </conditionalFormatting>
  <conditionalFormatting sqref="E48">
    <cfRule type="expression" dxfId="5532" priority="179">
      <formula>B48=""</formula>
    </cfRule>
  </conditionalFormatting>
  <conditionalFormatting sqref="E49">
    <cfRule type="expression" dxfId="5531" priority="178">
      <formula>B49=""</formula>
    </cfRule>
  </conditionalFormatting>
  <conditionalFormatting sqref="G30:G49">
    <cfRule type="expression" dxfId="5530" priority="177">
      <formula>B30=""</formula>
    </cfRule>
  </conditionalFormatting>
  <conditionalFormatting sqref="G31 G33 G35 G37 G39 G41 G43 G45 G47 G49">
    <cfRule type="expression" dxfId="5529" priority="176">
      <formula>B31=""</formula>
    </cfRule>
  </conditionalFormatting>
  <conditionalFormatting sqref="G32:G42">
    <cfRule type="expression" dxfId="5528" priority="175">
      <formula>B32=""</formula>
    </cfRule>
  </conditionalFormatting>
  <conditionalFormatting sqref="G43">
    <cfRule type="expression" dxfId="5527" priority="174">
      <formula>B43=""</formula>
    </cfRule>
  </conditionalFormatting>
  <conditionalFormatting sqref="G44">
    <cfRule type="expression" dxfId="5526" priority="173">
      <formula>B44=""</formula>
    </cfRule>
  </conditionalFormatting>
  <conditionalFormatting sqref="G45">
    <cfRule type="expression" dxfId="5525" priority="172">
      <formula>B45=""</formula>
    </cfRule>
  </conditionalFormatting>
  <conditionalFormatting sqref="G46">
    <cfRule type="expression" dxfId="5524" priority="171">
      <formula>B46=""</formula>
    </cfRule>
  </conditionalFormatting>
  <conditionalFormatting sqref="G47">
    <cfRule type="expression" dxfId="5523" priority="170">
      <formula>B47=""</formula>
    </cfRule>
  </conditionalFormatting>
  <conditionalFormatting sqref="G48">
    <cfRule type="expression" dxfId="5522" priority="169">
      <formula>B48=""</formula>
    </cfRule>
  </conditionalFormatting>
  <conditionalFormatting sqref="G49">
    <cfRule type="expression" dxfId="5521" priority="168">
      <formula>B49=""</formula>
    </cfRule>
  </conditionalFormatting>
  <conditionalFormatting sqref="H30 H32 H34 H36 H38 H40 H42 H44 H46 H48">
    <cfRule type="expression" dxfId="5520" priority="167">
      <formula>B30=""</formula>
    </cfRule>
  </conditionalFormatting>
  <conditionalFormatting sqref="H31 H33 H35 H37 H39 H41 H43 H45 H47 H49">
    <cfRule type="expression" dxfId="5519" priority="166">
      <formula>B31=""</formula>
    </cfRule>
  </conditionalFormatting>
  <conditionalFormatting sqref="H32:H42">
    <cfRule type="expression" dxfId="5518" priority="165">
      <formula>B32=""</formula>
    </cfRule>
  </conditionalFormatting>
  <conditionalFormatting sqref="H43">
    <cfRule type="expression" dxfId="5517" priority="164">
      <formula>B43=""</formula>
    </cfRule>
  </conditionalFormatting>
  <conditionalFormatting sqref="H44">
    <cfRule type="expression" dxfId="5516" priority="163">
      <formula>B44=""</formula>
    </cfRule>
  </conditionalFormatting>
  <conditionalFormatting sqref="H45">
    <cfRule type="expression" dxfId="5515" priority="162">
      <formula>B45=""</formula>
    </cfRule>
  </conditionalFormatting>
  <conditionalFormatting sqref="H46">
    <cfRule type="expression" dxfId="5514" priority="161">
      <formula>B46=""</formula>
    </cfRule>
  </conditionalFormatting>
  <conditionalFormatting sqref="H47">
    <cfRule type="expression" dxfId="5513" priority="160">
      <formula>B47=""</formula>
    </cfRule>
  </conditionalFormatting>
  <conditionalFormatting sqref="H48">
    <cfRule type="expression" dxfId="5512" priority="159">
      <formula>B48=""</formula>
    </cfRule>
  </conditionalFormatting>
  <conditionalFormatting sqref="H49">
    <cfRule type="expression" dxfId="5511" priority="158">
      <formula>B49=""</formula>
    </cfRule>
  </conditionalFormatting>
  <conditionalFormatting sqref="F30 F32 F34 F36 F38 F40 F42 F44 F46 F48">
    <cfRule type="expression" dxfId="5510" priority="157">
      <formula>B30=""</formula>
    </cfRule>
  </conditionalFormatting>
  <conditionalFormatting sqref="F31 F33 F35 F37 F39 F41 F43 F45 F47 F49">
    <cfRule type="expression" dxfId="5509" priority="156">
      <formula>B31=""</formula>
    </cfRule>
  </conditionalFormatting>
  <conditionalFormatting sqref="F32:F42">
    <cfRule type="expression" dxfId="5508" priority="155">
      <formula>B32=""</formula>
    </cfRule>
  </conditionalFormatting>
  <conditionalFormatting sqref="F43">
    <cfRule type="expression" dxfId="5507" priority="154">
      <formula>B43=""</formula>
    </cfRule>
  </conditionalFormatting>
  <conditionalFormatting sqref="F44">
    <cfRule type="expression" dxfId="5506" priority="153">
      <formula>B44=""</formula>
    </cfRule>
  </conditionalFormatting>
  <conditionalFormatting sqref="F45">
    <cfRule type="expression" dxfId="5505" priority="152">
      <formula>B45=""</formula>
    </cfRule>
  </conditionalFormatting>
  <conditionalFormatting sqref="F46">
    <cfRule type="expression" dxfId="5504" priority="151">
      <formula>B46=""</formula>
    </cfRule>
  </conditionalFormatting>
  <conditionalFormatting sqref="F47">
    <cfRule type="expression" dxfId="5503" priority="150">
      <formula>B47=""</formula>
    </cfRule>
  </conditionalFormatting>
  <conditionalFormatting sqref="F48">
    <cfRule type="expression" dxfId="5502" priority="149">
      <formula>B48=""</formula>
    </cfRule>
  </conditionalFormatting>
  <conditionalFormatting sqref="F49">
    <cfRule type="expression" dxfId="5501" priority="148">
      <formula>B49=""</formula>
    </cfRule>
  </conditionalFormatting>
  <conditionalFormatting sqref="C52:C71">
    <cfRule type="expression" dxfId="5500" priority="147">
      <formula>B52=""</formula>
    </cfRule>
  </conditionalFormatting>
  <conditionalFormatting sqref="C53 C55 C57 C59 C61 C63 C65 C67 C69 C71">
    <cfRule type="expression" dxfId="5499" priority="146">
      <formula>B53=""</formula>
    </cfRule>
  </conditionalFormatting>
  <conditionalFormatting sqref="C54:C64">
    <cfRule type="expression" dxfId="5498" priority="145">
      <formula>B54=""</formula>
    </cfRule>
  </conditionalFormatting>
  <conditionalFormatting sqref="C65">
    <cfRule type="expression" dxfId="5497" priority="144">
      <formula>B65=""</formula>
    </cfRule>
  </conditionalFormatting>
  <conditionalFormatting sqref="C66">
    <cfRule type="expression" dxfId="5496" priority="143">
      <formula>B66=""</formula>
    </cfRule>
  </conditionalFormatting>
  <conditionalFormatting sqref="C67">
    <cfRule type="expression" dxfId="5495" priority="142">
      <formula>B67=""</formula>
    </cfRule>
  </conditionalFormatting>
  <conditionalFormatting sqref="C68">
    <cfRule type="expression" dxfId="5494" priority="141">
      <formula>B68=""</formula>
    </cfRule>
  </conditionalFormatting>
  <conditionalFormatting sqref="C69">
    <cfRule type="expression" dxfId="5493" priority="140">
      <formula>B69=""</formula>
    </cfRule>
  </conditionalFormatting>
  <conditionalFormatting sqref="C70">
    <cfRule type="expression" dxfId="5492" priority="139">
      <formula>B70=""</formula>
    </cfRule>
  </conditionalFormatting>
  <conditionalFormatting sqref="C71">
    <cfRule type="expression" dxfId="5491" priority="138">
      <formula>B71=""</formula>
    </cfRule>
  </conditionalFormatting>
  <conditionalFormatting sqref="C71">
    <cfRule type="expression" dxfId="5490" priority="137">
      <formula>B71=""</formula>
    </cfRule>
  </conditionalFormatting>
  <conditionalFormatting sqref="C52:C71">
    <cfRule type="expression" dxfId="5489" priority="136">
      <formula>B52=""</formula>
    </cfRule>
  </conditionalFormatting>
  <conditionalFormatting sqref="C53 C55 C57 C59 C61 C63 C65 C67 C69 C71">
    <cfRule type="expression" dxfId="5488" priority="135">
      <formula>B53=""</formula>
    </cfRule>
  </conditionalFormatting>
  <conditionalFormatting sqref="C54:C64">
    <cfRule type="expression" dxfId="5487" priority="134">
      <formula>B54=""</formula>
    </cfRule>
  </conditionalFormatting>
  <conditionalFormatting sqref="C65">
    <cfRule type="expression" dxfId="5486" priority="133">
      <formula>B65=""</formula>
    </cfRule>
  </conditionalFormatting>
  <conditionalFormatting sqref="C66">
    <cfRule type="expression" dxfId="5485" priority="132">
      <formula>B66=""</formula>
    </cfRule>
  </conditionalFormatting>
  <conditionalFormatting sqref="C67">
    <cfRule type="expression" dxfId="5484" priority="131">
      <formula>B67=""</formula>
    </cfRule>
  </conditionalFormatting>
  <conditionalFormatting sqref="C68">
    <cfRule type="expression" dxfId="5483" priority="130">
      <formula>B68=""</formula>
    </cfRule>
  </conditionalFormatting>
  <conditionalFormatting sqref="C69">
    <cfRule type="expression" dxfId="5482" priority="129">
      <formula>B69=""</formula>
    </cfRule>
  </conditionalFormatting>
  <conditionalFormatting sqref="C70">
    <cfRule type="expression" dxfId="5481" priority="128">
      <formula>B70=""</formula>
    </cfRule>
  </conditionalFormatting>
  <conditionalFormatting sqref="C71">
    <cfRule type="expression" dxfId="5480" priority="127">
      <formula>B71=""</formula>
    </cfRule>
  </conditionalFormatting>
  <conditionalFormatting sqref="C52:C71">
    <cfRule type="expression" dxfId="5479" priority="126">
      <formula>B52=""</formula>
    </cfRule>
  </conditionalFormatting>
  <conditionalFormatting sqref="C53 C55 C57 C59 C61 C63 C65 C67 C69 C71">
    <cfRule type="expression" dxfId="5478" priority="125">
      <formula>B53=""</formula>
    </cfRule>
  </conditionalFormatting>
  <conditionalFormatting sqref="C54:C64">
    <cfRule type="expression" dxfId="5477" priority="124">
      <formula>B54=""</formula>
    </cfRule>
  </conditionalFormatting>
  <conditionalFormatting sqref="C65">
    <cfRule type="expression" dxfId="5476" priority="123">
      <formula>B65=""</formula>
    </cfRule>
  </conditionalFormatting>
  <conditionalFormatting sqref="C66">
    <cfRule type="expression" dxfId="5475" priority="122">
      <formula>B66=""</formula>
    </cfRule>
  </conditionalFormatting>
  <conditionalFormatting sqref="C67">
    <cfRule type="expression" dxfId="5474" priority="121">
      <formula>B67=""</formula>
    </cfRule>
  </conditionalFormatting>
  <conditionalFormatting sqref="C68">
    <cfRule type="expression" dxfId="5473" priority="120">
      <formula>B68=""</formula>
    </cfRule>
  </conditionalFormatting>
  <conditionalFormatting sqref="C69">
    <cfRule type="expression" dxfId="5472" priority="119">
      <formula>B69=""</formula>
    </cfRule>
  </conditionalFormatting>
  <conditionalFormatting sqref="C70">
    <cfRule type="expression" dxfId="5471" priority="118">
      <formula>B70=""</formula>
    </cfRule>
  </conditionalFormatting>
  <conditionalFormatting sqref="C71">
    <cfRule type="expression" dxfId="5470" priority="117">
      <formula>B71=""</formula>
    </cfRule>
  </conditionalFormatting>
  <conditionalFormatting sqref="C52:C71">
    <cfRule type="expression" dxfId="5469" priority="116">
      <formula>B52=""</formula>
    </cfRule>
  </conditionalFormatting>
  <conditionalFormatting sqref="C53 C55 C57 C59 C61 C63 C65 C67 C69 C71">
    <cfRule type="expression" dxfId="5468" priority="115">
      <formula>B53=""</formula>
    </cfRule>
  </conditionalFormatting>
  <conditionalFormatting sqref="C54:C64">
    <cfRule type="expression" dxfId="5467" priority="114">
      <formula>B54=""</formula>
    </cfRule>
  </conditionalFormatting>
  <conditionalFormatting sqref="C65">
    <cfRule type="expression" dxfId="5466" priority="113">
      <formula>B65=""</formula>
    </cfRule>
  </conditionalFormatting>
  <conditionalFormatting sqref="C66">
    <cfRule type="expression" dxfId="5465" priority="112">
      <formula>B66=""</formula>
    </cfRule>
  </conditionalFormatting>
  <conditionalFormatting sqref="C67">
    <cfRule type="expression" dxfId="5464" priority="111">
      <formula>B67=""</formula>
    </cfRule>
  </conditionalFormatting>
  <conditionalFormatting sqref="C68">
    <cfRule type="expression" dxfId="5463" priority="110">
      <formula>B68=""</formula>
    </cfRule>
  </conditionalFormatting>
  <conditionalFormatting sqref="C69">
    <cfRule type="expression" dxfId="5462" priority="109">
      <formula>B69=""</formula>
    </cfRule>
  </conditionalFormatting>
  <conditionalFormatting sqref="C70">
    <cfRule type="expression" dxfId="5461" priority="108">
      <formula>B70=""</formula>
    </cfRule>
  </conditionalFormatting>
  <conditionalFormatting sqref="C71">
    <cfRule type="expression" dxfId="5460" priority="107">
      <formula>B71=""</formula>
    </cfRule>
  </conditionalFormatting>
  <conditionalFormatting sqref="C52 C54 C56 C58 C60 C62 C64 C66 C68 C70">
    <cfRule type="expression" dxfId="5459" priority="106">
      <formula>B52=""</formula>
    </cfRule>
  </conditionalFormatting>
  <conditionalFormatting sqref="C53 C55 C57 C59 C61 C63 C65 C67 C69 C71">
    <cfRule type="expression" dxfId="5458" priority="105">
      <formula>B53=""</formula>
    </cfRule>
  </conditionalFormatting>
  <conditionalFormatting sqref="C54:C64">
    <cfRule type="expression" dxfId="5457" priority="104">
      <formula>B54=""</formula>
    </cfRule>
  </conditionalFormatting>
  <conditionalFormatting sqref="C65">
    <cfRule type="expression" dxfId="5456" priority="103">
      <formula>B65=""</formula>
    </cfRule>
  </conditionalFormatting>
  <conditionalFormatting sqref="C66">
    <cfRule type="expression" dxfId="5455" priority="102">
      <formula>B66=""</formula>
    </cfRule>
  </conditionalFormatting>
  <conditionalFormatting sqref="C67">
    <cfRule type="expression" dxfId="5454" priority="101">
      <formula>B67=""</formula>
    </cfRule>
  </conditionalFormatting>
  <conditionalFormatting sqref="C68">
    <cfRule type="expression" dxfId="5453" priority="100">
      <formula>B68=""</formula>
    </cfRule>
  </conditionalFormatting>
  <conditionalFormatting sqref="C69">
    <cfRule type="expression" dxfId="5452" priority="99">
      <formula>B69=""</formula>
    </cfRule>
  </conditionalFormatting>
  <conditionalFormatting sqref="C70">
    <cfRule type="expression" dxfId="5451" priority="98">
      <formula>B70=""</formula>
    </cfRule>
  </conditionalFormatting>
  <conditionalFormatting sqref="C71">
    <cfRule type="expression" dxfId="5450" priority="97">
      <formula>B71=""</formula>
    </cfRule>
  </conditionalFormatting>
  <conditionalFormatting sqref="C74:C93">
    <cfRule type="expression" dxfId="5449" priority="96">
      <formula>B74=""</formula>
    </cfRule>
  </conditionalFormatting>
  <conditionalFormatting sqref="C75 C77 C79 C81 C83 C85 C87 C89 C91 C93">
    <cfRule type="expression" dxfId="5448" priority="95">
      <formula>B75=""</formula>
    </cfRule>
  </conditionalFormatting>
  <conditionalFormatting sqref="C76:C86">
    <cfRule type="expression" dxfId="5447" priority="94">
      <formula>B76=""</formula>
    </cfRule>
  </conditionalFormatting>
  <conditionalFormatting sqref="C87">
    <cfRule type="expression" dxfId="5446" priority="93">
      <formula>B87=""</formula>
    </cfRule>
  </conditionalFormatting>
  <conditionalFormatting sqref="C88">
    <cfRule type="expression" dxfId="5445" priority="92">
      <formula>B88=""</formula>
    </cfRule>
  </conditionalFormatting>
  <conditionalFormatting sqref="C89">
    <cfRule type="expression" dxfId="5444" priority="91">
      <formula>B89=""</formula>
    </cfRule>
  </conditionalFormatting>
  <conditionalFormatting sqref="C90">
    <cfRule type="expression" dxfId="5443" priority="90">
      <formula>B90=""</formula>
    </cfRule>
  </conditionalFormatting>
  <conditionalFormatting sqref="C91">
    <cfRule type="expression" dxfId="5442" priority="89">
      <formula>B91=""</formula>
    </cfRule>
  </conditionalFormatting>
  <conditionalFormatting sqref="C92">
    <cfRule type="expression" dxfId="5441" priority="88">
      <formula>B92=""</formula>
    </cfRule>
  </conditionalFormatting>
  <conditionalFormatting sqref="C93">
    <cfRule type="expression" dxfId="5440" priority="87">
      <formula>B93=""</formula>
    </cfRule>
  </conditionalFormatting>
  <conditionalFormatting sqref="C93">
    <cfRule type="expression" dxfId="5439" priority="86">
      <formula>B93=""</formula>
    </cfRule>
  </conditionalFormatting>
  <conditionalFormatting sqref="C74:C93">
    <cfRule type="expression" dxfId="5438" priority="85">
      <formula>B74=""</formula>
    </cfRule>
  </conditionalFormatting>
  <conditionalFormatting sqref="C75 C77 C79 C81 C83 C85 C87 C89 C91 C93">
    <cfRule type="expression" dxfId="5437" priority="84">
      <formula>B75=""</formula>
    </cfRule>
  </conditionalFormatting>
  <conditionalFormatting sqref="C76:C86">
    <cfRule type="expression" dxfId="5436" priority="83">
      <formula>B76=""</formula>
    </cfRule>
  </conditionalFormatting>
  <conditionalFormatting sqref="C87">
    <cfRule type="expression" dxfId="5435" priority="82">
      <formula>B87=""</formula>
    </cfRule>
  </conditionalFormatting>
  <conditionalFormatting sqref="C88">
    <cfRule type="expression" dxfId="5434" priority="81">
      <formula>B88=""</formula>
    </cfRule>
  </conditionalFormatting>
  <conditionalFormatting sqref="C89">
    <cfRule type="expression" dxfId="5433" priority="80">
      <formula>B89=""</formula>
    </cfRule>
  </conditionalFormatting>
  <conditionalFormatting sqref="C90">
    <cfRule type="expression" dxfId="5432" priority="79">
      <formula>B90=""</formula>
    </cfRule>
  </conditionalFormatting>
  <conditionalFormatting sqref="C91">
    <cfRule type="expression" dxfId="5431" priority="78">
      <formula>B91=""</formula>
    </cfRule>
  </conditionalFormatting>
  <conditionalFormatting sqref="C92">
    <cfRule type="expression" dxfId="5430" priority="77">
      <formula>B92=""</formula>
    </cfRule>
  </conditionalFormatting>
  <conditionalFormatting sqref="C93">
    <cfRule type="expression" dxfId="5429" priority="76">
      <formula>B93=""</formula>
    </cfRule>
  </conditionalFormatting>
  <conditionalFormatting sqref="C74:C93">
    <cfRule type="expression" dxfId="5428" priority="75">
      <formula>B74=""</formula>
    </cfRule>
  </conditionalFormatting>
  <conditionalFormatting sqref="C75 C77 C79 C81 C83 C85 C87 C89 C91 C93">
    <cfRule type="expression" dxfId="5427" priority="74">
      <formula>B75=""</formula>
    </cfRule>
  </conditionalFormatting>
  <conditionalFormatting sqref="C76:C86">
    <cfRule type="expression" dxfId="5426" priority="73">
      <formula>B76=""</formula>
    </cfRule>
  </conditionalFormatting>
  <conditionalFormatting sqref="C87">
    <cfRule type="expression" dxfId="5425" priority="72">
      <formula>B87=""</formula>
    </cfRule>
  </conditionalFormatting>
  <conditionalFormatting sqref="C88">
    <cfRule type="expression" dxfId="5424" priority="71">
      <formula>B88=""</formula>
    </cfRule>
  </conditionalFormatting>
  <conditionalFormatting sqref="C89">
    <cfRule type="expression" dxfId="5423" priority="70">
      <formula>B89=""</formula>
    </cfRule>
  </conditionalFormatting>
  <conditionalFormatting sqref="C90">
    <cfRule type="expression" dxfId="5422" priority="69">
      <formula>B90=""</formula>
    </cfRule>
  </conditionalFormatting>
  <conditionalFormatting sqref="C91">
    <cfRule type="expression" dxfId="5421" priority="68">
      <formula>B91=""</formula>
    </cfRule>
  </conditionalFormatting>
  <conditionalFormatting sqref="C92">
    <cfRule type="expression" dxfId="5420" priority="67">
      <formula>B92=""</formula>
    </cfRule>
  </conditionalFormatting>
  <conditionalFormatting sqref="C93">
    <cfRule type="expression" dxfId="5419" priority="66">
      <formula>B93=""</formula>
    </cfRule>
  </conditionalFormatting>
  <conditionalFormatting sqref="C93">
    <cfRule type="expression" dxfId="5418" priority="65">
      <formula>B93=""</formula>
    </cfRule>
  </conditionalFormatting>
  <conditionalFormatting sqref="C74:C93">
    <cfRule type="expression" dxfId="5417" priority="64">
      <formula>B74=""</formula>
    </cfRule>
  </conditionalFormatting>
  <conditionalFormatting sqref="C75 C77 C79 C81 C83 C85 C87 C89 C91 C93">
    <cfRule type="expression" dxfId="5416" priority="63">
      <formula>B75=""</formula>
    </cfRule>
  </conditionalFormatting>
  <conditionalFormatting sqref="C76:C86">
    <cfRule type="expression" dxfId="5415" priority="62">
      <formula>B76=""</formula>
    </cfRule>
  </conditionalFormatting>
  <conditionalFormatting sqref="C87">
    <cfRule type="expression" dxfId="5414" priority="61">
      <formula>B87=""</formula>
    </cfRule>
  </conditionalFormatting>
  <conditionalFormatting sqref="C88">
    <cfRule type="expression" dxfId="5413" priority="60">
      <formula>B88=""</formula>
    </cfRule>
  </conditionalFormatting>
  <conditionalFormatting sqref="C89">
    <cfRule type="expression" dxfId="5412" priority="59">
      <formula>B89=""</formula>
    </cfRule>
  </conditionalFormatting>
  <conditionalFormatting sqref="C90">
    <cfRule type="expression" dxfId="5411" priority="58">
      <formula>B90=""</formula>
    </cfRule>
  </conditionalFormatting>
  <conditionalFormatting sqref="C91">
    <cfRule type="expression" dxfId="5410" priority="57">
      <formula>B91=""</formula>
    </cfRule>
  </conditionalFormatting>
  <conditionalFormatting sqref="C92">
    <cfRule type="expression" dxfId="5409" priority="56">
      <formula>B92=""</formula>
    </cfRule>
  </conditionalFormatting>
  <conditionalFormatting sqref="C93">
    <cfRule type="expression" dxfId="5408" priority="55">
      <formula>B93=""</formula>
    </cfRule>
  </conditionalFormatting>
  <conditionalFormatting sqref="C74:C93">
    <cfRule type="expression" dxfId="5407" priority="54">
      <formula>B74=""</formula>
    </cfRule>
  </conditionalFormatting>
  <conditionalFormatting sqref="C75 C77 C79 C81 C83 C85 C87 C89 C91 C93">
    <cfRule type="expression" dxfId="5406" priority="53">
      <formula>B75=""</formula>
    </cfRule>
  </conditionalFormatting>
  <conditionalFormatting sqref="C76:C86">
    <cfRule type="expression" dxfId="5405" priority="52">
      <formula>B76=""</formula>
    </cfRule>
  </conditionalFormatting>
  <conditionalFormatting sqref="C87">
    <cfRule type="expression" dxfId="5404" priority="51">
      <formula>B87=""</formula>
    </cfRule>
  </conditionalFormatting>
  <conditionalFormatting sqref="C88">
    <cfRule type="expression" dxfId="5403" priority="50">
      <formula>B88=""</formula>
    </cfRule>
  </conditionalFormatting>
  <conditionalFormatting sqref="C89">
    <cfRule type="expression" dxfId="5402" priority="49">
      <formula>B89=""</formula>
    </cfRule>
  </conditionalFormatting>
  <conditionalFormatting sqref="C90">
    <cfRule type="expression" dxfId="5401" priority="48">
      <formula>B90=""</formula>
    </cfRule>
  </conditionalFormatting>
  <conditionalFormatting sqref="C91">
    <cfRule type="expression" dxfId="5400" priority="47">
      <formula>B91=""</formula>
    </cfRule>
  </conditionalFormatting>
  <conditionalFormatting sqref="C92">
    <cfRule type="expression" dxfId="5399" priority="46">
      <formula>B92=""</formula>
    </cfRule>
  </conditionalFormatting>
  <conditionalFormatting sqref="C93">
    <cfRule type="expression" dxfId="5398" priority="45">
      <formula>B93=""</formula>
    </cfRule>
  </conditionalFormatting>
  <conditionalFormatting sqref="C74:C93">
    <cfRule type="expression" dxfId="5397" priority="44">
      <formula>B74=""</formula>
    </cfRule>
  </conditionalFormatting>
  <conditionalFormatting sqref="C75 C77 C79 C81 C83 C85 C87 C89 C91 C93">
    <cfRule type="expression" dxfId="5396" priority="43">
      <formula>B75=""</formula>
    </cfRule>
  </conditionalFormatting>
  <conditionalFormatting sqref="C76:C86">
    <cfRule type="expression" dxfId="5395" priority="42">
      <formula>B76=""</formula>
    </cfRule>
  </conditionalFormatting>
  <conditionalFormatting sqref="C87">
    <cfRule type="expression" dxfId="5394" priority="41">
      <formula>B87=""</formula>
    </cfRule>
  </conditionalFormatting>
  <conditionalFormatting sqref="C88">
    <cfRule type="expression" dxfId="5393" priority="40">
      <formula>B88=""</formula>
    </cfRule>
  </conditionalFormatting>
  <conditionalFormatting sqref="C89">
    <cfRule type="expression" dxfId="5392" priority="39">
      <formula>B89=""</formula>
    </cfRule>
  </conditionalFormatting>
  <conditionalFormatting sqref="C90">
    <cfRule type="expression" dxfId="5391" priority="38">
      <formula>B90=""</formula>
    </cfRule>
  </conditionalFormatting>
  <conditionalFormatting sqref="C91">
    <cfRule type="expression" dxfId="5390" priority="37">
      <formula>B91=""</formula>
    </cfRule>
  </conditionalFormatting>
  <conditionalFormatting sqref="C92">
    <cfRule type="expression" dxfId="5389" priority="36">
      <formula>B92=""</formula>
    </cfRule>
  </conditionalFormatting>
  <conditionalFormatting sqref="C93">
    <cfRule type="expression" dxfId="5388" priority="35">
      <formula>B93=""</formula>
    </cfRule>
  </conditionalFormatting>
  <conditionalFormatting sqref="C74 C76 C78 C80 C82 C84 C86 C88 C90 C92">
    <cfRule type="expression" dxfId="5387" priority="34">
      <formula>B74=""</formula>
    </cfRule>
  </conditionalFormatting>
  <conditionalFormatting sqref="C75 C77 C79 C81 C83 C85 C87 C89 C91 C93">
    <cfRule type="expression" dxfId="5386" priority="33">
      <formula>B75=""</formula>
    </cfRule>
  </conditionalFormatting>
  <conditionalFormatting sqref="C76:C86">
    <cfRule type="expression" dxfId="5385" priority="32">
      <formula>B76=""</formula>
    </cfRule>
  </conditionalFormatting>
  <conditionalFormatting sqref="C87">
    <cfRule type="expression" dxfId="5384" priority="31">
      <formula>B87=""</formula>
    </cfRule>
  </conditionalFormatting>
  <conditionalFormatting sqref="C88">
    <cfRule type="expression" dxfId="5383" priority="30">
      <formula>B88=""</formula>
    </cfRule>
  </conditionalFormatting>
  <conditionalFormatting sqref="C89">
    <cfRule type="expression" dxfId="5382" priority="29">
      <formula>B89=""</formula>
    </cfRule>
  </conditionalFormatting>
  <conditionalFormatting sqref="C90">
    <cfRule type="expression" dxfId="5381" priority="28">
      <formula>B90=""</formula>
    </cfRule>
  </conditionalFormatting>
  <conditionalFormatting sqref="C91">
    <cfRule type="expression" dxfId="5380" priority="27">
      <formula>B91=""</formula>
    </cfRule>
  </conditionalFormatting>
  <conditionalFormatting sqref="C92">
    <cfRule type="expression" dxfId="5379" priority="26">
      <formula>B92=""</formula>
    </cfRule>
  </conditionalFormatting>
  <conditionalFormatting sqref="C93">
    <cfRule type="expression" dxfId="5378" priority="25">
      <formula>B93=""</formula>
    </cfRule>
  </conditionalFormatting>
  <conditionalFormatting sqref="B8:B27">
    <cfRule type="containsBlanks" dxfId="5377" priority="24">
      <formula>LEN(TRIM(B8))=0</formula>
    </cfRule>
  </conditionalFormatting>
  <conditionalFormatting sqref="C8:C27">
    <cfRule type="expression" dxfId="5376" priority="23">
      <formula>B8=""</formula>
    </cfRule>
  </conditionalFormatting>
  <conditionalFormatting sqref="C9 C11 C13 C15 C17 C19 C21 C23 C25 C27">
    <cfRule type="expression" dxfId="5375" priority="22">
      <formula>B9=""</formula>
    </cfRule>
  </conditionalFormatting>
  <conditionalFormatting sqref="C8:C27">
    <cfRule type="expression" dxfId="5374" priority="21">
      <formula>B8=""</formula>
    </cfRule>
  </conditionalFormatting>
  <conditionalFormatting sqref="C9 C11 C13 C15 C17 C19 C21 C23 C25 C27">
    <cfRule type="expression" dxfId="5373" priority="20">
      <formula>B9=""</formula>
    </cfRule>
  </conditionalFormatting>
  <conditionalFormatting sqref="C8 C10 C12 C14 C16 C18 C20 C22 C24 C26">
    <cfRule type="expression" dxfId="5372" priority="19">
      <formula>B8=""</formula>
    </cfRule>
  </conditionalFormatting>
  <conditionalFormatting sqref="C9 C11 C13 C15 C17 C19 C21 C23 C25 C27">
    <cfRule type="expression" dxfId="5371" priority="18">
      <formula>B9=""</formula>
    </cfRule>
  </conditionalFormatting>
  <conditionalFormatting sqref="C8:C27">
    <cfRule type="expression" dxfId="5370" priority="17">
      <formula>B8=""</formula>
    </cfRule>
  </conditionalFormatting>
  <conditionalFormatting sqref="C9 C11 C13 C15 C17 C19 C21 C23 C25 C27">
    <cfRule type="expression" dxfId="5369" priority="16">
      <formula>B9=""</formula>
    </cfRule>
  </conditionalFormatting>
  <conditionalFormatting sqref="C8:C27">
    <cfRule type="expression" dxfId="5368" priority="15">
      <formula>B8=""</formula>
    </cfRule>
  </conditionalFormatting>
  <conditionalFormatting sqref="C9 C11 C13 C15 C17 C19 C21 C23 C25 C27">
    <cfRule type="expression" dxfId="5367" priority="14">
      <formula>B9=""</formula>
    </cfRule>
  </conditionalFormatting>
  <conditionalFormatting sqref="C8 C10 C12 C14 C16 C18 C20 C22 C24 C26">
    <cfRule type="expression" dxfId="5366" priority="13">
      <formula>B8=""</formula>
    </cfRule>
  </conditionalFormatting>
  <conditionalFormatting sqref="C9 C11 C13 C15 C17 C19 C21 C23 C25 C27">
    <cfRule type="expression" dxfId="5365" priority="12">
      <formula>B9=""</formula>
    </cfRule>
  </conditionalFormatting>
  <conditionalFormatting sqref="C8:C27">
    <cfRule type="expression" dxfId="5364" priority="11">
      <formula>B8=""</formula>
    </cfRule>
  </conditionalFormatting>
  <conditionalFormatting sqref="C9 C11 C13 C15 C17 C19 C21 C23 C25 C27">
    <cfRule type="expression" dxfId="5363" priority="10">
      <formula>B9=""</formula>
    </cfRule>
  </conditionalFormatting>
  <conditionalFormatting sqref="C9 C11 C13 C15 C17 C19 C21 C23 C25 C27">
    <cfRule type="expression" dxfId="5362" priority="9">
      <formula>B9=""</formula>
    </cfRule>
  </conditionalFormatting>
  <conditionalFormatting sqref="C8 C10 C12 C14 C16 C18 C20 C22 C24 C26">
    <cfRule type="expression" dxfId="5361" priority="8">
      <formula>B8=""</formula>
    </cfRule>
  </conditionalFormatting>
  <conditionalFormatting sqref="C9 C11 C13 C15 C17 C19 C21 C23 C25 C27">
    <cfRule type="expression" dxfId="5360" priority="7">
      <formula>B9=""</formula>
    </cfRule>
  </conditionalFormatting>
  <conditionalFormatting sqref="C8:C27">
    <cfRule type="expression" dxfId="5359" priority="6">
      <formula>B8=""</formula>
    </cfRule>
  </conditionalFormatting>
  <conditionalFormatting sqref="C9 C11 C13 C15 C17 C19 C21 C23 C25 C27">
    <cfRule type="expression" dxfId="5358" priority="5">
      <formula>B9=""</formula>
    </cfRule>
  </conditionalFormatting>
  <conditionalFormatting sqref="C8:C27">
    <cfRule type="expression" dxfId="5357" priority="4">
      <formula>B8=""</formula>
    </cfRule>
  </conditionalFormatting>
  <conditionalFormatting sqref="C9 C11 C13 C15 C17 C19 C21 C23 C25 C27">
    <cfRule type="expression" dxfId="5356" priority="3">
      <formula>B9=""</formula>
    </cfRule>
  </conditionalFormatting>
  <conditionalFormatting sqref="C8:C27">
    <cfRule type="expression" dxfId="5355" priority="2">
      <formula>B8=""</formula>
    </cfRule>
  </conditionalFormatting>
  <conditionalFormatting sqref="C9 C11 C13 C15 C17 C19 C21 C23 C25 C27">
    <cfRule type="expression" dxfId="535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DATA!B1014</f>
        <v>Mechanical</v>
      </c>
    </row>
    <row r="2" spans="2:8" ht="25.8">
      <c r="C2" s="232" t="str">
        <f>'All Hours'!D1</f>
        <v>PLEASE INSERT TENDERER NAME ON INPUT DATA SHEET</v>
      </c>
      <c r="E2" s="920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DATA!B1014</f>
        <v>Mechanical</v>
      </c>
      <c r="C6" s="26"/>
      <c r="D6" s="211" t="s">
        <v>6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3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9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/>
      </c>
      <c r="C76" s="59" t="str">
        <f t="shared" si="28"/>
        <v/>
      </c>
      <c r="D76" s="5"/>
      <c r="E76" s="899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18" t="str">
        <f t="shared" ref="B77:C77" si="30">B11</f>
        <v/>
      </c>
      <c r="C77" s="59" t="str">
        <f t="shared" si="30"/>
        <v/>
      </c>
      <c r="D77" s="5"/>
      <c r="E77" s="899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9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9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9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9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9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9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900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353" priority="743">
      <formula>LEN(TRIM(B8))=0</formula>
    </cfRule>
  </conditionalFormatting>
  <conditionalFormatting sqref="C8:C27">
    <cfRule type="expression" dxfId="5352" priority="742">
      <formula>B8=""</formula>
    </cfRule>
  </conditionalFormatting>
  <conditionalFormatting sqref="C9 C11 C13 C15 C17 C19 C21 C23 C25 C27">
    <cfRule type="expression" dxfId="5351" priority="741">
      <formula>B9=""</formula>
    </cfRule>
  </conditionalFormatting>
  <conditionalFormatting sqref="C10:C20">
    <cfRule type="expression" dxfId="5350" priority="740">
      <formula>B10=""</formula>
    </cfRule>
  </conditionalFormatting>
  <conditionalFormatting sqref="C21">
    <cfRule type="expression" dxfId="5349" priority="739">
      <formula>B21=""</formula>
    </cfRule>
  </conditionalFormatting>
  <conditionalFormatting sqref="C22">
    <cfRule type="expression" dxfId="5348" priority="738">
      <formula>B22=""</formula>
    </cfRule>
  </conditionalFormatting>
  <conditionalFormatting sqref="C23">
    <cfRule type="expression" dxfId="5347" priority="737">
      <formula>B23=""</formula>
    </cfRule>
  </conditionalFormatting>
  <conditionalFormatting sqref="C24">
    <cfRule type="expression" dxfId="5346" priority="736">
      <formula>B24=""</formula>
    </cfRule>
  </conditionalFormatting>
  <conditionalFormatting sqref="C25">
    <cfRule type="expression" dxfId="5345" priority="735">
      <formula>B25=""</formula>
    </cfRule>
  </conditionalFormatting>
  <conditionalFormatting sqref="C26">
    <cfRule type="expression" dxfId="5344" priority="734">
      <formula>B26=""</formula>
    </cfRule>
  </conditionalFormatting>
  <conditionalFormatting sqref="C27">
    <cfRule type="expression" dxfId="5343" priority="733">
      <formula>B27=""</formula>
    </cfRule>
  </conditionalFormatting>
  <conditionalFormatting sqref="C28">
    <cfRule type="expression" dxfId="5342" priority="732">
      <formula>B28=""</formula>
    </cfRule>
  </conditionalFormatting>
  <conditionalFormatting sqref="D8 D10 D12 D14 D16 D18 D20 D22 D24 D26">
    <cfRule type="expression" dxfId="5341" priority="731">
      <formula>B8=""</formula>
    </cfRule>
  </conditionalFormatting>
  <conditionalFormatting sqref="D9 D11 D13 D15 D17 D19 D21 D23 D25 D27">
    <cfRule type="expression" dxfId="5340" priority="730">
      <formula>B9=""</formula>
    </cfRule>
  </conditionalFormatting>
  <conditionalFormatting sqref="D10:D20">
    <cfRule type="expression" dxfId="5339" priority="729">
      <formula>B10=""</formula>
    </cfRule>
  </conditionalFormatting>
  <conditionalFormatting sqref="D21">
    <cfRule type="expression" dxfId="5338" priority="728">
      <formula>B21=""</formula>
    </cfRule>
  </conditionalFormatting>
  <conditionalFormatting sqref="D22">
    <cfRule type="expression" dxfId="5337" priority="727">
      <formula>B22=""</formula>
    </cfRule>
  </conditionalFormatting>
  <conditionalFormatting sqref="D23">
    <cfRule type="expression" dxfId="5336" priority="726">
      <formula>B23=""</formula>
    </cfRule>
  </conditionalFormatting>
  <conditionalFormatting sqref="D24">
    <cfRule type="expression" dxfId="5335" priority="725">
      <formula>B24=""</formula>
    </cfRule>
  </conditionalFormatting>
  <conditionalFormatting sqref="D25">
    <cfRule type="expression" dxfId="5334" priority="724">
      <formula>B25=""</formula>
    </cfRule>
  </conditionalFormatting>
  <conditionalFormatting sqref="D26">
    <cfRule type="expression" dxfId="5333" priority="723">
      <formula>B26=""</formula>
    </cfRule>
  </conditionalFormatting>
  <conditionalFormatting sqref="D27">
    <cfRule type="expression" dxfId="5332" priority="722">
      <formula>B27=""</formula>
    </cfRule>
  </conditionalFormatting>
  <conditionalFormatting sqref="D28">
    <cfRule type="expression" dxfId="5331" priority="721">
      <formula>B28=""</formula>
    </cfRule>
  </conditionalFormatting>
  <conditionalFormatting sqref="E8 E10 E12 E14 E16 E18 E20 E22 E24 E26">
    <cfRule type="expression" dxfId="5330" priority="720">
      <formula>B8=""</formula>
    </cfRule>
  </conditionalFormatting>
  <conditionalFormatting sqref="E9 E11 E13 E15 E17 E19 E21 E23 E25 E27">
    <cfRule type="expression" dxfId="5329" priority="719">
      <formula>B9=""</formula>
    </cfRule>
  </conditionalFormatting>
  <conditionalFormatting sqref="E10:E20">
    <cfRule type="expression" dxfId="5328" priority="718">
      <formula>B10=""</formula>
    </cfRule>
  </conditionalFormatting>
  <conditionalFormatting sqref="E21">
    <cfRule type="expression" dxfId="5327" priority="717">
      <formula>B21=""</formula>
    </cfRule>
  </conditionalFormatting>
  <conditionalFormatting sqref="E22">
    <cfRule type="expression" dxfId="5326" priority="716">
      <formula>B22=""</formula>
    </cfRule>
  </conditionalFormatting>
  <conditionalFormatting sqref="E23">
    <cfRule type="expression" dxfId="5325" priority="715">
      <formula>B23=""</formula>
    </cfRule>
  </conditionalFormatting>
  <conditionalFormatting sqref="E24">
    <cfRule type="expression" dxfId="5324" priority="714">
      <formula>B24=""</formula>
    </cfRule>
  </conditionalFormatting>
  <conditionalFormatting sqref="E25">
    <cfRule type="expression" dxfId="5323" priority="713">
      <formula>B25=""</formula>
    </cfRule>
  </conditionalFormatting>
  <conditionalFormatting sqref="E26">
    <cfRule type="expression" dxfId="5322" priority="712">
      <formula>B26=""</formula>
    </cfRule>
  </conditionalFormatting>
  <conditionalFormatting sqref="E27">
    <cfRule type="expression" dxfId="5321" priority="711">
      <formula>B27=""</formula>
    </cfRule>
  </conditionalFormatting>
  <conditionalFormatting sqref="E28">
    <cfRule type="expression" dxfId="5320" priority="710">
      <formula>B28=""</formula>
    </cfRule>
  </conditionalFormatting>
  <conditionalFormatting sqref="F8 F10 F12 F14 F16 F18 F20 F22 F24 F26">
    <cfRule type="expression" dxfId="5319" priority="709">
      <formula>B8=""</formula>
    </cfRule>
  </conditionalFormatting>
  <conditionalFormatting sqref="F9 F11 F13 F15 F17 F19 F21 F23 F25 F27">
    <cfRule type="expression" dxfId="5318" priority="708">
      <formula>B9=""</formula>
    </cfRule>
  </conditionalFormatting>
  <conditionalFormatting sqref="F10:F20">
    <cfRule type="expression" dxfId="5317" priority="707">
      <formula>B10=""</formula>
    </cfRule>
  </conditionalFormatting>
  <conditionalFormatting sqref="F21">
    <cfRule type="expression" dxfId="5316" priority="706">
      <formula>B21=""</formula>
    </cfRule>
  </conditionalFormatting>
  <conditionalFormatting sqref="F22">
    <cfRule type="expression" dxfId="5315" priority="705">
      <formula>B22=""</formula>
    </cfRule>
  </conditionalFormatting>
  <conditionalFormatting sqref="F23">
    <cfRule type="expression" dxfId="5314" priority="704">
      <formula>B23=""</formula>
    </cfRule>
  </conditionalFormatting>
  <conditionalFormatting sqref="F24">
    <cfRule type="expression" dxfId="5313" priority="703">
      <formula>B24=""</formula>
    </cfRule>
  </conditionalFormatting>
  <conditionalFormatting sqref="F25">
    <cfRule type="expression" dxfId="5312" priority="702">
      <formula>B25=""</formula>
    </cfRule>
  </conditionalFormatting>
  <conditionalFormatting sqref="F26">
    <cfRule type="expression" dxfId="5311" priority="701">
      <formula>B26=""</formula>
    </cfRule>
  </conditionalFormatting>
  <conditionalFormatting sqref="F27">
    <cfRule type="expression" dxfId="5310" priority="700">
      <formula>B27=""</formula>
    </cfRule>
  </conditionalFormatting>
  <conditionalFormatting sqref="F28">
    <cfRule type="expression" dxfId="5309" priority="699">
      <formula>B28=""</formula>
    </cfRule>
  </conditionalFormatting>
  <conditionalFormatting sqref="E9 E11 E13 E15 E17 E19 E21 E23 E25 E27">
    <cfRule type="expression" dxfId="5308" priority="698">
      <formula>B9=""</formula>
    </cfRule>
  </conditionalFormatting>
  <conditionalFormatting sqref="E10:E20">
    <cfRule type="expression" dxfId="5307" priority="697">
      <formula>B10=""</formula>
    </cfRule>
  </conditionalFormatting>
  <conditionalFormatting sqref="E21">
    <cfRule type="expression" dxfId="5306" priority="696">
      <formula>B21=""</formula>
    </cfRule>
  </conditionalFormatting>
  <conditionalFormatting sqref="E22">
    <cfRule type="expression" dxfId="5305" priority="695">
      <formula>B22=""</formula>
    </cfRule>
  </conditionalFormatting>
  <conditionalFormatting sqref="E23">
    <cfRule type="expression" dxfId="5304" priority="694">
      <formula>B23=""</formula>
    </cfRule>
  </conditionalFormatting>
  <conditionalFormatting sqref="E24">
    <cfRule type="expression" dxfId="5303" priority="693">
      <formula>B24=""</formula>
    </cfRule>
  </conditionalFormatting>
  <conditionalFormatting sqref="E25">
    <cfRule type="expression" dxfId="5302" priority="692">
      <formula>B25=""</formula>
    </cfRule>
  </conditionalFormatting>
  <conditionalFormatting sqref="E26">
    <cfRule type="expression" dxfId="5301" priority="691">
      <formula>B26=""</formula>
    </cfRule>
  </conditionalFormatting>
  <conditionalFormatting sqref="E27">
    <cfRule type="expression" dxfId="5300" priority="690">
      <formula>B27=""</formula>
    </cfRule>
  </conditionalFormatting>
  <conditionalFormatting sqref="E28">
    <cfRule type="expression" dxfId="5299" priority="689">
      <formula>B28=""</formula>
    </cfRule>
  </conditionalFormatting>
  <conditionalFormatting sqref="G8 G10 G12 G14 G16 G18 G20 G22 G24 G26">
    <cfRule type="expression" dxfId="5298" priority="688">
      <formula>B8=""</formula>
    </cfRule>
  </conditionalFormatting>
  <conditionalFormatting sqref="G9 G11 G13 G15 G17 G19 G21 G23 G25 G27">
    <cfRule type="expression" dxfId="5297" priority="687">
      <formula>B9=""</formula>
    </cfRule>
  </conditionalFormatting>
  <conditionalFormatting sqref="G10:G20">
    <cfRule type="expression" dxfId="5296" priority="686">
      <formula>B10=""</formula>
    </cfRule>
  </conditionalFormatting>
  <conditionalFormatting sqref="G21">
    <cfRule type="expression" dxfId="5295" priority="685">
      <formula>B21=""</formula>
    </cfRule>
  </conditionalFormatting>
  <conditionalFormatting sqref="G22">
    <cfRule type="expression" dxfId="5294" priority="684">
      <formula>B22=""</formula>
    </cfRule>
  </conditionalFormatting>
  <conditionalFormatting sqref="G23">
    <cfRule type="expression" dxfId="5293" priority="683">
      <formula>B23=""</formula>
    </cfRule>
  </conditionalFormatting>
  <conditionalFormatting sqref="G24">
    <cfRule type="expression" dxfId="5292" priority="682">
      <formula>B24=""</formula>
    </cfRule>
  </conditionalFormatting>
  <conditionalFormatting sqref="G25">
    <cfRule type="expression" dxfId="5291" priority="681">
      <formula>B25=""</formula>
    </cfRule>
  </conditionalFormatting>
  <conditionalFormatting sqref="G26">
    <cfRule type="expression" dxfId="5290" priority="680">
      <formula>B26=""</formula>
    </cfRule>
  </conditionalFormatting>
  <conditionalFormatting sqref="G27">
    <cfRule type="expression" dxfId="5289" priority="679">
      <formula>B27=""</formula>
    </cfRule>
  </conditionalFormatting>
  <conditionalFormatting sqref="G28">
    <cfRule type="expression" dxfId="5288" priority="678">
      <formula>B28=""</formula>
    </cfRule>
  </conditionalFormatting>
  <conditionalFormatting sqref="H8 H10 H12 H14 H16 H18 H20 H22 H24 H26">
    <cfRule type="expression" dxfId="5287" priority="677">
      <formula>B8=""</formula>
    </cfRule>
  </conditionalFormatting>
  <conditionalFormatting sqref="H9 H11 H13 H15 H17 H19 H21 H23 H25 H27">
    <cfRule type="expression" dxfId="5286" priority="676">
      <formula>B9=""</formula>
    </cfRule>
  </conditionalFormatting>
  <conditionalFormatting sqref="H10:H20">
    <cfRule type="expression" dxfId="5285" priority="675">
      <formula>B10=""</formula>
    </cfRule>
  </conditionalFormatting>
  <conditionalFormatting sqref="H21">
    <cfRule type="expression" dxfId="5284" priority="674">
      <formula>B21=""</formula>
    </cfRule>
  </conditionalFormatting>
  <conditionalFormatting sqref="H22">
    <cfRule type="expression" dxfId="5283" priority="673">
      <formula>B22=""</formula>
    </cfRule>
  </conditionalFormatting>
  <conditionalFormatting sqref="H23">
    <cfRule type="expression" dxfId="5282" priority="672">
      <formula>B23=""</formula>
    </cfRule>
  </conditionalFormatting>
  <conditionalFormatting sqref="H24">
    <cfRule type="expression" dxfId="5281" priority="671">
      <formula>B24=""</formula>
    </cfRule>
  </conditionalFormatting>
  <conditionalFormatting sqref="H25">
    <cfRule type="expression" dxfId="5280" priority="670">
      <formula>B25=""</formula>
    </cfRule>
  </conditionalFormatting>
  <conditionalFormatting sqref="H26">
    <cfRule type="expression" dxfId="5279" priority="669">
      <formula>B26=""</formula>
    </cfRule>
  </conditionalFormatting>
  <conditionalFormatting sqref="H27">
    <cfRule type="expression" dxfId="5278" priority="668">
      <formula>B27=""</formula>
    </cfRule>
  </conditionalFormatting>
  <conditionalFormatting sqref="H28">
    <cfRule type="expression" dxfId="5277" priority="667">
      <formula>B28=""</formula>
    </cfRule>
  </conditionalFormatting>
  <conditionalFormatting sqref="C30:C50">
    <cfRule type="expression" dxfId="5276" priority="666">
      <formula>B30=""</formula>
    </cfRule>
  </conditionalFormatting>
  <conditionalFormatting sqref="C31 C33 C35 C37 C39 C41 C43 C45 C47 C49">
    <cfRule type="expression" dxfId="5275" priority="665">
      <formula>B31=""</formula>
    </cfRule>
  </conditionalFormatting>
  <conditionalFormatting sqref="C32:C42">
    <cfRule type="expression" dxfId="5274" priority="664">
      <formula>B32=""</formula>
    </cfRule>
  </conditionalFormatting>
  <conditionalFormatting sqref="C43">
    <cfRule type="expression" dxfId="5273" priority="663">
      <formula>B43=""</formula>
    </cfRule>
  </conditionalFormatting>
  <conditionalFormatting sqref="C44">
    <cfRule type="expression" dxfId="5272" priority="662">
      <formula>B44=""</formula>
    </cfRule>
  </conditionalFormatting>
  <conditionalFormatting sqref="C45">
    <cfRule type="expression" dxfId="5271" priority="661">
      <formula>B45=""</formula>
    </cfRule>
  </conditionalFormatting>
  <conditionalFormatting sqref="C46">
    <cfRule type="expression" dxfId="5270" priority="660">
      <formula>B46=""</formula>
    </cfRule>
  </conditionalFormatting>
  <conditionalFormatting sqref="C47">
    <cfRule type="expression" dxfId="5269" priority="659">
      <formula>B47=""</formula>
    </cfRule>
  </conditionalFormatting>
  <conditionalFormatting sqref="C48">
    <cfRule type="expression" dxfId="5268" priority="658">
      <formula>B48=""</formula>
    </cfRule>
  </conditionalFormatting>
  <conditionalFormatting sqref="C49">
    <cfRule type="expression" dxfId="5267" priority="657">
      <formula>B49=""</formula>
    </cfRule>
  </conditionalFormatting>
  <conditionalFormatting sqref="C50">
    <cfRule type="expression" dxfId="5266" priority="656">
      <formula>B50=""</formula>
    </cfRule>
  </conditionalFormatting>
  <conditionalFormatting sqref="D30 D32 D34 D36 D38 D40 D42 D44 D46 D48">
    <cfRule type="expression" dxfId="5265" priority="655">
      <formula>B30=""</formula>
    </cfRule>
  </conditionalFormatting>
  <conditionalFormatting sqref="D31 D33 D35 D37 D39 D41 D43 D45 D47 D49">
    <cfRule type="expression" dxfId="5264" priority="654">
      <formula>B31=""</formula>
    </cfRule>
  </conditionalFormatting>
  <conditionalFormatting sqref="D32:D42">
    <cfRule type="expression" dxfId="5263" priority="653">
      <formula>B32=""</formula>
    </cfRule>
  </conditionalFormatting>
  <conditionalFormatting sqref="D43">
    <cfRule type="expression" dxfId="5262" priority="652">
      <formula>B43=""</formula>
    </cfRule>
  </conditionalFormatting>
  <conditionalFormatting sqref="D44">
    <cfRule type="expression" dxfId="5261" priority="651">
      <formula>B44=""</formula>
    </cfRule>
  </conditionalFormatting>
  <conditionalFormatting sqref="D45">
    <cfRule type="expression" dxfId="5260" priority="650">
      <formula>B45=""</formula>
    </cfRule>
  </conditionalFormatting>
  <conditionalFormatting sqref="D46">
    <cfRule type="expression" dxfId="5259" priority="649">
      <formula>B46=""</formula>
    </cfRule>
  </conditionalFormatting>
  <conditionalFormatting sqref="D47">
    <cfRule type="expression" dxfId="5258" priority="648">
      <formula>B47=""</formula>
    </cfRule>
  </conditionalFormatting>
  <conditionalFormatting sqref="D48">
    <cfRule type="expression" dxfId="5257" priority="647">
      <formula>B48=""</formula>
    </cfRule>
  </conditionalFormatting>
  <conditionalFormatting sqref="D49">
    <cfRule type="expression" dxfId="5256" priority="646">
      <formula>B49=""</formula>
    </cfRule>
  </conditionalFormatting>
  <conditionalFormatting sqref="D50">
    <cfRule type="expression" dxfId="5255" priority="645">
      <formula>B50=""</formula>
    </cfRule>
  </conditionalFormatting>
  <conditionalFormatting sqref="E30 E32 E34 E36 E38 E40 E42 E44 E46 E48">
    <cfRule type="expression" dxfId="5254" priority="644">
      <formula>B30=""</formula>
    </cfRule>
  </conditionalFormatting>
  <conditionalFormatting sqref="E31 E33 E35 E37 E39 E41 E43 E45 E47 E49">
    <cfRule type="expression" dxfId="5253" priority="643">
      <formula>B31=""</formula>
    </cfRule>
  </conditionalFormatting>
  <conditionalFormatting sqref="E32:E42">
    <cfRule type="expression" dxfId="5252" priority="642">
      <formula>B32=""</formula>
    </cfRule>
  </conditionalFormatting>
  <conditionalFormatting sqref="E43">
    <cfRule type="expression" dxfId="5251" priority="641">
      <formula>B43=""</formula>
    </cfRule>
  </conditionalFormatting>
  <conditionalFormatting sqref="E44">
    <cfRule type="expression" dxfId="5250" priority="640">
      <formula>B44=""</formula>
    </cfRule>
  </conditionalFormatting>
  <conditionalFormatting sqref="E45">
    <cfRule type="expression" dxfId="5249" priority="639">
      <formula>B45=""</formula>
    </cfRule>
  </conditionalFormatting>
  <conditionalFormatting sqref="E46">
    <cfRule type="expression" dxfId="5248" priority="638">
      <formula>B46=""</formula>
    </cfRule>
  </conditionalFormatting>
  <conditionalFormatting sqref="E47">
    <cfRule type="expression" dxfId="5247" priority="637">
      <formula>B47=""</formula>
    </cfRule>
  </conditionalFormatting>
  <conditionalFormatting sqref="E48">
    <cfRule type="expression" dxfId="5246" priority="636">
      <formula>B48=""</formula>
    </cfRule>
  </conditionalFormatting>
  <conditionalFormatting sqref="E49">
    <cfRule type="expression" dxfId="5245" priority="635">
      <formula>B49=""</formula>
    </cfRule>
  </conditionalFormatting>
  <conditionalFormatting sqref="E50">
    <cfRule type="expression" dxfId="5244" priority="634">
      <formula>B50=""</formula>
    </cfRule>
  </conditionalFormatting>
  <conditionalFormatting sqref="F30 F32 F34 F36 F38 F40 F42 F44 F46 F48">
    <cfRule type="expression" dxfId="5243" priority="633">
      <formula>B30=""</formula>
    </cfRule>
  </conditionalFormatting>
  <conditionalFormatting sqref="F31 F33 F35 F37 F39 F41 F43 F45 F47 F49">
    <cfRule type="expression" dxfId="5242" priority="632">
      <formula>B31=""</formula>
    </cfRule>
  </conditionalFormatting>
  <conditionalFormatting sqref="F32:F42">
    <cfRule type="expression" dxfId="5241" priority="631">
      <formula>B32=""</formula>
    </cfRule>
  </conditionalFormatting>
  <conditionalFormatting sqref="F43">
    <cfRule type="expression" dxfId="5240" priority="630">
      <formula>B43=""</formula>
    </cfRule>
  </conditionalFormatting>
  <conditionalFormatting sqref="F44">
    <cfRule type="expression" dxfId="5239" priority="629">
      <formula>B44=""</formula>
    </cfRule>
  </conditionalFormatting>
  <conditionalFormatting sqref="F45">
    <cfRule type="expression" dxfId="5238" priority="628">
      <formula>B45=""</formula>
    </cfRule>
  </conditionalFormatting>
  <conditionalFormatting sqref="F46">
    <cfRule type="expression" dxfId="5237" priority="627">
      <formula>B46=""</formula>
    </cfRule>
  </conditionalFormatting>
  <conditionalFormatting sqref="F47">
    <cfRule type="expression" dxfId="5236" priority="626">
      <formula>B47=""</formula>
    </cfRule>
  </conditionalFormatting>
  <conditionalFormatting sqref="F48">
    <cfRule type="expression" dxfId="5235" priority="625">
      <formula>B48=""</formula>
    </cfRule>
  </conditionalFormatting>
  <conditionalFormatting sqref="F49">
    <cfRule type="expression" dxfId="5234" priority="624">
      <formula>B49=""</formula>
    </cfRule>
  </conditionalFormatting>
  <conditionalFormatting sqref="F50">
    <cfRule type="expression" dxfId="5233" priority="623">
      <formula>B50=""</formula>
    </cfRule>
  </conditionalFormatting>
  <conditionalFormatting sqref="E31 E33 E35 E37 E39 E41 E43 E45 E47 E49">
    <cfRule type="expression" dxfId="5232" priority="622">
      <formula>B31=""</formula>
    </cfRule>
  </conditionalFormatting>
  <conditionalFormatting sqref="E32:E42">
    <cfRule type="expression" dxfId="5231" priority="621">
      <formula>B32=""</formula>
    </cfRule>
  </conditionalFormatting>
  <conditionalFormatting sqref="E43">
    <cfRule type="expression" dxfId="5230" priority="620">
      <formula>B43=""</formula>
    </cfRule>
  </conditionalFormatting>
  <conditionalFormatting sqref="E44">
    <cfRule type="expression" dxfId="5229" priority="619">
      <formula>B44=""</formula>
    </cfRule>
  </conditionalFormatting>
  <conditionalFormatting sqref="E45">
    <cfRule type="expression" dxfId="5228" priority="618">
      <formula>B45=""</formula>
    </cfRule>
  </conditionalFormatting>
  <conditionalFormatting sqref="E46">
    <cfRule type="expression" dxfId="5227" priority="617">
      <formula>B46=""</formula>
    </cfRule>
  </conditionalFormatting>
  <conditionalFormatting sqref="E47">
    <cfRule type="expression" dxfId="5226" priority="616">
      <formula>B47=""</formula>
    </cfRule>
  </conditionalFormatting>
  <conditionalFormatting sqref="E48">
    <cfRule type="expression" dxfId="5225" priority="615">
      <formula>B48=""</formula>
    </cfRule>
  </conditionalFormatting>
  <conditionalFormatting sqref="E49">
    <cfRule type="expression" dxfId="5224" priority="614">
      <formula>B49=""</formula>
    </cfRule>
  </conditionalFormatting>
  <conditionalFormatting sqref="E50">
    <cfRule type="expression" dxfId="5223" priority="613">
      <formula>B50=""</formula>
    </cfRule>
  </conditionalFormatting>
  <conditionalFormatting sqref="G30 G32 G34 G36 G38 G40 G42 G44 G46 G48">
    <cfRule type="expression" dxfId="5222" priority="612">
      <formula>B30=""</formula>
    </cfRule>
  </conditionalFormatting>
  <conditionalFormatting sqref="G31 G33 G35 G37 G39 G41 G43 G45 G47 G49">
    <cfRule type="expression" dxfId="5221" priority="611">
      <formula>B31=""</formula>
    </cfRule>
  </conditionalFormatting>
  <conditionalFormatting sqref="G32:G42">
    <cfRule type="expression" dxfId="5220" priority="610">
      <formula>B32=""</formula>
    </cfRule>
  </conditionalFormatting>
  <conditionalFormatting sqref="G43">
    <cfRule type="expression" dxfId="5219" priority="609">
      <formula>B43=""</formula>
    </cfRule>
  </conditionalFormatting>
  <conditionalFormatting sqref="G44">
    <cfRule type="expression" dxfId="5218" priority="608">
      <formula>B44=""</formula>
    </cfRule>
  </conditionalFormatting>
  <conditionalFormatting sqref="G45">
    <cfRule type="expression" dxfId="5217" priority="607">
      <formula>B45=""</formula>
    </cfRule>
  </conditionalFormatting>
  <conditionalFormatting sqref="G46">
    <cfRule type="expression" dxfId="5216" priority="606">
      <formula>B46=""</formula>
    </cfRule>
  </conditionalFormatting>
  <conditionalFormatting sqref="G47">
    <cfRule type="expression" dxfId="5215" priority="605">
      <formula>B47=""</formula>
    </cfRule>
  </conditionalFormatting>
  <conditionalFormatting sqref="G48">
    <cfRule type="expression" dxfId="5214" priority="604">
      <formula>B48=""</formula>
    </cfRule>
  </conditionalFormatting>
  <conditionalFormatting sqref="G49">
    <cfRule type="expression" dxfId="5213" priority="603">
      <formula>B49=""</formula>
    </cfRule>
  </conditionalFormatting>
  <conditionalFormatting sqref="G50">
    <cfRule type="expression" dxfId="5212" priority="602">
      <formula>B50=""</formula>
    </cfRule>
  </conditionalFormatting>
  <conditionalFormatting sqref="H30 H32 H34 H36 H38 H40 H42 H44 H46 H48">
    <cfRule type="expression" dxfId="5211" priority="601">
      <formula>B30=""</formula>
    </cfRule>
  </conditionalFormatting>
  <conditionalFormatting sqref="H31 H33 H35 H37 H39 H41 H43 H45 H47 H49">
    <cfRule type="expression" dxfId="5210" priority="600">
      <formula>B31=""</formula>
    </cfRule>
  </conditionalFormatting>
  <conditionalFormatting sqref="H32:H42">
    <cfRule type="expression" dxfId="5209" priority="599">
      <formula>B32=""</formula>
    </cfRule>
  </conditionalFormatting>
  <conditionalFormatting sqref="H43">
    <cfRule type="expression" dxfId="5208" priority="598">
      <formula>B43=""</formula>
    </cfRule>
  </conditionalFormatting>
  <conditionalFormatting sqref="H44">
    <cfRule type="expression" dxfId="5207" priority="597">
      <formula>B44=""</formula>
    </cfRule>
  </conditionalFormatting>
  <conditionalFormatting sqref="H45">
    <cfRule type="expression" dxfId="5206" priority="596">
      <formula>B45=""</formula>
    </cfRule>
  </conditionalFormatting>
  <conditionalFormatting sqref="H46">
    <cfRule type="expression" dxfId="5205" priority="595">
      <formula>B46=""</formula>
    </cfRule>
  </conditionalFormatting>
  <conditionalFormatting sqref="H47">
    <cfRule type="expression" dxfId="5204" priority="594">
      <formula>B47=""</formula>
    </cfRule>
  </conditionalFormatting>
  <conditionalFormatting sqref="H48">
    <cfRule type="expression" dxfId="5203" priority="593">
      <formula>B48=""</formula>
    </cfRule>
  </conditionalFormatting>
  <conditionalFormatting sqref="H49">
    <cfRule type="expression" dxfId="5202" priority="592">
      <formula>B49=""</formula>
    </cfRule>
  </conditionalFormatting>
  <conditionalFormatting sqref="H50">
    <cfRule type="expression" dxfId="5201" priority="591">
      <formula>B50=""</formula>
    </cfRule>
  </conditionalFormatting>
  <conditionalFormatting sqref="C52:C72">
    <cfRule type="expression" dxfId="5200" priority="590">
      <formula>B52=""</formula>
    </cfRule>
  </conditionalFormatting>
  <conditionalFormatting sqref="C53 C55 C57 C59 C61 C63 C65 C67 C69 C71">
    <cfRule type="expression" dxfId="5199" priority="589">
      <formula>B53=""</formula>
    </cfRule>
  </conditionalFormatting>
  <conditionalFormatting sqref="C54:C64">
    <cfRule type="expression" dxfId="5198" priority="588">
      <formula>B54=""</formula>
    </cfRule>
  </conditionalFormatting>
  <conditionalFormatting sqref="C65">
    <cfRule type="expression" dxfId="5197" priority="587">
      <formula>B65=""</formula>
    </cfRule>
  </conditionalFormatting>
  <conditionalFormatting sqref="C66">
    <cfRule type="expression" dxfId="5196" priority="586">
      <formula>B66=""</formula>
    </cfRule>
  </conditionalFormatting>
  <conditionalFormatting sqref="C67">
    <cfRule type="expression" dxfId="5195" priority="585">
      <formula>B67=""</formula>
    </cfRule>
  </conditionalFormatting>
  <conditionalFormatting sqref="C68">
    <cfRule type="expression" dxfId="5194" priority="584">
      <formula>B68=""</formula>
    </cfRule>
  </conditionalFormatting>
  <conditionalFormatting sqref="C69">
    <cfRule type="expression" dxfId="5193" priority="583">
      <formula>B69=""</formula>
    </cfRule>
  </conditionalFormatting>
  <conditionalFormatting sqref="C70">
    <cfRule type="expression" dxfId="5192" priority="582">
      <formula>B70=""</formula>
    </cfRule>
  </conditionalFormatting>
  <conditionalFormatting sqref="C71">
    <cfRule type="expression" dxfId="5191" priority="581">
      <formula>B71=""</formula>
    </cfRule>
  </conditionalFormatting>
  <conditionalFormatting sqref="C72">
    <cfRule type="expression" dxfId="5190" priority="580">
      <formula>B72=""</formula>
    </cfRule>
  </conditionalFormatting>
  <conditionalFormatting sqref="D52 D54 D56 D58 D60 D62 D64 D66 D68 D70 D72">
    <cfRule type="expression" dxfId="5189" priority="579">
      <formula>B52=""</formula>
    </cfRule>
  </conditionalFormatting>
  <conditionalFormatting sqref="D53 D55 D57 D59 D61 D63 D65 D67 D69 D71">
    <cfRule type="expression" dxfId="5188" priority="578">
      <formula>B53=""</formula>
    </cfRule>
  </conditionalFormatting>
  <conditionalFormatting sqref="D54:D64">
    <cfRule type="expression" dxfId="5187" priority="577">
      <formula>B54=""</formula>
    </cfRule>
  </conditionalFormatting>
  <conditionalFormatting sqref="D65">
    <cfRule type="expression" dxfId="5186" priority="576">
      <formula>B65=""</formula>
    </cfRule>
  </conditionalFormatting>
  <conditionalFormatting sqref="D66">
    <cfRule type="expression" dxfId="5185" priority="575">
      <formula>B66=""</formula>
    </cfRule>
  </conditionalFormatting>
  <conditionalFormatting sqref="D67">
    <cfRule type="expression" dxfId="5184" priority="574">
      <formula>B67=""</formula>
    </cfRule>
  </conditionalFormatting>
  <conditionalFormatting sqref="D68">
    <cfRule type="expression" dxfId="5183" priority="573">
      <formula>B68=""</formula>
    </cfRule>
  </conditionalFormatting>
  <conditionalFormatting sqref="D69">
    <cfRule type="expression" dxfId="5182" priority="572">
      <formula>B69=""</formula>
    </cfRule>
  </conditionalFormatting>
  <conditionalFormatting sqref="D70">
    <cfRule type="expression" dxfId="5181" priority="571">
      <formula>B70=""</formula>
    </cfRule>
  </conditionalFormatting>
  <conditionalFormatting sqref="D71">
    <cfRule type="expression" dxfId="5180" priority="570">
      <formula>B71=""</formula>
    </cfRule>
  </conditionalFormatting>
  <conditionalFormatting sqref="D72">
    <cfRule type="expression" dxfId="5179" priority="569">
      <formula>B72=""</formula>
    </cfRule>
  </conditionalFormatting>
  <conditionalFormatting sqref="E52 E54 E56 E58 E60 E62 E64 E66 E68 E70 E72">
    <cfRule type="expression" dxfId="5178" priority="568">
      <formula>B52=""</formula>
    </cfRule>
  </conditionalFormatting>
  <conditionalFormatting sqref="E53 E55 E57 E59 E61 E63 E65 E67 E69 E71">
    <cfRule type="expression" dxfId="5177" priority="567">
      <formula>B53=""</formula>
    </cfRule>
  </conditionalFormatting>
  <conditionalFormatting sqref="E54:E64">
    <cfRule type="expression" dxfId="5176" priority="566">
      <formula>B54=""</formula>
    </cfRule>
  </conditionalFormatting>
  <conditionalFormatting sqref="E65">
    <cfRule type="expression" dxfId="5175" priority="565">
      <formula>B65=""</formula>
    </cfRule>
  </conditionalFormatting>
  <conditionalFormatting sqref="E66">
    <cfRule type="expression" dxfId="5174" priority="564">
      <formula>B66=""</formula>
    </cfRule>
  </conditionalFormatting>
  <conditionalFormatting sqref="E67">
    <cfRule type="expression" dxfId="5173" priority="563">
      <formula>B67=""</formula>
    </cfRule>
  </conditionalFormatting>
  <conditionalFormatting sqref="E68">
    <cfRule type="expression" dxfId="5172" priority="562">
      <formula>B68=""</formula>
    </cfRule>
  </conditionalFormatting>
  <conditionalFormatting sqref="E69">
    <cfRule type="expression" dxfId="5171" priority="561">
      <formula>B69=""</formula>
    </cfRule>
  </conditionalFormatting>
  <conditionalFormatting sqref="E70">
    <cfRule type="expression" dxfId="5170" priority="560">
      <formula>B70=""</formula>
    </cfRule>
  </conditionalFormatting>
  <conditionalFormatting sqref="E71">
    <cfRule type="expression" dxfId="5169" priority="559">
      <formula>B71=""</formula>
    </cfRule>
  </conditionalFormatting>
  <conditionalFormatting sqref="E72">
    <cfRule type="expression" dxfId="5168" priority="558">
      <formula>B72=""</formula>
    </cfRule>
  </conditionalFormatting>
  <conditionalFormatting sqref="F52 F54 F56 F58 F60 F62 F64 F66 F68 F70 F72">
    <cfRule type="expression" dxfId="5167" priority="557">
      <formula>B52=""</formula>
    </cfRule>
  </conditionalFormatting>
  <conditionalFormatting sqref="F53 F55 F57 F59 F61 F63 F65 F67 F69 F71">
    <cfRule type="expression" dxfId="5166" priority="556">
      <formula>B53=""</formula>
    </cfRule>
  </conditionalFormatting>
  <conditionalFormatting sqref="F54:F64">
    <cfRule type="expression" dxfId="5165" priority="555">
      <formula>B54=""</formula>
    </cfRule>
  </conditionalFormatting>
  <conditionalFormatting sqref="F65">
    <cfRule type="expression" dxfId="5164" priority="554">
      <formula>B65=""</formula>
    </cfRule>
  </conditionalFormatting>
  <conditionalFormatting sqref="F66">
    <cfRule type="expression" dxfId="5163" priority="553">
      <formula>B66=""</formula>
    </cfRule>
  </conditionalFormatting>
  <conditionalFormatting sqref="F67">
    <cfRule type="expression" dxfId="5162" priority="552">
      <formula>B67=""</formula>
    </cfRule>
  </conditionalFormatting>
  <conditionalFormatting sqref="F68">
    <cfRule type="expression" dxfId="5161" priority="551">
      <formula>B68=""</formula>
    </cfRule>
  </conditionalFormatting>
  <conditionalFormatting sqref="F69">
    <cfRule type="expression" dxfId="5160" priority="550">
      <formula>B69=""</formula>
    </cfRule>
  </conditionalFormatting>
  <conditionalFormatting sqref="F70">
    <cfRule type="expression" dxfId="5159" priority="549">
      <formula>B70=""</formula>
    </cfRule>
  </conditionalFormatting>
  <conditionalFormatting sqref="F71">
    <cfRule type="expression" dxfId="5158" priority="548">
      <formula>B71=""</formula>
    </cfRule>
  </conditionalFormatting>
  <conditionalFormatting sqref="F72">
    <cfRule type="expression" dxfId="5157" priority="547">
      <formula>B72=""</formula>
    </cfRule>
  </conditionalFormatting>
  <conditionalFormatting sqref="E53 E55 E57 E59 E61 E63 E65 E67 E69 E71">
    <cfRule type="expression" dxfId="5156" priority="546">
      <formula>B53=""</formula>
    </cfRule>
  </conditionalFormatting>
  <conditionalFormatting sqref="E54:E64">
    <cfRule type="expression" dxfId="5155" priority="545">
      <formula>B54=""</formula>
    </cfRule>
  </conditionalFormatting>
  <conditionalFormatting sqref="E65">
    <cfRule type="expression" dxfId="5154" priority="544">
      <formula>B65=""</formula>
    </cfRule>
  </conditionalFormatting>
  <conditionalFormatting sqref="E66">
    <cfRule type="expression" dxfId="5153" priority="543">
      <formula>B66=""</formula>
    </cfRule>
  </conditionalFormatting>
  <conditionalFormatting sqref="E67">
    <cfRule type="expression" dxfId="5152" priority="542">
      <formula>B67=""</formula>
    </cfRule>
  </conditionalFormatting>
  <conditionalFormatting sqref="E68">
    <cfRule type="expression" dxfId="5151" priority="541">
      <formula>B68=""</formula>
    </cfRule>
  </conditionalFormatting>
  <conditionalFormatting sqref="E69">
    <cfRule type="expression" dxfId="5150" priority="540">
      <formula>B69=""</formula>
    </cfRule>
  </conditionalFormatting>
  <conditionalFormatting sqref="E70">
    <cfRule type="expression" dxfId="5149" priority="539">
      <formula>B70=""</formula>
    </cfRule>
  </conditionalFormatting>
  <conditionalFormatting sqref="E71">
    <cfRule type="expression" dxfId="5148" priority="538">
      <formula>B71=""</formula>
    </cfRule>
  </conditionalFormatting>
  <conditionalFormatting sqref="E72">
    <cfRule type="expression" dxfId="5147" priority="537">
      <formula>B72=""</formula>
    </cfRule>
  </conditionalFormatting>
  <conditionalFormatting sqref="G52 G54 G56 G58 G60 G62 G64 G66 G68 G70 G72">
    <cfRule type="expression" dxfId="5146" priority="536">
      <formula>B52=""</formula>
    </cfRule>
  </conditionalFormatting>
  <conditionalFormatting sqref="G53 G55 G57 G59 G61 G63 G65 G67 G69 G71">
    <cfRule type="expression" dxfId="5145" priority="535">
      <formula>B53=""</formula>
    </cfRule>
  </conditionalFormatting>
  <conditionalFormatting sqref="G54:G64">
    <cfRule type="expression" dxfId="5144" priority="534">
      <formula>B54=""</formula>
    </cfRule>
  </conditionalFormatting>
  <conditionalFormatting sqref="G65">
    <cfRule type="expression" dxfId="5143" priority="533">
      <formula>B65=""</formula>
    </cfRule>
  </conditionalFormatting>
  <conditionalFormatting sqref="G66">
    <cfRule type="expression" dxfId="5142" priority="532">
      <formula>B66=""</formula>
    </cfRule>
  </conditionalFormatting>
  <conditionalFormatting sqref="G67">
    <cfRule type="expression" dxfId="5141" priority="531">
      <formula>B67=""</formula>
    </cfRule>
  </conditionalFormatting>
  <conditionalFormatting sqref="G68">
    <cfRule type="expression" dxfId="5140" priority="530">
      <formula>B68=""</formula>
    </cfRule>
  </conditionalFormatting>
  <conditionalFormatting sqref="G69">
    <cfRule type="expression" dxfId="5139" priority="529">
      <formula>B69=""</formula>
    </cfRule>
  </conditionalFormatting>
  <conditionalFormatting sqref="G70">
    <cfRule type="expression" dxfId="5138" priority="528">
      <formula>B70=""</formula>
    </cfRule>
  </conditionalFormatting>
  <conditionalFormatting sqref="G71">
    <cfRule type="expression" dxfId="5137" priority="527">
      <formula>B71=""</formula>
    </cfRule>
  </conditionalFormatting>
  <conditionalFormatting sqref="G72">
    <cfRule type="expression" dxfId="5136" priority="526">
      <formula>B72=""</formula>
    </cfRule>
  </conditionalFormatting>
  <conditionalFormatting sqref="H52 H54 H56 H58 H60 H62 H64 H66 H68 H70 H72">
    <cfRule type="expression" dxfId="5135" priority="525">
      <formula>B52=""</formula>
    </cfRule>
  </conditionalFormatting>
  <conditionalFormatting sqref="H53 H55 H57 H59 H61 H63 H65 H67 H69 H71">
    <cfRule type="expression" dxfId="5134" priority="524">
      <formula>B53=""</formula>
    </cfRule>
  </conditionalFormatting>
  <conditionalFormatting sqref="H54:H64">
    <cfRule type="expression" dxfId="5133" priority="523">
      <formula>B54=""</formula>
    </cfRule>
  </conditionalFormatting>
  <conditionalFormatting sqref="H65">
    <cfRule type="expression" dxfId="5132" priority="522">
      <formula>B65=""</formula>
    </cfRule>
  </conditionalFormatting>
  <conditionalFormatting sqref="H66">
    <cfRule type="expression" dxfId="5131" priority="521">
      <formula>B66=""</formula>
    </cfRule>
  </conditionalFormatting>
  <conditionalFormatting sqref="H67">
    <cfRule type="expression" dxfId="5130" priority="520">
      <formula>B67=""</formula>
    </cfRule>
  </conditionalFormatting>
  <conditionalFormatting sqref="H68">
    <cfRule type="expression" dxfId="5129" priority="519">
      <formula>B68=""</formula>
    </cfRule>
  </conditionalFormatting>
  <conditionalFormatting sqref="H69">
    <cfRule type="expression" dxfId="5128" priority="518">
      <formula>B69=""</formula>
    </cfRule>
  </conditionalFormatting>
  <conditionalFormatting sqref="H70">
    <cfRule type="expression" dxfId="5127" priority="517">
      <formula>B70=""</formula>
    </cfRule>
  </conditionalFormatting>
  <conditionalFormatting sqref="H71">
    <cfRule type="expression" dxfId="5126" priority="516">
      <formula>B71=""</formula>
    </cfRule>
  </conditionalFormatting>
  <conditionalFormatting sqref="H72">
    <cfRule type="expression" dxfId="5125" priority="515">
      <formula>B72=""</formula>
    </cfRule>
  </conditionalFormatting>
  <conditionalFormatting sqref="C74:C94">
    <cfRule type="expression" dxfId="5124" priority="514">
      <formula>B74=""</formula>
    </cfRule>
  </conditionalFormatting>
  <conditionalFormatting sqref="C75 C77 C79 C81 C83 C85 C87 C89 C91 C93">
    <cfRule type="expression" dxfId="5123" priority="513">
      <formula>B75=""</formula>
    </cfRule>
  </conditionalFormatting>
  <conditionalFormatting sqref="C76:C86">
    <cfRule type="expression" dxfId="5122" priority="512">
      <formula>B76=""</formula>
    </cfRule>
  </conditionalFormatting>
  <conditionalFormatting sqref="C87">
    <cfRule type="expression" dxfId="5121" priority="511">
      <formula>B87=""</formula>
    </cfRule>
  </conditionalFormatting>
  <conditionalFormatting sqref="C88">
    <cfRule type="expression" dxfId="5120" priority="510">
      <formula>B88=""</formula>
    </cfRule>
  </conditionalFormatting>
  <conditionalFormatting sqref="C89">
    <cfRule type="expression" dxfId="5119" priority="509">
      <formula>B89=""</formula>
    </cfRule>
  </conditionalFormatting>
  <conditionalFormatting sqref="C90">
    <cfRule type="expression" dxfId="5118" priority="508">
      <formula>B90=""</formula>
    </cfRule>
  </conditionalFormatting>
  <conditionalFormatting sqref="C91">
    <cfRule type="expression" dxfId="5117" priority="507">
      <formula>B91=""</formula>
    </cfRule>
  </conditionalFormatting>
  <conditionalFormatting sqref="C92">
    <cfRule type="expression" dxfId="5116" priority="506">
      <formula>B92=""</formula>
    </cfRule>
  </conditionalFormatting>
  <conditionalFormatting sqref="C93">
    <cfRule type="expression" dxfId="5115" priority="505">
      <formula>B93=""</formula>
    </cfRule>
  </conditionalFormatting>
  <conditionalFormatting sqref="C94">
    <cfRule type="expression" dxfId="5114" priority="504">
      <formula>B94=""</formula>
    </cfRule>
  </conditionalFormatting>
  <conditionalFormatting sqref="D74 D76 D78 D80 D82 D84 D86 D88 D90 D92">
    <cfRule type="expression" dxfId="5113" priority="503">
      <formula>B74=""</formula>
    </cfRule>
  </conditionalFormatting>
  <conditionalFormatting sqref="D75 D77 D79 D81 D83 D85 D87 D89 D91 D93">
    <cfRule type="expression" dxfId="5112" priority="502">
      <formula>B75=""</formula>
    </cfRule>
  </conditionalFormatting>
  <conditionalFormatting sqref="D76:D86">
    <cfRule type="expression" dxfId="5111" priority="501">
      <formula>B76=""</formula>
    </cfRule>
  </conditionalFormatting>
  <conditionalFormatting sqref="D87">
    <cfRule type="expression" dxfId="5110" priority="500">
      <formula>B87=""</formula>
    </cfRule>
  </conditionalFormatting>
  <conditionalFormatting sqref="D88">
    <cfRule type="expression" dxfId="5109" priority="499">
      <formula>B88=""</formula>
    </cfRule>
  </conditionalFormatting>
  <conditionalFormatting sqref="D89">
    <cfRule type="expression" dxfId="5108" priority="498">
      <formula>B89=""</formula>
    </cfRule>
  </conditionalFormatting>
  <conditionalFormatting sqref="D90">
    <cfRule type="expression" dxfId="5107" priority="497">
      <formula>B90=""</formula>
    </cfRule>
  </conditionalFormatting>
  <conditionalFormatting sqref="D91">
    <cfRule type="expression" dxfId="5106" priority="496">
      <formula>B91=""</formula>
    </cfRule>
  </conditionalFormatting>
  <conditionalFormatting sqref="D92">
    <cfRule type="expression" dxfId="5105" priority="495">
      <formula>B92=""</formula>
    </cfRule>
  </conditionalFormatting>
  <conditionalFormatting sqref="D93">
    <cfRule type="expression" dxfId="5104" priority="494">
      <formula>B93=""</formula>
    </cfRule>
  </conditionalFormatting>
  <conditionalFormatting sqref="D94">
    <cfRule type="expression" dxfId="5103" priority="493">
      <formula>B94=""</formula>
    </cfRule>
  </conditionalFormatting>
  <conditionalFormatting sqref="E74 E76 E78 E80 E82 E84 E86 E88 E90 E92">
    <cfRule type="expression" dxfId="5102" priority="492">
      <formula>B74=""</formula>
    </cfRule>
  </conditionalFormatting>
  <conditionalFormatting sqref="E75 E77 E79 E81 E83 E85 E87 E89 E91 E93">
    <cfRule type="expression" dxfId="5101" priority="491">
      <formula>B75=""</formula>
    </cfRule>
  </conditionalFormatting>
  <conditionalFormatting sqref="E76:E86">
    <cfRule type="expression" dxfId="5100" priority="490">
      <formula>B76=""</formula>
    </cfRule>
  </conditionalFormatting>
  <conditionalFormatting sqref="E87">
    <cfRule type="expression" dxfId="5099" priority="489">
      <formula>B87=""</formula>
    </cfRule>
  </conditionalFormatting>
  <conditionalFormatting sqref="E88">
    <cfRule type="expression" dxfId="5098" priority="488">
      <formula>B88=""</formula>
    </cfRule>
  </conditionalFormatting>
  <conditionalFormatting sqref="E89">
    <cfRule type="expression" dxfId="5097" priority="487">
      <formula>B89=""</formula>
    </cfRule>
  </conditionalFormatting>
  <conditionalFormatting sqref="E90">
    <cfRule type="expression" dxfId="5096" priority="486">
      <formula>B90=""</formula>
    </cfRule>
  </conditionalFormatting>
  <conditionalFormatting sqref="E91">
    <cfRule type="expression" dxfId="5095" priority="485">
      <formula>B91=""</formula>
    </cfRule>
  </conditionalFormatting>
  <conditionalFormatting sqref="E92">
    <cfRule type="expression" dxfId="5094" priority="484">
      <formula>B92=""</formula>
    </cfRule>
  </conditionalFormatting>
  <conditionalFormatting sqref="E93">
    <cfRule type="expression" dxfId="5093" priority="483">
      <formula>B93=""</formula>
    </cfRule>
  </conditionalFormatting>
  <conditionalFormatting sqref="E94">
    <cfRule type="expression" dxfId="5092" priority="482">
      <formula>B94=""</formula>
    </cfRule>
  </conditionalFormatting>
  <conditionalFormatting sqref="F74 F76 F78 F80 F82 F84 F86 F88 F90 F92">
    <cfRule type="expression" dxfId="5091" priority="481">
      <formula>B74=""</formula>
    </cfRule>
  </conditionalFormatting>
  <conditionalFormatting sqref="F75 F77 F79 F81 F83 F85 F87 F89 F91 F93">
    <cfRule type="expression" dxfId="5090" priority="480">
      <formula>B75=""</formula>
    </cfRule>
  </conditionalFormatting>
  <conditionalFormatting sqref="F76:F86">
    <cfRule type="expression" dxfId="5089" priority="479">
      <formula>B76=""</formula>
    </cfRule>
  </conditionalFormatting>
  <conditionalFormatting sqref="F87">
    <cfRule type="expression" dxfId="5088" priority="478">
      <formula>B87=""</formula>
    </cfRule>
  </conditionalFormatting>
  <conditionalFormatting sqref="F88">
    <cfRule type="expression" dxfId="5087" priority="477">
      <formula>B88=""</formula>
    </cfRule>
  </conditionalFormatting>
  <conditionalFormatting sqref="F89">
    <cfRule type="expression" dxfId="5086" priority="476">
      <formula>B89=""</formula>
    </cfRule>
  </conditionalFormatting>
  <conditionalFormatting sqref="F90">
    <cfRule type="expression" dxfId="5085" priority="475">
      <formula>B90=""</formula>
    </cfRule>
  </conditionalFormatting>
  <conditionalFormatting sqref="F91">
    <cfRule type="expression" dxfId="5084" priority="474">
      <formula>B91=""</formula>
    </cfRule>
  </conditionalFormatting>
  <conditionalFormatting sqref="F92">
    <cfRule type="expression" dxfId="5083" priority="473">
      <formula>B92=""</formula>
    </cfRule>
  </conditionalFormatting>
  <conditionalFormatting sqref="F93">
    <cfRule type="expression" dxfId="5082" priority="472">
      <formula>B93=""</formula>
    </cfRule>
  </conditionalFormatting>
  <conditionalFormatting sqref="F94">
    <cfRule type="expression" dxfId="5081" priority="471">
      <formula>B94=""</formula>
    </cfRule>
  </conditionalFormatting>
  <conditionalFormatting sqref="E75 E77 E79 E81 E83 E85 E87 E89 E91 E93">
    <cfRule type="expression" dxfId="5080" priority="470">
      <formula>B75=""</formula>
    </cfRule>
  </conditionalFormatting>
  <conditionalFormatting sqref="E76:E86">
    <cfRule type="expression" dxfId="5079" priority="469">
      <formula>B76=""</formula>
    </cfRule>
  </conditionalFormatting>
  <conditionalFormatting sqref="E87">
    <cfRule type="expression" dxfId="5078" priority="468">
      <formula>B87=""</formula>
    </cfRule>
  </conditionalFormatting>
  <conditionalFormatting sqref="E88">
    <cfRule type="expression" dxfId="5077" priority="467">
      <formula>B88=""</formula>
    </cfRule>
  </conditionalFormatting>
  <conditionalFormatting sqref="E89">
    <cfRule type="expression" dxfId="5076" priority="466">
      <formula>B89=""</formula>
    </cfRule>
  </conditionalFormatting>
  <conditionalFormatting sqref="E90">
    <cfRule type="expression" dxfId="5075" priority="465">
      <formula>B90=""</formula>
    </cfRule>
  </conditionalFormatting>
  <conditionalFormatting sqref="E91">
    <cfRule type="expression" dxfId="5074" priority="464">
      <formula>B91=""</formula>
    </cfRule>
  </conditionalFormatting>
  <conditionalFormatting sqref="E92">
    <cfRule type="expression" dxfId="5073" priority="463">
      <formula>B92=""</formula>
    </cfRule>
  </conditionalFormatting>
  <conditionalFormatting sqref="E93">
    <cfRule type="expression" dxfId="5072" priority="462">
      <formula>B93=""</formula>
    </cfRule>
  </conditionalFormatting>
  <conditionalFormatting sqref="E94">
    <cfRule type="expression" dxfId="5071" priority="461">
      <formula>B94=""</formula>
    </cfRule>
  </conditionalFormatting>
  <conditionalFormatting sqref="G74 G76 G78 G80 G82 G84 G86 G88 G90 G92">
    <cfRule type="expression" dxfId="5070" priority="460">
      <formula>B74=""</formula>
    </cfRule>
  </conditionalFormatting>
  <conditionalFormatting sqref="G75 G77 G79 G81 G83 G85 G87 G89 G91 G93">
    <cfRule type="expression" dxfId="5069" priority="459">
      <formula>B75=""</formula>
    </cfRule>
  </conditionalFormatting>
  <conditionalFormatting sqref="G76:G86">
    <cfRule type="expression" dxfId="5068" priority="458">
      <formula>B76=""</formula>
    </cfRule>
  </conditionalFormatting>
  <conditionalFormatting sqref="G87">
    <cfRule type="expression" dxfId="5067" priority="457">
      <formula>B87=""</formula>
    </cfRule>
  </conditionalFormatting>
  <conditionalFormatting sqref="G88">
    <cfRule type="expression" dxfId="5066" priority="456">
      <formula>B88=""</formula>
    </cfRule>
  </conditionalFormatting>
  <conditionalFormatting sqref="G89">
    <cfRule type="expression" dxfId="5065" priority="455">
      <formula>B89=""</formula>
    </cfRule>
  </conditionalFormatting>
  <conditionalFormatting sqref="G90">
    <cfRule type="expression" dxfId="5064" priority="454">
      <formula>B90=""</formula>
    </cfRule>
  </conditionalFormatting>
  <conditionalFormatting sqref="G91">
    <cfRule type="expression" dxfId="5063" priority="453">
      <formula>B91=""</formula>
    </cfRule>
  </conditionalFormatting>
  <conditionalFormatting sqref="G92">
    <cfRule type="expression" dxfId="5062" priority="452">
      <formula>B92=""</formula>
    </cfRule>
  </conditionalFormatting>
  <conditionalFormatting sqref="G93">
    <cfRule type="expression" dxfId="5061" priority="451">
      <formula>B93=""</formula>
    </cfRule>
  </conditionalFormatting>
  <conditionalFormatting sqref="G94">
    <cfRule type="expression" dxfId="5060" priority="450">
      <formula>B94=""</formula>
    </cfRule>
  </conditionalFormatting>
  <conditionalFormatting sqref="H74 H76 H78 H80 H82 H84 H86 H88 H90 H92">
    <cfRule type="expression" dxfId="5059" priority="449">
      <formula>B74=""</formula>
    </cfRule>
  </conditionalFormatting>
  <conditionalFormatting sqref="H75 H77 H79 H81 H83 H85 H87 H89 H91 H93">
    <cfRule type="expression" dxfId="5058" priority="448">
      <formula>B75=""</formula>
    </cfRule>
  </conditionalFormatting>
  <conditionalFormatting sqref="H76:H86">
    <cfRule type="expression" dxfId="5057" priority="447">
      <formula>B76=""</formula>
    </cfRule>
  </conditionalFormatting>
  <conditionalFormatting sqref="H87">
    <cfRule type="expression" dxfId="5056" priority="446">
      <formula>B87=""</formula>
    </cfRule>
  </conditionalFormatting>
  <conditionalFormatting sqref="H88">
    <cfRule type="expression" dxfId="5055" priority="445">
      <formula>B88=""</formula>
    </cfRule>
  </conditionalFormatting>
  <conditionalFormatting sqref="H89">
    <cfRule type="expression" dxfId="5054" priority="444">
      <formula>B89=""</formula>
    </cfRule>
  </conditionalFormatting>
  <conditionalFormatting sqref="H90">
    <cfRule type="expression" dxfId="5053" priority="443">
      <formula>B90=""</formula>
    </cfRule>
  </conditionalFormatting>
  <conditionalFormatting sqref="H91">
    <cfRule type="expression" dxfId="5052" priority="442">
      <formula>B91=""</formula>
    </cfRule>
  </conditionalFormatting>
  <conditionalFormatting sqref="H92">
    <cfRule type="expression" dxfId="5051" priority="441">
      <formula>B92=""</formula>
    </cfRule>
  </conditionalFormatting>
  <conditionalFormatting sqref="H93">
    <cfRule type="expression" dxfId="5050" priority="440">
      <formula>B93=""</formula>
    </cfRule>
  </conditionalFormatting>
  <conditionalFormatting sqref="H94">
    <cfRule type="expression" dxfId="5049" priority="439">
      <formula>B94=""</formula>
    </cfRule>
  </conditionalFormatting>
  <conditionalFormatting sqref="C49">
    <cfRule type="expression" dxfId="5048" priority="438">
      <formula>B49=""</formula>
    </cfRule>
  </conditionalFormatting>
  <conditionalFormatting sqref="C71">
    <cfRule type="expression" dxfId="5047" priority="437">
      <formula>B71=""</formula>
    </cfRule>
  </conditionalFormatting>
  <conditionalFormatting sqref="C93">
    <cfRule type="expression" dxfId="5046" priority="436">
      <formula>B93=""</formula>
    </cfRule>
  </conditionalFormatting>
  <conditionalFormatting sqref="C8:C27">
    <cfRule type="expression" dxfId="5045" priority="435">
      <formula>B8=""</formula>
    </cfRule>
  </conditionalFormatting>
  <conditionalFormatting sqref="C9 C11 C13 C15 C17 C19 C21 C23 C25 C27">
    <cfRule type="expression" dxfId="5044" priority="434">
      <formula>B9=""</formula>
    </cfRule>
  </conditionalFormatting>
  <conditionalFormatting sqref="C10:C20">
    <cfRule type="expression" dxfId="5043" priority="433">
      <formula>B10=""</formula>
    </cfRule>
  </conditionalFormatting>
  <conditionalFormatting sqref="C21">
    <cfRule type="expression" dxfId="5042" priority="432">
      <formula>B21=""</formula>
    </cfRule>
  </conditionalFormatting>
  <conditionalFormatting sqref="C22">
    <cfRule type="expression" dxfId="5041" priority="431">
      <formula>B22=""</formula>
    </cfRule>
  </conditionalFormatting>
  <conditionalFormatting sqref="C23">
    <cfRule type="expression" dxfId="5040" priority="430">
      <formula>B23=""</formula>
    </cfRule>
  </conditionalFormatting>
  <conditionalFormatting sqref="C24">
    <cfRule type="expression" dxfId="5039" priority="429">
      <formula>B24=""</formula>
    </cfRule>
  </conditionalFormatting>
  <conditionalFormatting sqref="C25">
    <cfRule type="expression" dxfId="5038" priority="428">
      <formula>B25=""</formula>
    </cfRule>
  </conditionalFormatting>
  <conditionalFormatting sqref="C26">
    <cfRule type="expression" dxfId="5037" priority="427">
      <formula>B26=""</formula>
    </cfRule>
  </conditionalFormatting>
  <conditionalFormatting sqref="C27">
    <cfRule type="expression" dxfId="5036" priority="426">
      <formula>B27=""</formula>
    </cfRule>
  </conditionalFormatting>
  <conditionalFormatting sqref="C28">
    <cfRule type="expression" dxfId="5035" priority="425">
      <formula>B28=""</formula>
    </cfRule>
  </conditionalFormatting>
  <conditionalFormatting sqref="C30:C50">
    <cfRule type="expression" dxfId="5034" priority="424">
      <formula>B30=""</formula>
    </cfRule>
  </conditionalFormatting>
  <conditionalFormatting sqref="C31 C33 C35 C37 C39 C41 C43 C45 C47 C49">
    <cfRule type="expression" dxfId="5033" priority="423">
      <formula>B31=""</formula>
    </cfRule>
  </conditionalFormatting>
  <conditionalFormatting sqref="C32:C42">
    <cfRule type="expression" dxfId="5032" priority="422">
      <formula>B32=""</formula>
    </cfRule>
  </conditionalFormatting>
  <conditionalFormatting sqref="C43">
    <cfRule type="expression" dxfId="5031" priority="421">
      <formula>B43=""</formula>
    </cfRule>
  </conditionalFormatting>
  <conditionalFormatting sqref="C44">
    <cfRule type="expression" dxfId="5030" priority="420">
      <formula>B44=""</formula>
    </cfRule>
  </conditionalFormatting>
  <conditionalFormatting sqref="C45">
    <cfRule type="expression" dxfId="5029" priority="419">
      <formula>B45=""</formula>
    </cfRule>
  </conditionalFormatting>
  <conditionalFormatting sqref="C46">
    <cfRule type="expression" dxfId="5028" priority="418">
      <formula>B46=""</formula>
    </cfRule>
  </conditionalFormatting>
  <conditionalFormatting sqref="C47">
    <cfRule type="expression" dxfId="5027" priority="417">
      <formula>B47=""</formula>
    </cfRule>
  </conditionalFormatting>
  <conditionalFormatting sqref="C48">
    <cfRule type="expression" dxfId="5026" priority="416">
      <formula>B48=""</formula>
    </cfRule>
  </conditionalFormatting>
  <conditionalFormatting sqref="C49">
    <cfRule type="expression" dxfId="5025" priority="415">
      <formula>B49=""</formula>
    </cfRule>
  </conditionalFormatting>
  <conditionalFormatting sqref="C50">
    <cfRule type="expression" dxfId="5024" priority="414">
      <formula>B50=""</formula>
    </cfRule>
  </conditionalFormatting>
  <conditionalFormatting sqref="C52:C72">
    <cfRule type="expression" dxfId="5023" priority="413">
      <formula>B52=""</formula>
    </cfRule>
  </conditionalFormatting>
  <conditionalFormatting sqref="C53 C55 C57 C59 C61 C63 C65 C67 C69 C71">
    <cfRule type="expression" dxfId="5022" priority="412">
      <formula>B53=""</formula>
    </cfRule>
  </conditionalFormatting>
  <conditionalFormatting sqref="C54:C64">
    <cfRule type="expression" dxfId="5021" priority="411">
      <formula>B54=""</formula>
    </cfRule>
  </conditionalFormatting>
  <conditionalFormatting sqref="C65">
    <cfRule type="expression" dxfId="5020" priority="410">
      <formula>B65=""</formula>
    </cfRule>
  </conditionalFormatting>
  <conditionalFormatting sqref="C66">
    <cfRule type="expression" dxfId="5019" priority="409">
      <formula>B66=""</formula>
    </cfRule>
  </conditionalFormatting>
  <conditionalFormatting sqref="C67">
    <cfRule type="expression" dxfId="5018" priority="408">
      <formula>B67=""</formula>
    </cfRule>
  </conditionalFormatting>
  <conditionalFormatting sqref="C68">
    <cfRule type="expression" dxfId="5017" priority="407">
      <formula>B68=""</formula>
    </cfRule>
  </conditionalFormatting>
  <conditionalFormatting sqref="C69">
    <cfRule type="expression" dxfId="5016" priority="406">
      <formula>B69=""</formula>
    </cfRule>
  </conditionalFormatting>
  <conditionalFormatting sqref="C70">
    <cfRule type="expression" dxfId="5015" priority="405">
      <formula>B70=""</formula>
    </cfRule>
  </conditionalFormatting>
  <conditionalFormatting sqref="C71">
    <cfRule type="expression" dxfId="5014" priority="404">
      <formula>B71=""</formula>
    </cfRule>
  </conditionalFormatting>
  <conditionalFormatting sqref="C72">
    <cfRule type="expression" dxfId="5013" priority="403">
      <formula>B72=""</formula>
    </cfRule>
  </conditionalFormatting>
  <conditionalFormatting sqref="C74:C94">
    <cfRule type="expression" dxfId="5012" priority="402">
      <formula>B74=""</formula>
    </cfRule>
  </conditionalFormatting>
  <conditionalFormatting sqref="C75 C77 C79 C81 C83 C85 C87 C89 C91 C93">
    <cfRule type="expression" dxfId="5011" priority="401">
      <formula>B75=""</formula>
    </cfRule>
  </conditionalFormatting>
  <conditionalFormatting sqref="C76:C86">
    <cfRule type="expression" dxfId="5010" priority="400">
      <formula>B76=""</formula>
    </cfRule>
  </conditionalFormatting>
  <conditionalFormatting sqref="C87">
    <cfRule type="expression" dxfId="5009" priority="399">
      <formula>B87=""</formula>
    </cfRule>
  </conditionalFormatting>
  <conditionalFormatting sqref="C88">
    <cfRule type="expression" dxfId="5008" priority="398">
      <formula>B88=""</formula>
    </cfRule>
  </conditionalFormatting>
  <conditionalFormatting sqref="C89">
    <cfRule type="expression" dxfId="5007" priority="397">
      <formula>B89=""</formula>
    </cfRule>
  </conditionalFormatting>
  <conditionalFormatting sqref="C90">
    <cfRule type="expression" dxfId="5006" priority="396">
      <formula>B90=""</formula>
    </cfRule>
  </conditionalFormatting>
  <conditionalFormatting sqref="C91">
    <cfRule type="expression" dxfId="5005" priority="395">
      <formula>B91=""</formula>
    </cfRule>
  </conditionalFormatting>
  <conditionalFormatting sqref="C92">
    <cfRule type="expression" dxfId="5004" priority="394">
      <formula>B92=""</formula>
    </cfRule>
  </conditionalFormatting>
  <conditionalFormatting sqref="C93">
    <cfRule type="expression" dxfId="5003" priority="393">
      <formula>B93=""</formula>
    </cfRule>
  </conditionalFormatting>
  <conditionalFormatting sqref="C94">
    <cfRule type="expression" dxfId="5002" priority="392">
      <formula>B94=""</formula>
    </cfRule>
  </conditionalFormatting>
  <conditionalFormatting sqref="C8 C10 C12 C14 C16 C18 C20 C22 C24 C26">
    <cfRule type="expression" dxfId="5001" priority="391">
      <formula>B8=""</formula>
    </cfRule>
  </conditionalFormatting>
  <conditionalFormatting sqref="C9 C11 C13 C15 C17 C19 C21 C23 C25 C27">
    <cfRule type="expression" dxfId="5000" priority="390">
      <formula>B9=""</formula>
    </cfRule>
  </conditionalFormatting>
  <conditionalFormatting sqref="C10:C20">
    <cfRule type="expression" dxfId="4999" priority="389">
      <formula>B10=""</formula>
    </cfRule>
  </conditionalFormatting>
  <conditionalFormatting sqref="C21">
    <cfRule type="expression" dxfId="4998" priority="388">
      <formula>B21=""</formula>
    </cfRule>
  </conditionalFormatting>
  <conditionalFormatting sqref="C22">
    <cfRule type="expression" dxfId="4997" priority="387">
      <formula>B22=""</formula>
    </cfRule>
  </conditionalFormatting>
  <conditionalFormatting sqref="C23">
    <cfRule type="expression" dxfId="4996" priority="386">
      <formula>B23=""</formula>
    </cfRule>
  </conditionalFormatting>
  <conditionalFormatting sqref="C24">
    <cfRule type="expression" dxfId="4995" priority="385">
      <formula>B24=""</formula>
    </cfRule>
  </conditionalFormatting>
  <conditionalFormatting sqref="C25">
    <cfRule type="expression" dxfId="4994" priority="384">
      <formula>B25=""</formula>
    </cfRule>
  </conditionalFormatting>
  <conditionalFormatting sqref="C26">
    <cfRule type="expression" dxfId="4993" priority="383">
      <formula>B26=""</formula>
    </cfRule>
  </conditionalFormatting>
  <conditionalFormatting sqref="C27">
    <cfRule type="expression" dxfId="4992" priority="382">
      <formula>B27=""</formula>
    </cfRule>
  </conditionalFormatting>
  <conditionalFormatting sqref="D8 D10 D12 D14 D16 D18 D20 D22 D24 D26">
    <cfRule type="expression" dxfId="4991" priority="381">
      <formula>B8=""</formula>
    </cfRule>
  </conditionalFormatting>
  <conditionalFormatting sqref="D9 D11 D13 D15 D17 D19 D21 D23 D25 D27">
    <cfRule type="expression" dxfId="4990" priority="380">
      <formula>B9=""</formula>
    </cfRule>
  </conditionalFormatting>
  <conditionalFormatting sqref="D10:D20">
    <cfRule type="expression" dxfId="4989" priority="379">
      <formula>B10=""</formula>
    </cfRule>
  </conditionalFormatting>
  <conditionalFormatting sqref="D21">
    <cfRule type="expression" dxfId="4988" priority="378">
      <formula>B21=""</formula>
    </cfRule>
  </conditionalFormatting>
  <conditionalFormatting sqref="D22">
    <cfRule type="expression" dxfId="4987" priority="377">
      <formula>B22=""</formula>
    </cfRule>
  </conditionalFormatting>
  <conditionalFormatting sqref="D23">
    <cfRule type="expression" dxfId="4986" priority="376">
      <formula>B23=""</formula>
    </cfRule>
  </conditionalFormatting>
  <conditionalFormatting sqref="D24">
    <cfRule type="expression" dxfId="4985" priority="375">
      <formula>B24=""</formula>
    </cfRule>
  </conditionalFormatting>
  <conditionalFormatting sqref="D25">
    <cfRule type="expression" dxfId="4984" priority="374">
      <formula>B25=""</formula>
    </cfRule>
  </conditionalFormatting>
  <conditionalFormatting sqref="D26">
    <cfRule type="expression" dxfId="4983" priority="373">
      <formula>B26=""</formula>
    </cfRule>
  </conditionalFormatting>
  <conditionalFormatting sqref="D27">
    <cfRule type="expression" dxfId="4982" priority="372">
      <formula>B27=""</formula>
    </cfRule>
  </conditionalFormatting>
  <conditionalFormatting sqref="E8:E27">
    <cfRule type="expression" dxfId="4981" priority="371">
      <formula>B8=""</formula>
    </cfRule>
  </conditionalFormatting>
  <conditionalFormatting sqref="E9 E11 E13 E15 E17 E19 E21 E23 E25 E27">
    <cfRule type="expression" dxfId="4980" priority="370">
      <formula>B9=""</formula>
    </cfRule>
  </conditionalFormatting>
  <conditionalFormatting sqref="E10:E20">
    <cfRule type="expression" dxfId="4979" priority="369">
      <formula>B10=""</formula>
    </cfRule>
  </conditionalFormatting>
  <conditionalFormatting sqref="E21">
    <cfRule type="expression" dxfId="4978" priority="368">
      <formula>B21=""</formula>
    </cfRule>
  </conditionalFormatting>
  <conditionalFormatting sqref="E22">
    <cfRule type="expression" dxfId="4977" priority="367">
      <formula>B22=""</formula>
    </cfRule>
  </conditionalFormatting>
  <conditionalFormatting sqref="E23">
    <cfRule type="expression" dxfId="4976" priority="366">
      <formula>B23=""</formula>
    </cfRule>
  </conditionalFormatting>
  <conditionalFormatting sqref="E24">
    <cfRule type="expression" dxfId="4975" priority="365">
      <formula>B24=""</formula>
    </cfRule>
  </conditionalFormatting>
  <conditionalFormatting sqref="E25">
    <cfRule type="expression" dxfId="4974" priority="364">
      <formula>B25=""</formula>
    </cfRule>
  </conditionalFormatting>
  <conditionalFormatting sqref="E26">
    <cfRule type="expression" dxfId="4973" priority="363">
      <formula>B26=""</formula>
    </cfRule>
  </conditionalFormatting>
  <conditionalFormatting sqref="E27">
    <cfRule type="expression" dxfId="4972" priority="362">
      <formula>B27=""</formula>
    </cfRule>
  </conditionalFormatting>
  <conditionalFormatting sqref="F8:F27">
    <cfRule type="expression" dxfId="4971" priority="361">
      <formula>B8=""</formula>
    </cfRule>
  </conditionalFormatting>
  <conditionalFormatting sqref="F9 F11 F13 F15 F17 F19 F21 F23 F25 F27">
    <cfRule type="expression" dxfId="4970" priority="360">
      <formula>B9=""</formula>
    </cfRule>
  </conditionalFormatting>
  <conditionalFormatting sqref="F10:F20">
    <cfRule type="expression" dxfId="4969" priority="359">
      <formula>B10=""</formula>
    </cfRule>
  </conditionalFormatting>
  <conditionalFormatting sqref="F21">
    <cfRule type="expression" dxfId="4968" priority="358">
      <formula>B21=""</formula>
    </cfRule>
  </conditionalFormatting>
  <conditionalFormatting sqref="F22">
    <cfRule type="expression" dxfId="4967" priority="357">
      <formula>B22=""</formula>
    </cfRule>
  </conditionalFormatting>
  <conditionalFormatting sqref="F23">
    <cfRule type="expression" dxfId="4966" priority="356">
      <formula>B23=""</formula>
    </cfRule>
  </conditionalFormatting>
  <conditionalFormatting sqref="F24">
    <cfRule type="expression" dxfId="4965" priority="355">
      <formula>B24=""</formula>
    </cfRule>
  </conditionalFormatting>
  <conditionalFormatting sqref="F25">
    <cfRule type="expression" dxfId="4964" priority="354">
      <formula>B25=""</formula>
    </cfRule>
  </conditionalFormatting>
  <conditionalFormatting sqref="F26">
    <cfRule type="expression" dxfId="4963" priority="353">
      <formula>B26=""</formula>
    </cfRule>
  </conditionalFormatting>
  <conditionalFormatting sqref="F27">
    <cfRule type="expression" dxfId="4962" priority="352">
      <formula>B27=""</formula>
    </cfRule>
  </conditionalFormatting>
  <conditionalFormatting sqref="E9 E11 E13 E15 E17 E19 E21 E23 E25 E27">
    <cfRule type="expression" dxfId="4961" priority="351">
      <formula>B9=""</formula>
    </cfRule>
  </conditionalFormatting>
  <conditionalFormatting sqref="E10:E20">
    <cfRule type="expression" dxfId="4960" priority="350">
      <formula>B10=""</formula>
    </cfRule>
  </conditionalFormatting>
  <conditionalFormatting sqref="E21">
    <cfRule type="expression" dxfId="4959" priority="349">
      <formula>B21=""</formula>
    </cfRule>
  </conditionalFormatting>
  <conditionalFormatting sqref="E22">
    <cfRule type="expression" dxfId="4958" priority="348">
      <formula>B22=""</formula>
    </cfRule>
  </conditionalFormatting>
  <conditionalFormatting sqref="E23">
    <cfRule type="expression" dxfId="4957" priority="347">
      <formula>B23=""</formula>
    </cfRule>
  </conditionalFormatting>
  <conditionalFormatting sqref="E24">
    <cfRule type="expression" dxfId="4956" priority="346">
      <formula>B24=""</formula>
    </cfRule>
  </conditionalFormatting>
  <conditionalFormatting sqref="E25">
    <cfRule type="expression" dxfId="4955" priority="345">
      <formula>B25=""</formula>
    </cfRule>
  </conditionalFormatting>
  <conditionalFormatting sqref="E26">
    <cfRule type="expression" dxfId="4954" priority="344">
      <formula>B26=""</formula>
    </cfRule>
  </conditionalFormatting>
  <conditionalFormatting sqref="E27">
    <cfRule type="expression" dxfId="4953" priority="343">
      <formula>B27=""</formula>
    </cfRule>
  </conditionalFormatting>
  <conditionalFormatting sqref="G8:G27">
    <cfRule type="expression" dxfId="4952" priority="342">
      <formula>B8=""</formula>
    </cfRule>
  </conditionalFormatting>
  <conditionalFormatting sqref="G9 G11 G13 G15 G17 G19 G21 G23 G25 G27">
    <cfRule type="expression" dxfId="4951" priority="341">
      <formula>B9=""</formula>
    </cfRule>
  </conditionalFormatting>
  <conditionalFormatting sqref="G10:G20">
    <cfRule type="expression" dxfId="4950" priority="340">
      <formula>B10=""</formula>
    </cfRule>
  </conditionalFormatting>
  <conditionalFormatting sqref="G21">
    <cfRule type="expression" dxfId="4949" priority="339">
      <formula>B21=""</formula>
    </cfRule>
  </conditionalFormatting>
  <conditionalFormatting sqref="G22">
    <cfRule type="expression" dxfId="4948" priority="338">
      <formula>B22=""</formula>
    </cfRule>
  </conditionalFormatting>
  <conditionalFormatting sqref="G23">
    <cfRule type="expression" dxfId="4947" priority="337">
      <formula>B23=""</formula>
    </cfRule>
  </conditionalFormatting>
  <conditionalFormatting sqref="G24">
    <cfRule type="expression" dxfId="4946" priority="336">
      <formula>B24=""</formula>
    </cfRule>
  </conditionalFormatting>
  <conditionalFormatting sqref="G25">
    <cfRule type="expression" dxfId="4945" priority="335">
      <formula>B25=""</formula>
    </cfRule>
  </conditionalFormatting>
  <conditionalFormatting sqref="G26">
    <cfRule type="expression" dxfId="4944" priority="334">
      <formula>B26=""</formula>
    </cfRule>
  </conditionalFormatting>
  <conditionalFormatting sqref="G27">
    <cfRule type="expression" dxfId="4943" priority="333">
      <formula>B27=""</formula>
    </cfRule>
  </conditionalFormatting>
  <conditionalFormatting sqref="H8 H10 H12 H14 H16 H18 H20 H22 H24 H26">
    <cfRule type="expression" dxfId="4942" priority="332">
      <formula>B8=""</formula>
    </cfRule>
  </conditionalFormatting>
  <conditionalFormatting sqref="H9 H11 H13 H15 H17 H19 H21 H23 H25 H27">
    <cfRule type="expression" dxfId="4941" priority="331">
      <formula>B9=""</formula>
    </cfRule>
  </conditionalFormatting>
  <conditionalFormatting sqref="H10:H20">
    <cfRule type="expression" dxfId="4940" priority="330">
      <formula>B10=""</formula>
    </cfRule>
  </conditionalFormatting>
  <conditionalFormatting sqref="H21">
    <cfRule type="expression" dxfId="4939" priority="329">
      <formula>B21=""</formula>
    </cfRule>
  </conditionalFormatting>
  <conditionalFormatting sqref="H22">
    <cfRule type="expression" dxfId="4938" priority="328">
      <formula>B22=""</formula>
    </cfRule>
  </conditionalFormatting>
  <conditionalFormatting sqref="H23">
    <cfRule type="expression" dxfId="4937" priority="327">
      <formula>B23=""</formula>
    </cfRule>
  </conditionalFormatting>
  <conditionalFormatting sqref="H24">
    <cfRule type="expression" dxfId="4936" priority="326">
      <formula>B24=""</formula>
    </cfRule>
  </conditionalFormatting>
  <conditionalFormatting sqref="H25">
    <cfRule type="expression" dxfId="4935" priority="325">
      <formula>B25=""</formula>
    </cfRule>
  </conditionalFormatting>
  <conditionalFormatting sqref="H26">
    <cfRule type="expression" dxfId="4934" priority="324">
      <formula>B26=""</formula>
    </cfRule>
  </conditionalFormatting>
  <conditionalFormatting sqref="H27">
    <cfRule type="expression" dxfId="4933" priority="323">
      <formula>B27=""</formula>
    </cfRule>
  </conditionalFormatting>
  <conditionalFormatting sqref="F8 F10 F12 F14 F16 F18 F20 F22 F24 F26">
    <cfRule type="expression" dxfId="4932" priority="322">
      <formula>B8=""</formula>
    </cfRule>
  </conditionalFormatting>
  <conditionalFormatting sqref="F9 F11 F13 F15 F17 F19 F21 F23 F25 F27">
    <cfRule type="expression" dxfId="4931" priority="321">
      <formula>B9=""</formula>
    </cfRule>
  </conditionalFormatting>
  <conditionalFormatting sqref="F10:F20">
    <cfRule type="expression" dxfId="4930" priority="320">
      <formula>B10=""</formula>
    </cfRule>
  </conditionalFormatting>
  <conditionalFormatting sqref="F21">
    <cfRule type="expression" dxfId="4929" priority="319">
      <formula>B21=""</formula>
    </cfRule>
  </conditionalFormatting>
  <conditionalFormatting sqref="F22">
    <cfRule type="expression" dxfId="4928" priority="318">
      <formula>B22=""</formula>
    </cfRule>
  </conditionalFormatting>
  <conditionalFormatting sqref="F23">
    <cfRule type="expression" dxfId="4927" priority="317">
      <formula>B23=""</formula>
    </cfRule>
  </conditionalFormatting>
  <conditionalFormatting sqref="F24">
    <cfRule type="expression" dxfId="4926" priority="316">
      <formula>B24=""</formula>
    </cfRule>
  </conditionalFormatting>
  <conditionalFormatting sqref="F25">
    <cfRule type="expression" dxfId="4925" priority="315">
      <formula>B25=""</formula>
    </cfRule>
  </conditionalFormatting>
  <conditionalFormatting sqref="F26">
    <cfRule type="expression" dxfId="4924" priority="314">
      <formula>B26=""</formula>
    </cfRule>
  </conditionalFormatting>
  <conditionalFormatting sqref="F27">
    <cfRule type="expression" dxfId="4923" priority="313">
      <formula>B27=""</formula>
    </cfRule>
  </conditionalFormatting>
  <conditionalFormatting sqref="C30:C49">
    <cfRule type="expression" dxfId="4922" priority="312">
      <formula>B30=""</formula>
    </cfRule>
  </conditionalFormatting>
  <conditionalFormatting sqref="C31 C33 C35 C37 C39 C41 C43 C45 C47 C49">
    <cfRule type="expression" dxfId="4921" priority="311">
      <formula>B31=""</formula>
    </cfRule>
  </conditionalFormatting>
  <conditionalFormatting sqref="C32:C42">
    <cfRule type="expression" dxfId="4920" priority="310">
      <formula>B32=""</formula>
    </cfRule>
  </conditionalFormatting>
  <conditionalFormatting sqref="C43">
    <cfRule type="expression" dxfId="4919" priority="309">
      <formula>B43=""</formula>
    </cfRule>
  </conditionalFormatting>
  <conditionalFormatting sqref="C44">
    <cfRule type="expression" dxfId="4918" priority="308">
      <formula>B44=""</formula>
    </cfRule>
  </conditionalFormatting>
  <conditionalFormatting sqref="C45">
    <cfRule type="expression" dxfId="4917" priority="307">
      <formula>B45=""</formula>
    </cfRule>
  </conditionalFormatting>
  <conditionalFormatting sqref="C46">
    <cfRule type="expression" dxfId="4916" priority="306">
      <formula>B46=""</formula>
    </cfRule>
  </conditionalFormatting>
  <conditionalFormatting sqref="C47">
    <cfRule type="expression" dxfId="4915" priority="305">
      <formula>B47=""</formula>
    </cfRule>
  </conditionalFormatting>
  <conditionalFormatting sqref="C48">
    <cfRule type="expression" dxfId="4914" priority="304">
      <formula>B48=""</formula>
    </cfRule>
  </conditionalFormatting>
  <conditionalFormatting sqref="C49">
    <cfRule type="expression" dxfId="4913" priority="303">
      <formula>B49=""</formula>
    </cfRule>
  </conditionalFormatting>
  <conditionalFormatting sqref="D30 D32 D34 D36 D38 D40 D42 D44 D46 D48">
    <cfRule type="expression" dxfId="4912" priority="302">
      <formula>B30=""</formula>
    </cfRule>
  </conditionalFormatting>
  <conditionalFormatting sqref="D31 D33 D35 D37 D39 D41 D43 D45 D47 D49">
    <cfRule type="expression" dxfId="4911" priority="301">
      <formula>B31=""</formula>
    </cfRule>
  </conditionalFormatting>
  <conditionalFormatting sqref="D32:D42">
    <cfRule type="expression" dxfId="4910" priority="300">
      <formula>B32=""</formula>
    </cfRule>
  </conditionalFormatting>
  <conditionalFormatting sqref="D43">
    <cfRule type="expression" dxfId="4909" priority="299">
      <formula>B43=""</formula>
    </cfRule>
  </conditionalFormatting>
  <conditionalFormatting sqref="D44">
    <cfRule type="expression" dxfId="4908" priority="298">
      <formula>B44=""</formula>
    </cfRule>
  </conditionalFormatting>
  <conditionalFormatting sqref="D45">
    <cfRule type="expression" dxfId="4907" priority="297">
      <formula>B45=""</formula>
    </cfRule>
  </conditionalFormatting>
  <conditionalFormatting sqref="D46">
    <cfRule type="expression" dxfId="4906" priority="296">
      <formula>B46=""</formula>
    </cfRule>
  </conditionalFormatting>
  <conditionalFormatting sqref="D47">
    <cfRule type="expression" dxfId="4905" priority="295">
      <formula>B47=""</formula>
    </cfRule>
  </conditionalFormatting>
  <conditionalFormatting sqref="D48">
    <cfRule type="expression" dxfId="4904" priority="294">
      <formula>B48=""</formula>
    </cfRule>
  </conditionalFormatting>
  <conditionalFormatting sqref="D49">
    <cfRule type="expression" dxfId="4903" priority="293">
      <formula>B49=""</formula>
    </cfRule>
  </conditionalFormatting>
  <conditionalFormatting sqref="E30 E32 E34 E36 E38 E40 E42 E44 E46 E48">
    <cfRule type="expression" dxfId="4902" priority="292">
      <formula>B30=""</formula>
    </cfRule>
  </conditionalFormatting>
  <conditionalFormatting sqref="E31 E33 E35 E37 E39 E41 E43 E45 E47 E49">
    <cfRule type="expression" dxfId="4901" priority="291">
      <formula>B31=""</formula>
    </cfRule>
  </conditionalFormatting>
  <conditionalFormatting sqref="E32:E42">
    <cfRule type="expression" dxfId="4900" priority="290">
      <formula>B32=""</formula>
    </cfRule>
  </conditionalFormatting>
  <conditionalFormatting sqref="E43">
    <cfRule type="expression" dxfId="4899" priority="289">
      <formula>B43=""</formula>
    </cfRule>
  </conditionalFormatting>
  <conditionalFormatting sqref="E44">
    <cfRule type="expression" dxfId="4898" priority="288">
      <formula>B44=""</formula>
    </cfRule>
  </conditionalFormatting>
  <conditionalFormatting sqref="E45">
    <cfRule type="expression" dxfId="4897" priority="287">
      <formula>B45=""</formula>
    </cfRule>
  </conditionalFormatting>
  <conditionalFormatting sqref="E46">
    <cfRule type="expression" dxfId="4896" priority="286">
      <formula>B46=""</formula>
    </cfRule>
  </conditionalFormatting>
  <conditionalFormatting sqref="E47">
    <cfRule type="expression" dxfId="4895" priority="285">
      <formula>B47=""</formula>
    </cfRule>
  </conditionalFormatting>
  <conditionalFormatting sqref="E48">
    <cfRule type="expression" dxfId="4894" priority="284">
      <formula>B48=""</formula>
    </cfRule>
  </conditionalFormatting>
  <conditionalFormatting sqref="E49">
    <cfRule type="expression" dxfId="4893" priority="283">
      <formula>B49=""</formula>
    </cfRule>
  </conditionalFormatting>
  <conditionalFormatting sqref="F30 F32 F34 F36 F38 F40 F42 F44 F46 F48">
    <cfRule type="expression" dxfId="4892" priority="282">
      <formula>B30=""</formula>
    </cfRule>
  </conditionalFormatting>
  <conditionalFormatting sqref="F31 F33 F35 F37 F39 F41 F43 F45 F47 F49">
    <cfRule type="expression" dxfId="4891" priority="281">
      <formula>B31=""</formula>
    </cfRule>
  </conditionalFormatting>
  <conditionalFormatting sqref="F32:F42">
    <cfRule type="expression" dxfId="4890" priority="280">
      <formula>B32=""</formula>
    </cfRule>
  </conditionalFormatting>
  <conditionalFormatting sqref="F43">
    <cfRule type="expression" dxfId="4889" priority="279">
      <formula>B43=""</formula>
    </cfRule>
  </conditionalFormatting>
  <conditionalFormatting sqref="F44">
    <cfRule type="expression" dxfId="4888" priority="278">
      <formula>B44=""</formula>
    </cfRule>
  </conditionalFormatting>
  <conditionalFormatting sqref="F45">
    <cfRule type="expression" dxfId="4887" priority="277">
      <formula>B45=""</formula>
    </cfRule>
  </conditionalFormatting>
  <conditionalFormatting sqref="F46">
    <cfRule type="expression" dxfId="4886" priority="276">
      <formula>B46=""</formula>
    </cfRule>
  </conditionalFormatting>
  <conditionalFormatting sqref="F47">
    <cfRule type="expression" dxfId="4885" priority="275">
      <formula>B47=""</formula>
    </cfRule>
  </conditionalFormatting>
  <conditionalFormatting sqref="F48">
    <cfRule type="expression" dxfId="4884" priority="274">
      <formula>B48=""</formula>
    </cfRule>
  </conditionalFormatting>
  <conditionalFormatting sqref="F49">
    <cfRule type="expression" dxfId="4883" priority="273">
      <formula>B49=""</formula>
    </cfRule>
  </conditionalFormatting>
  <conditionalFormatting sqref="E31 E33 E35 E37 E39 E41 E43 E45 E47 E49">
    <cfRule type="expression" dxfId="4882" priority="272">
      <formula>B31=""</formula>
    </cfRule>
  </conditionalFormatting>
  <conditionalFormatting sqref="E32:E42">
    <cfRule type="expression" dxfId="4881" priority="271">
      <formula>B32=""</formula>
    </cfRule>
  </conditionalFormatting>
  <conditionalFormatting sqref="E43">
    <cfRule type="expression" dxfId="4880" priority="270">
      <formula>B43=""</formula>
    </cfRule>
  </conditionalFormatting>
  <conditionalFormatting sqref="E44">
    <cfRule type="expression" dxfId="4879" priority="269">
      <formula>B44=""</formula>
    </cfRule>
  </conditionalFormatting>
  <conditionalFormatting sqref="E45">
    <cfRule type="expression" dxfId="4878" priority="268">
      <formula>B45=""</formula>
    </cfRule>
  </conditionalFormatting>
  <conditionalFormatting sqref="E46">
    <cfRule type="expression" dxfId="4877" priority="267">
      <formula>B46=""</formula>
    </cfRule>
  </conditionalFormatting>
  <conditionalFormatting sqref="E47">
    <cfRule type="expression" dxfId="4876" priority="266">
      <formula>B47=""</formula>
    </cfRule>
  </conditionalFormatting>
  <conditionalFormatting sqref="E48">
    <cfRule type="expression" dxfId="4875" priority="265">
      <formula>B48=""</formula>
    </cfRule>
  </conditionalFormatting>
  <conditionalFormatting sqref="E49">
    <cfRule type="expression" dxfId="4874" priority="264">
      <formula>B49=""</formula>
    </cfRule>
  </conditionalFormatting>
  <conditionalFormatting sqref="G30 G32 G34 G36 G38 G40 G42 G44 G46 G48">
    <cfRule type="expression" dxfId="4873" priority="263">
      <formula>B30=""</formula>
    </cfRule>
  </conditionalFormatting>
  <conditionalFormatting sqref="G31 G33 G35 G37 G39 G41 G43 G45 G47 G49">
    <cfRule type="expression" dxfId="4872" priority="262">
      <formula>B31=""</formula>
    </cfRule>
  </conditionalFormatting>
  <conditionalFormatting sqref="G32:G42">
    <cfRule type="expression" dxfId="4871" priority="261">
      <formula>B32=""</formula>
    </cfRule>
  </conditionalFormatting>
  <conditionalFormatting sqref="G43">
    <cfRule type="expression" dxfId="4870" priority="260">
      <formula>B43=""</formula>
    </cfRule>
  </conditionalFormatting>
  <conditionalFormatting sqref="G44">
    <cfRule type="expression" dxfId="4869" priority="259">
      <formula>B44=""</formula>
    </cfRule>
  </conditionalFormatting>
  <conditionalFormatting sqref="G45">
    <cfRule type="expression" dxfId="4868" priority="258">
      <formula>B45=""</formula>
    </cfRule>
  </conditionalFormatting>
  <conditionalFormatting sqref="G46">
    <cfRule type="expression" dxfId="4867" priority="257">
      <formula>B46=""</formula>
    </cfRule>
  </conditionalFormatting>
  <conditionalFormatting sqref="G47">
    <cfRule type="expression" dxfId="4866" priority="256">
      <formula>B47=""</formula>
    </cfRule>
  </conditionalFormatting>
  <conditionalFormatting sqref="G48">
    <cfRule type="expression" dxfId="4865" priority="255">
      <formula>B48=""</formula>
    </cfRule>
  </conditionalFormatting>
  <conditionalFormatting sqref="G49">
    <cfRule type="expression" dxfId="4864" priority="254">
      <formula>B49=""</formula>
    </cfRule>
  </conditionalFormatting>
  <conditionalFormatting sqref="H30 H32 H34 H36 H38 H40 H42 H44 H46 H48">
    <cfRule type="expression" dxfId="4863" priority="253">
      <formula>B30=""</formula>
    </cfRule>
  </conditionalFormatting>
  <conditionalFormatting sqref="H31 H33 H35 H37 H39 H41 H43 H45 H47 H49">
    <cfRule type="expression" dxfId="4862" priority="252">
      <formula>B31=""</formula>
    </cfRule>
  </conditionalFormatting>
  <conditionalFormatting sqref="H32:H42">
    <cfRule type="expression" dxfId="4861" priority="251">
      <formula>B32=""</formula>
    </cfRule>
  </conditionalFormatting>
  <conditionalFormatting sqref="H43">
    <cfRule type="expression" dxfId="4860" priority="250">
      <formula>B43=""</formula>
    </cfRule>
  </conditionalFormatting>
  <conditionalFormatting sqref="H44">
    <cfRule type="expression" dxfId="4859" priority="249">
      <formula>B44=""</formula>
    </cfRule>
  </conditionalFormatting>
  <conditionalFormatting sqref="H45">
    <cfRule type="expression" dxfId="4858" priority="248">
      <formula>B45=""</formula>
    </cfRule>
  </conditionalFormatting>
  <conditionalFormatting sqref="H46">
    <cfRule type="expression" dxfId="4857" priority="247">
      <formula>B46=""</formula>
    </cfRule>
  </conditionalFormatting>
  <conditionalFormatting sqref="H47">
    <cfRule type="expression" dxfId="4856" priority="246">
      <formula>B47=""</formula>
    </cfRule>
  </conditionalFormatting>
  <conditionalFormatting sqref="H48">
    <cfRule type="expression" dxfId="4855" priority="245">
      <formula>B48=""</formula>
    </cfRule>
  </conditionalFormatting>
  <conditionalFormatting sqref="H49">
    <cfRule type="expression" dxfId="4854" priority="244">
      <formula>B49=""</formula>
    </cfRule>
  </conditionalFormatting>
  <conditionalFormatting sqref="C30:C49">
    <cfRule type="expression" dxfId="4853" priority="243">
      <formula>B30=""</formula>
    </cfRule>
  </conditionalFormatting>
  <conditionalFormatting sqref="C31 C33 C35 C37 C39 C41 C43 C45 C47 C49">
    <cfRule type="expression" dxfId="4852" priority="242">
      <formula>B31=""</formula>
    </cfRule>
  </conditionalFormatting>
  <conditionalFormatting sqref="C32:C42">
    <cfRule type="expression" dxfId="4851" priority="241">
      <formula>B32=""</formula>
    </cfRule>
  </conditionalFormatting>
  <conditionalFormatting sqref="C43">
    <cfRule type="expression" dxfId="4850" priority="240">
      <formula>B43=""</formula>
    </cfRule>
  </conditionalFormatting>
  <conditionalFormatting sqref="C44">
    <cfRule type="expression" dxfId="4849" priority="239">
      <formula>B44=""</formula>
    </cfRule>
  </conditionalFormatting>
  <conditionalFormatting sqref="C45">
    <cfRule type="expression" dxfId="4848" priority="238">
      <formula>B45=""</formula>
    </cfRule>
  </conditionalFormatting>
  <conditionalFormatting sqref="C46">
    <cfRule type="expression" dxfId="4847" priority="237">
      <formula>B46=""</formula>
    </cfRule>
  </conditionalFormatting>
  <conditionalFormatting sqref="C47">
    <cfRule type="expression" dxfId="4846" priority="236">
      <formula>B47=""</formula>
    </cfRule>
  </conditionalFormatting>
  <conditionalFormatting sqref="C48">
    <cfRule type="expression" dxfId="4845" priority="235">
      <formula>B48=""</formula>
    </cfRule>
  </conditionalFormatting>
  <conditionalFormatting sqref="C49">
    <cfRule type="expression" dxfId="4844" priority="234">
      <formula>B49=""</formula>
    </cfRule>
  </conditionalFormatting>
  <conditionalFormatting sqref="C30 C32 C34 C36 C38 C40 C42 C44 C46 C48">
    <cfRule type="expression" dxfId="4843" priority="233">
      <formula>B30=""</formula>
    </cfRule>
  </conditionalFormatting>
  <conditionalFormatting sqref="C31 C33 C35 C37 C39 C41 C43 C45 C47 C49">
    <cfRule type="expression" dxfId="4842" priority="232">
      <formula>B31=""</formula>
    </cfRule>
  </conditionalFormatting>
  <conditionalFormatting sqref="C32:C42">
    <cfRule type="expression" dxfId="4841" priority="231">
      <formula>B32=""</formula>
    </cfRule>
  </conditionalFormatting>
  <conditionalFormatting sqref="C43">
    <cfRule type="expression" dxfId="4840" priority="230">
      <formula>B43=""</formula>
    </cfRule>
  </conditionalFormatting>
  <conditionalFormatting sqref="C44">
    <cfRule type="expression" dxfId="4839" priority="229">
      <formula>B44=""</formula>
    </cfRule>
  </conditionalFormatting>
  <conditionalFormatting sqref="C45">
    <cfRule type="expression" dxfId="4838" priority="228">
      <formula>B45=""</formula>
    </cfRule>
  </conditionalFormatting>
  <conditionalFormatting sqref="C46">
    <cfRule type="expression" dxfId="4837" priority="227">
      <formula>B46=""</formula>
    </cfRule>
  </conditionalFormatting>
  <conditionalFormatting sqref="C47">
    <cfRule type="expression" dxfId="4836" priority="226">
      <formula>B47=""</formula>
    </cfRule>
  </conditionalFormatting>
  <conditionalFormatting sqref="C48">
    <cfRule type="expression" dxfId="4835" priority="225">
      <formula>B48=""</formula>
    </cfRule>
  </conditionalFormatting>
  <conditionalFormatting sqref="C49">
    <cfRule type="expression" dxfId="4834" priority="224">
      <formula>B49=""</formula>
    </cfRule>
  </conditionalFormatting>
  <conditionalFormatting sqref="D30 D32 D34 D36 D38 D40 D42 D44 D46 D48">
    <cfRule type="expression" dxfId="4833" priority="223">
      <formula>B30=""</formula>
    </cfRule>
  </conditionalFormatting>
  <conditionalFormatting sqref="D31 D33 D35 D37 D39 D41 D43 D45 D47 D49">
    <cfRule type="expression" dxfId="4832" priority="222">
      <formula>B31=""</formula>
    </cfRule>
  </conditionalFormatting>
  <conditionalFormatting sqref="D32:D42">
    <cfRule type="expression" dxfId="4831" priority="221">
      <formula>B32=""</formula>
    </cfRule>
  </conditionalFormatting>
  <conditionalFormatting sqref="D43">
    <cfRule type="expression" dxfId="4830" priority="220">
      <formula>B43=""</formula>
    </cfRule>
  </conditionalFormatting>
  <conditionalFormatting sqref="D44">
    <cfRule type="expression" dxfId="4829" priority="219">
      <formula>B44=""</formula>
    </cfRule>
  </conditionalFormatting>
  <conditionalFormatting sqref="D45">
    <cfRule type="expression" dxfId="4828" priority="218">
      <formula>B45=""</formula>
    </cfRule>
  </conditionalFormatting>
  <conditionalFormatting sqref="D46">
    <cfRule type="expression" dxfId="4827" priority="217">
      <formula>B46=""</formula>
    </cfRule>
  </conditionalFormatting>
  <conditionalFormatting sqref="D47">
    <cfRule type="expression" dxfId="4826" priority="216">
      <formula>B47=""</formula>
    </cfRule>
  </conditionalFormatting>
  <conditionalFormatting sqref="D48">
    <cfRule type="expression" dxfId="4825" priority="215">
      <formula>B48=""</formula>
    </cfRule>
  </conditionalFormatting>
  <conditionalFormatting sqref="D49">
    <cfRule type="expression" dxfId="4824" priority="214">
      <formula>B49=""</formula>
    </cfRule>
  </conditionalFormatting>
  <conditionalFormatting sqref="E30:E49">
    <cfRule type="expression" dxfId="4823" priority="213">
      <formula>B30=""</formula>
    </cfRule>
  </conditionalFormatting>
  <conditionalFormatting sqref="E31 E33 E35 E37 E39 E41 E43 E45 E47 E49">
    <cfRule type="expression" dxfId="4822" priority="212">
      <formula>B31=""</formula>
    </cfRule>
  </conditionalFormatting>
  <conditionalFormatting sqref="E32:E42">
    <cfRule type="expression" dxfId="4821" priority="211">
      <formula>B32=""</formula>
    </cfRule>
  </conditionalFormatting>
  <conditionalFormatting sqref="E43">
    <cfRule type="expression" dxfId="4820" priority="210">
      <formula>B43=""</formula>
    </cfRule>
  </conditionalFormatting>
  <conditionalFormatting sqref="E44">
    <cfRule type="expression" dxfId="4819" priority="209">
      <formula>B44=""</formula>
    </cfRule>
  </conditionalFormatting>
  <conditionalFormatting sqref="E45">
    <cfRule type="expression" dxfId="4818" priority="208">
      <formula>B45=""</formula>
    </cfRule>
  </conditionalFormatting>
  <conditionalFormatting sqref="E46">
    <cfRule type="expression" dxfId="4817" priority="207">
      <formula>B46=""</formula>
    </cfRule>
  </conditionalFormatting>
  <conditionalFormatting sqref="E47">
    <cfRule type="expression" dxfId="4816" priority="206">
      <formula>B47=""</formula>
    </cfRule>
  </conditionalFormatting>
  <conditionalFormatting sqref="E48">
    <cfRule type="expression" dxfId="4815" priority="205">
      <formula>B48=""</formula>
    </cfRule>
  </conditionalFormatting>
  <conditionalFormatting sqref="E49">
    <cfRule type="expression" dxfId="4814" priority="204">
      <formula>B49=""</formula>
    </cfRule>
  </conditionalFormatting>
  <conditionalFormatting sqref="F30:F49">
    <cfRule type="expression" dxfId="4813" priority="203">
      <formula>B30=""</formula>
    </cfRule>
  </conditionalFormatting>
  <conditionalFormatting sqref="F31 F33 F35 F37 F39 F41 F43 F45 F47 F49">
    <cfRule type="expression" dxfId="4812" priority="202">
      <formula>B31=""</formula>
    </cfRule>
  </conditionalFormatting>
  <conditionalFormatting sqref="F32:F42">
    <cfRule type="expression" dxfId="4811" priority="201">
      <formula>B32=""</formula>
    </cfRule>
  </conditionalFormatting>
  <conditionalFormatting sqref="F43">
    <cfRule type="expression" dxfId="4810" priority="200">
      <formula>B43=""</formula>
    </cfRule>
  </conditionalFormatting>
  <conditionalFormatting sqref="F44">
    <cfRule type="expression" dxfId="4809" priority="199">
      <formula>B44=""</formula>
    </cfRule>
  </conditionalFormatting>
  <conditionalFormatting sqref="F45">
    <cfRule type="expression" dxfId="4808" priority="198">
      <formula>B45=""</formula>
    </cfRule>
  </conditionalFormatting>
  <conditionalFormatting sqref="F46">
    <cfRule type="expression" dxfId="4807" priority="197">
      <formula>B46=""</formula>
    </cfRule>
  </conditionalFormatting>
  <conditionalFormatting sqref="F47">
    <cfRule type="expression" dxfId="4806" priority="196">
      <formula>B47=""</formula>
    </cfRule>
  </conditionalFormatting>
  <conditionalFormatting sqref="F48">
    <cfRule type="expression" dxfId="4805" priority="195">
      <formula>B48=""</formula>
    </cfRule>
  </conditionalFormatting>
  <conditionalFormatting sqref="F49">
    <cfRule type="expression" dxfId="4804" priority="194">
      <formula>B49=""</formula>
    </cfRule>
  </conditionalFormatting>
  <conditionalFormatting sqref="E31 E33 E35 E37 E39 E41 E43 E45 E47 E49">
    <cfRule type="expression" dxfId="4803" priority="193">
      <formula>B31=""</formula>
    </cfRule>
  </conditionalFormatting>
  <conditionalFormatting sqref="E32:E42">
    <cfRule type="expression" dxfId="4802" priority="192">
      <formula>B32=""</formula>
    </cfRule>
  </conditionalFormatting>
  <conditionalFormatting sqref="E43">
    <cfRule type="expression" dxfId="4801" priority="191">
      <formula>B43=""</formula>
    </cfRule>
  </conditionalFormatting>
  <conditionalFormatting sqref="E44">
    <cfRule type="expression" dxfId="4800" priority="190">
      <formula>B44=""</formula>
    </cfRule>
  </conditionalFormatting>
  <conditionalFormatting sqref="E45">
    <cfRule type="expression" dxfId="4799" priority="189">
      <formula>B45=""</formula>
    </cfRule>
  </conditionalFormatting>
  <conditionalFormatting sqref="E46">
    <cfRule type="expression" dxfId="4798" priority="188">
      <formula>B46=""</formula>
    </cfRule>
  </conditionalFormatting>
  <conditionalFormatting sqref="E47">
    <cfRule type="expression" dxfId="4797" priority="187">
      <formula>B47=""</formula>
    </cfRule>
  </conditionalFormatting>
  <conditionalFormatting sqref="E48">
    <cfRule type="expression" dxfId="4796" priority="186">
      <formula>B48=""</formula>
    </cfRule>
  </conditionalFormatting>
  <conditionalFormatting sqref="E49">
    <cfRule type="expression" dxfId="4795" priority="185">
      <formula>B49=""</formula>
    </cfRule>
  </conditionalFormatting>
  <conditionalFormatting sqref="G30:G49">
    <cfRule type="expression" dxfId="4794" priority="184">
      <formula>B30=""</formula>
    </cfRule>
  </conditionalFormatting>
  <conditionalFormatting sqref="G31 G33 G35 G37 G39 G41 G43 G45 G47 G49">
    <cfRule type="expression" dxfId="4793" priority="183">
      <formula>B31=""</formula>
    </cfRule>
  </conditionalFormatting>
  <conditionalFormatting sqref="G32:G42">
    <cfRule type="expression" dxfId="4792" priority="182">
      <formula>B32=""</formula>
    </cfRule>
  </conditionalFormatting>
  <conditionalFormatting sqref="G43">
    <cfRule type="expression" dxfId="4791" priority="181">
      <formula>B43=""</formula>
    </cfRule>
  </conditionalFormatting>
  <conditionalFormatting sqref="G44">
    <cfRule type="expression" dxfId="4790" priority="180">
      <formula>B44=""</formula>
    </cfRule>
  </conditionalFormatting>
  <conditionalFormatting sqref="G45">
    <cfRule type="expression" dxfId="4789" priority="179">
      <formula>B45=""</formula>
    </cfRule>
  </conditionalFormatting>
  <conditionalFormatting sqref="G46">
    <cfRule type="expression" dxfId="4788" priority="178">
      <formula>B46=""</formula>
    </cfRule>
  </conditionalFormatting>
  <conditionalFormatting sqref="G47">
    <cfRule type="expression" dxfId="4787" priority="177">
      <formula>B47=""</formula>
    </cfRule>
  </conditionalFormatting>
  <conditionalFormatting sqref="G48">
    <cfRule type="expression" dxfId="4786" priority="176">
      <formula>B48=""</formula>
    </cfRule>
  </conditionalFormatting>
  <conditionalFormatting sqref="G49">
    <cfRule type="expression" dxfId="4785" priority="175">
      <formula>B49=""</formula>
    </cfRule>
  </conditionalFormatting>
  <conditionalFormatting sqref="H30 H32 H34 H36 H38 H40 H42 H44 H46 H48">
    <cfRule type="expression" dxfId="4784" priority="174">
      <formula>B30=""</formula>
    </cfRule>
  </conditionalFormatting>
  <conditionalFormatting sqref="H31 H33 H35 H37 H39 H41 H43 H45 H47 H49">
    <cfRule type="expression" dxfId="4783" priority="173">
      <formula>B31=""</formula>
    </cfRule>
  </conditionalFormatting>
  <conditionalFormatting sqref="H32:H42">
    <cfRule type="expression" dxfId="4782" priority="172">
      <formula>B32=""</formula>
    </cfRule>
  </conditionalFormatting>
  <conditionalFormatting sqref="H43">
    <cfRule type="expression" dxfId="4781" priority="171">
      <formula>B43=""</formula>
    </cfRule>
  </conditionalFormatting>
  <conditionalFormatting sqref="H44">
    <cfRule type="expression" dxfId="4780" priority="170">
      <formula>B44=""</formula>
    </cfRule>
  </conditionalFormatting>
  <conditionalFormatting sqref="H45">
    <cfRule type="expression" dxfId="4779" priority="169">
      <formula>B45=""</formula>
    </cfRule>
  </conditionalFormatting>
  <conditionalFormatting sqref="H46">
    <cfRule type="expression" dxfId="4778" priority="168">
      <formula>B46=""</formula>
    </cfRule>
  </conditionalFormatting>
  <conditionalFormatting sqref="H47">
    <cfRule type="expression" dxfId="4777" priority="167">
      <formula>B47=""</formula>
    </cfRule>
  </conditionalFormatting>
  <conditionalFormatting sqref="H48">
    <cfRule type="expression" dxfId="4776" priority="166">
      <formula>B48=""</formula>
    </cfRule>
  </conditionalFormatting>
  <conditionalFormatting sqref="H49">
    <cfRule type="expression" dxfId="4775" priority="165">
      <formula>B49=""</formula>
    </cfRule>
  </conditionalFormatting>
  <conditionalFormatting sqref="F30 F32 F34 F36 F38 F40 F42 F44 F46 F48">
    <cfRule type="expression" dxfId="4774" priority="164">
      <formula>B30=""</formula>
    </cfRule>
  </conditionalFormatting>
  <conditionalFormatting sqref="F31 F33 F35 F37 F39 F41 F43 F45 F47 F49">
    <cfRule type="expression" dxfId="4773" priority="163">
      <formula>B31=""</formula>
    </cfRule>
  </conditionalFormatting>
  <conditionalFormatting sqref="F32:F42">
    <cfRule type="expression" dxfId="4772" priority="162">
      <formula>B32=""</formula>
    </cfRule>
  </conditionalFormatting>
  <conditionalFormatting sqref="F43">
    <cfRule type="expression" dxfId="4771" priority="161">
      <formula>B43=""</formula>
    </cfRule>
  </conditionalFormatting>
  <conditionalFormatting sqref="F44">
    <cfRule type="expression" dxfId="4770" priority="160">
      <formula>B44=""</formula>
    </cfRule>
  </conditionalFormatting>
  <conditionalFormatting sqref="F45">
    <cfRule type="expression" dxfId="4769" priority="159">
      <formula>B45=""</formula>
    </cfRule>
  </conditionalFormatting>
  <conditionalFormatting sqref="F46">
    <cfRule type="expression" dxfId="4768" priority="158">
      <formula>B46=""</formula>
    </cfRule>
  </conditionalFormatting>
  <conditionalFormatting sqref="F47">
    <cfRule type="expression" dxfId="4767" priority="157">
      <formula>B47=""</formula>
    </cfRule>
  </conditionalFormatting>
  <conditionalFormatting sqref="F48">
    <cfRule type="expression" dxfId="4766" priority="156">
      <formula>B48=""</formula>
    </cfRule>
  </conditionalFormatting>
  <conditionalFormatting sqref="F49">
    <cfRule type="expression" dxfId="4765" priority="155">
      <formula>B49=""</formula>
    </cfRule>
  </conditionalFormatting>
  <conditionalFormatting sqref="C52:C72">
    <cfRule type="expression" dxfId="4764" priority="154">
      <formula>B52=""</formula>
    </cfRule>
  </conditionalFormatting>
  <conditionalFormatting sqref="C53 C55 C57 C59 C61 C63 C65 C67 C69 C71">
    <cfRule type="expression" dxfId="4763" priority="153">
      <formula>B53=""</formula>
    </cfRule>
  </conditionalFormatting>
  <conditionalFormatting sqref="C54:C64">
    <cfRule type="expression" dxfId="4762" priority="152">
      <formula>B54=""</formula>
    </cfRule>
  </conditionalFormatting>
  <conditionalFormatting sqref="C65">
    <cfRule type="expression" dxfId="4761" priority="151">
      <formula>B65=""</formula>
    </cfRule>
  </conditionalFormatting>
  <conditionalFormatting sqref="C66">
    <cfRule type="expression" dxfId="4760" priority="150">
      <formula>B66=""</formula>
    </cfRule>
  </conditionalFormatting>
  <conditionalFormatting sqref="C67">
    <cfRule type="expression" dxfId="4759" priority="149">
      <formula>B67=""</formula>
    </cfRule>
  </conditionalFormatting>
  <conditionalFormatting sqref="C68">
    <cfRule type="expression" dxfId="4758" priority="148">
      <formula>B68=""</formula>
    </cfRule>
  </conditionalFormatting>
  <conditionalFormatting sqref="C69">
    <cfRule type="expression" dxfId="4757" priority="147">
      <formula>B69=""</formula>
    </cfRule>
  </conditionalFormatting>
  <conditionalFormatting sqref="C70">
    <cfRule type="expression" dxfId="4756" priority="146">
      <formula>B70=""</formula>
    </cfRule>
  </conditionalFormatting>
  <conditionalFormatting sqref="C71">
    <cfRule type="expression" dxfId="4755" priority="145">
      <formula>B71=""</formula>
    </cfRule>
  </conditionalFormatting>
  <conditionalFormatting sqref="C71">
    <cfRule type="expression" dxfId="4754" priority="144">
      <formula>B71=""</formula>
    </cfRule>
  </conditionalFormatting>
  <conditionalFormatting sqref="C52:C72">
    <cfRule type="expression" dxfId="4753" priority="143">
      <formula>B52=""</formula>
    </cfRule>
  </conditionalFormatting>
  <conditionalFormatting sqref="C53 C55 C57 C59 C61 C63 C65 C67 C69 C71">
    <cfRule type="expression" dxfId="4752" priority="142">
      <formula>B53=""</formula>
    </cfRule>
  </conditionalFormatting>
  <conditionalFormatting sqref="C54:C64">
    <cfRule type="expression" dxfId="4751" priority="141">
      <formula>B54=""</formula>
    </cfRule>
  </conditionalFormatting>
  <conditionalFormatting sqref="C65">
    <cfRule type="expression" dxfId="4750" priority="140">
      <formula>B65=""</formula>
    </cfRule>
  </conditionalFormatting>
  <conditionalFormatting sqref="C66">
    <cfRule type="expression" dxfId="4749" priority="139">
      <formula>B66=""</formula>
    </cfRule>
  </conditionalFormatting>
  <conditionalFormatting sqref="C67">
    <cfRule type="expression" dxfId="4748" priority="138">
      <formula>B67=""</formula>
    </cfRule>
  </conditionalFormatting>
  <conditionalFormatting sqref="C68">
    <cfRule type="expression" dxfId="4747" priority="137">
      <formula>B68=""</formula>
    </cfRule>
  </conditionalFormatting>
  <conditionalFormatting sqref="C69">
    <cfRule type="expression" dxfId="4746" priority="136">
      <formula>B69=""</formula>
    </cfRule>
  </conditionalFormatting>
  <conditionalFormatting sqref="C70">
    <cfRule type="expression" dxfId="4745" priority="135">
      <formula>B70=""</formula>
    </cfRule>
  </conditionalFormatting>
  <conditionalFormatting sqref="C71">
    <cfRule type="expression" dxfId="4744" priority="134">
      <formula>B71=""</formula>
    </cfRule>
  </conditionalFormatting>
  <conditionalFormatting sqref="C52:C72">
    <cfRule type="expression" dxfId="4743" priority="133">
      <formula>B52=""</formula>
    </cfRule>
  </conditionalFormatting>
  <conditionalFormatting sqref="C53 C55 C57 C59 C61 C63 C65 C67 C69 C71">
    <cfRule type="expression" dxfId="4742" priority="132">
      <formula>B53=""</formula>
    </cfRule>
  </conditionalFormatting>
  <conditionalFormatting sqref="C54:C64">
    <cfRule type="expression" dxfId="4741" priority="131">
      <formula>B54=""</formula>
    </cfRule>
  </conditionalFormatting>
  <conditionalFormatting sqref="C65">
    <cfRule type="expression" dxfId="4740" priority="130">
      <formula>B65=""</formula>
    </cfRule>
  </conditionalFormatting>
  <conditionalFormatting sqref="C66">
    <cfRule type="expression" dxfId="4739" priority="129">
      <formula>B66=""</formula>
    </cfRule>
  </conditionalFormatting>
  <conditionalFormatting sqref="C67">
    <cfRule type="expression" dxfId="4738" priority="128">
      <formula>B67=""</formula>
    </cfRule>
  </conditionalFormatting>
  <conditionalFormatting sqref="C68">
    <cfRule type="expression" dxfId="4737" priority="127">
      <formula>B68=""</formula>
    </cfRule>
  </conditionalFormatting>
  <conditionalFormatting sqref="C69">
    <cfRule type="expression" dxfId="4736" priority="126">
      <formula>B69=""</formula>
    </cfRule>
  </conditionalFormatting>
  <conditionalFormatting sqref="C70">
    <cfRule type="expression" dxfId="4735" priority="125">
      <formula>B70=""</formula>
    </cfRule>
  </conditionalFormatting>
  <conditionalFormatting sqref="C71">
    <cfRule type="expression" dxfId="4734" priority="124">
      <formula>B71=""</formula>
    </cfRule>
  </conditionalFormatting>
  <conditionalFormatting sqref="C52:C72">
    <cfRule type="expression" dxfId="4733" priority="123">
      <formula>B52=""</formula>
    </cfRule>
  </conditionalFormatting>
  <conditionalFormatting sqref="C53 C55 C57 C59 C61 C63 C65 C67 C69 C71">
    <cfRule type="expression" dxfId="4732" priority="122">
      <formula>B53=""</formula>
    </cfRule>
  </conditionalFormatting>
  <conditionalFormatting sqref="C54:C64">
    <cfRule type="expression" dxfId="4731" priority="121">
      <formula>B54=""</formula>
    </cfRule>
  </conditionalFormatting>
  <conditionalFormatting sqref="C65">
    <cfRule type="expression" dxfId="4730" priority="120">
      <formula>B65=""</formula>
    </cfRule>
  </conditionalFormatting>
  <conditionalFormatting sqref="C66">
    <cfRule type="expression" dxfId="4729" priority="119">
      <formula>B66=""</formula>
    </cfRule>
  </conditionalFormatting>
  <conditionalFormatting sqref="C67">
    <cfRule type="expression" dxfId="4728" priority="118">
      <formula>B67=""</formula>
    </cfRule>
  </conditionalFormatting>
  <conditionalFormatting sqref="C68">
    <cfRule type="expression" dxfId="4727" priority="117">
      <formula>B68=""</formula>
    </cfRule>
  </conditionalFormatting>
  <conditionalFormatting sqref="C69">
    <cfRule type="expression" dxfId="4726" priority="116">
      <formula>B69=""</formula>
    </cfRule>
  </conditionalFormatting>
  <conditionalFormatting sqref="C70">
    <cfRule type="expression" dxfId="4725" priority="115">
      <formula>B70=""</formula>
    </cfRule>
  </conditionalFormatting>
  <conditionalFormatting sqref="C71">
    <cfRule type="expression" dxfId="4724" priority="114">
      <formula>B71=""</formula>
    </cfRule>
  </conditionalFormatting>
  <conditionalFormatting sqref="C52 C54 C56 C58 C60 C62 C64 C66 C68 C70 C72">
    <cfRule type="expression" dxfId="4723" priority="113">
      <formula>B52=""</formula>
    </cfRule>
  </conditionalFormatting>
  <conditionalFormatting sqref="C53 C55 C57 C59 C61 C63 C65 C67 C69 C71">
    <cfRule type="expression" dxfId="4722" priority="112">
      <formula>B53=""</formula>
    </cfRule>
  </conditionalFormatting>
  <conditionalFormatting sqref="C54:C64">
    <cfRule type="expression" dxfId="4721" priority="111">
      <formula>B54=""</formula>
    </cfRule>
  </conditionalFormatting>
  <conditionalFormatting sqref="C65">
    <cfRule type="expression" dxfId="4720" priority="110">
      <formula>B65=""</formula>
    </cfRule>
  </conditionalFormatting>
  <conditionalFormatting sqref="C66">
    <cfRule type="expression" dxfId="4719" priority="109">
      <formula>B66=""</formula>
    </cfRule>
  </conditionalFormatting>
  <conditionalFormatting sqref="C67">
    <cfRule type="expression" dxfId="4718" priority="108">
      <formula>B67=""</formula>
    </cfRule>
  </conditionalFormatting>
  <conditionalFormatting sqref="C68">
    <cfRule type="expression" dxfId="4717" priority="107">
      <formula>B68=""</formula>
    </cfRule>
  </conditionalFormatting>
  <conditionalFormatting sqref="C69">
    <cfRule type="expression" dxfId="4716" priority="106">
      <formula>B69=""</formula>
    </cfRule>
  </conditionalFormatting>
  <conditionalFormatting sqref="C70">
    <cfRule type="expression" dxfId="4715" priority="105">
      <formula>B70=""</formula>
    </cfRule>
  </conditionalFormatting>
  <conditionalFormatting sqref="C71">
    <cfRule type="expression" dxfId="4714" priority="104">
      <formula>B71=""</formula>
    </cfRule>
  </conditionalFormatting>
  <conditionalFormatting sqref="C74:C93">
    <cfRule type="expression" dxfId="4713" priority="103">
      <formula>B74=""</formula>
    </cfRule>
  </conditionalFormatting>
  <conditionalFormatting sqref="C75 C77 C79 C81 C83 C85 C87 C89 C91 C93">
    <cfRule type="expression" dxfId="4712" priority="102">
      <formula>B75=""</formula>
    </cfRule>
  </conditionalFormatting>
  <conditionalFormatting sqref="C76:C86">
    <cfRule type="expression" dxfId="4711" priority="101">
      <formula>B76=""</formula>
    </cfRule>
  </conditionalFormatting>
  <conditionalFormatting sqref="C87">
    <cfRule type="expression" dxfId="4710" priority="100">
      <formula>B87=""</formula>
    </cfRule>
  </conditionalFormatting>
  <conditionalFormatting sqref="C88">
    <cfRule type="expression" dxfId="4709" priority="99">
      <formula>B88=""</formula>
    </cfRule>
  </conditionalFormatting>
  <conditionalFormatting sqref="C89">
    <cfRule type="expression" dxfId="4708" priority="98">
      <formula>B89=""</formula>
    </cfRule>
  </conditionalFormatting>
  <conditionalFormatting sqref="C90">
    <cfRule type="expression" dxfId="4707" priority="97">
      <formula>B90=""</formula>
    </cfRule>
  </conditionalFormatting>
  <conditionalFormatting sqref="C91">
    <cfRule type="expression" dxfId="4706" priority="96">
      <formula>B91=""</formula>
    </cfRule>
  </conditionalFormatting>
  <conditionalFormatting sqref="C92">
    <cfRule type="expression" dxfId="4705" priority="95">
      <formula>B92=""</formula>
    </cfRule>
  </conditionalFormatting>
  <conditionalFormatting sqref="C93">
    <cfRule type="expression" dxfId="4704" priority="94">
      <formula>B93=""</formula>
    </cfRule>
  </conditionalFormatting>
  <conditionalFormatting sqref="C93">
    <cfRule type="expression" dxfId="4703" priority="93">
      <formula>B93=""</formula>
    </cfRule>
  </conditionalFormatting>
  <conditionalFormatting sqref="C74:C93">
    <cfRule type="expression" dxfId="4702" priority="92">
      <formula>B74=""</formula>
    </cfRule>
  </conditionalFormatting>
  <conditionalFormatting sqref="C75 C77 C79 C81 C83 C85 C87 C89 C91 C93">
    <cfRule type="expression" dxfId="4701" priority="91">
      <formula>B75=""</formula>
    </cfRule>
  </conditionalFormatting>
  <conditionalFormatting sqref="C76:C86">
    <cfRule type="expression" dxfId="4700" priority="90">
      <formula>B76=""</formula>
    </cfRule>
  </conditionalFormatting>
  <conditionalFormatting sqref="C87">
    <cfRule type="expression" dxfId="4699" priority="89">
      <formula>B87=""</formula>
    </cfRule>
  </conditionalFormatting>
  <conditionalFormatting sqref="C88">
    <cfRule type="expression" dxfId="4698" priority="88">
      <formula>B88=""</formula>
    </cfRule>
  </conditionalFormatting>
  <conditionalFormatting sqref="C89">
    <cfRule type="expression" dxfId="4697" priority="87">
      <formula>B89=""</formula>
    </cfRule>
  </conditionalFormatting>
  <conditionalFormatting sqref="C90">
    <cfRule type="expression" dxfId="4696" priority="86">
      <formula>B90=""</formula>
    </cfRule>
  </conditionalFormatting>
  <conditionalFormatting sqref="C91">
    <cfRule type="expression" dxfId="4695" priority="85">
      <formula>B91=""</formula>
    </cfRule>
  </conditionalFormatting>
  <conditionalFormatting sqref="C92">
    <cfRule type="expression" dxfId="4694" priority="84">
      <formula>B92=""</formula>
    </cfRule>
  </conditionalFormatting>
  <conditionalFormatting sqref="C93">
    <cfRule type="expression" dxfId="4693" priority="83">
      <formula>B93=""</formula>
    </cfRule>
  </conditionalFormatting>
  <conditionalFormatting sqref="C74:C93">
    <cfRule type="expression" dxfId="4692" priority="82">
      <formula>B74=""</formula>
    </cfRule>
  </conditionalFormatting>
  <conditionalFormatting sqref="C75 C77 C79 C81 C83 C85 C87 C89 C91 C93">
    <cfRule type="expression" dxfId="4691" priority="81">
      <formula>B75=""</formula>
    </cfRule>
  </conditionalFormatting>
  <conditionalFormatting sqref="C76:C86">
    <cfRule type="expression" dxfId="4690" priority="80">
      <formula>B76=""</formula>
    </cfRule>
  </conditionalFormatting>
  <conditionalFormatting sqref="C87">
    <cfRule type="expression" dxfId="4689" priority="79">
      <formula>B87=""</formula>
    </cfRule>
  </conditionalFormatting>
  <conditionalFormatting sqref="C88">
    <cfRule type="expression" dxfId="4688" priority="78">
      <formula>B88=""</formula>
    </cfRule>
  </conditionalFormatting>
  <conditionalFormatting sqref="C89">
    <cfRule type="expression" dxfId="4687" priority="77">
      <formula>B89=""</formula>
    </cfRule>
  </conditionalFormatting>
  <conditionalFormatting sqref="C90">
    <cfRule type="expression" dxfId="4686" priority="76">
      <formula>B90=""</formula>
    </cfRule>
  </conditionalFormatting>
  <conditionalFormatting sqref="C91">
    <cfRule type="expression" dxfId="4685" priority="75">
      <formula>B91=""</formula>
    </cfRule>
  </conditionalFormatting>
  <conditionalFormatting sqref="C92">
    <cfRule type="expression" dxfId="4684" priority="74">
      <formula>B92=""</formula>
    </cfRule>
  </conditionalFormatting>
  <conditionalFormatting sqref="C93">
    <cfRule type="expression" dxfId="4683" priority="73">
      <formula>B93=""</formula>
    </cfRule>
  </conditionalFormatting>
  <conditionalFormatting sqref="C93">
    <cfRule type="expression" dxfId="4682" priority="72">
      <formula>B93=""</formula>
    </cfRule>
  </conditionalFormatting>
  <conditionalFormatting sqref="C74:C93">
    <cfRule type="expression" dxfId="4681" priority="71">
      <formula>B74=""</formula>
    </cfRule>
  </conditionalFormatting>
  <conditionalFormatting sqref="C75 C77 C79 C81 C83 C85 C87 C89 C91 C93">
    <cfRule type="expression" dxfId="4680" priority="70">
      <formula>B75=""</formula>
    </cfRule>
  </conditionalFormatting>
  <conditionalFormatting sqref="C76:C86">
    <cfRule type="expression" dxfId="4679" priority="69">
      <formula>B76=""</formula>
    </cfRule>
  </conditionalFormatting>
  <conditionalFormatting sqref="C87">
    <cfRule type="expression" dxfId="4678" priority="68">
      <formula>B87=""</formula>
    </cfRule>
  </conditionalFormatting>
  <conditionalFormatting sqref="C88">
    <cfRule type="expression" dxfId="4677" priority="67">
      <formula>B88=""</formula>
    </cfRule>
  </conditionalFormatting>
  <conditionalFormatting sqref="C89">
    <cfRule type="expression" dxfId="4676" priority="66">
      <formula>B89=""</formula>
    </cfRule>
  </conditionalFormatting>
  <conditionalFormatting sqref="C90">
    <cfRule type="expression" dxfId="4675" priority="65">
      <formula>B90=""</formula>
    </cfRule>
  </conditionalFormatting>
  <conditionalFormatting sqref="C91">
    <cfRule type="expression" dxfId="4674" priority="64">
      <formula>B91=""</formula>
    </cfRule>
  </conditionalFormatting>
  <conditionalFormatting sqref="C92">
    <cfRule type="expression" dxfId="4673" priority="63">
      <formula>B92=""</formula>
    </cfRule>
  </conditionalFormatting>
  <conditionalFormatting sqref="C93">
    <cfRule type="expression" dxfId="4672" priority="62">
      <formula>B93=""</formula>
    </cfRule>
  </conditionalFormatting>
  <conditionalFormatting sqref="C74:C93">
    <cfRule type="expression" dxfId="4671" priority="61">
      <formula>B74=""</formula>
    </cfRule>
  </conditionalFormatting>
  <conditionalFormatting sqref="C75 C77 C79 C81 C83 C85 C87 C89 C91 C93">
    <cfRule type="expression" dxfId="4670" priority="60">
      <formula>B75=""</formula>
    </cfRule>
  </conditionalFormatting>
  <conditionalFormatting sqref="C76:C86">
    <cfRule type="expression" dxfId="4669" priority="59">
      <formula>B76=""</formula>
    </cfRule>
  </conditionalFormatting>
  <conditionalFormatting sqref="C87">
    <cfRule type="expression" dxfId="4668" priority="58">
      <formula>B87=""</formula>
    </cfRule>
  </conditionalFormatting>
  <conditionalFormatting sqref="C88">
    <cfRule type="expression" dxfId="4667" priority="57">
      <formula>B88=""</formula>
    </cfRule>
  </conditionalFormatting>
  <conditionalFormatting sqref="C89">
    <cfRule type="expression" dxfId="4666" priority="56">
      <formula>B89=""</formula>
    </cfRule>
  </conditionalFormatting>
  <conditionalFormatting sqref="C90">
    <cfRule type="expression" dxfId="4665" priority="55">
      <formula>B90=""</formula>
    </cfRule>
  </conditionalFormatting>
  <conditionalFormatting sqref="C91">
    <cfRule type="expression" dxfId="4664" priority="54">
      <formula>B91=""</formula>
    </cfRule>
  </conditionalFormatting>
  <conditionalFormatting sqref="C92">
    <cfRule type="expression" dxfId="4663" priority="53">
      <formula>B92=""</formula>
    </cfRule>
  </conditionalFormatting>
  <conditionalFormatting sqref="C93">
    <cfRule type="expression" dxfId="4662" priority="52">
      <formula>B93=""</formula>
    </cfRule>
  </conditionalFormatting>
  <conditionalFormatting sqref="C74:C93">
    <cfRule type="expression" dxfId="4661" priority="51">
      <formula>B74=""</formula>
    </cfRule>
  </conditionalFormatting>
  <conditionalFormatting sqref="C75 C77 C79 C81 C83 C85 C87 C89 C91 C93">
    <cfRule type="expression" dxfId="4660" priority="50">
      <formula>B75=""</formula>
    </cfRule>
  </conditionalFormatting>
  <conditionalFormatting sqref="C76:C86">
    <cfRule type="expression" dxfId="4659" priority="49">
      <formula>B76=""</formula>
    </cfRule>
  </conditionalFormatting>
  <conditionalFormatting sqref="C87">
    <cfRule type="expression" dxfId="4658" priority="48">
      <formula>B87=""</formula>
    </cfRule>
  </conditionalFormatting>
  <conditionalFormatting sqref="C88">
    <cfRule type="expression" dxfId="4657" priority="47">
      <formula>B88=""</formula>
    </cfRule>
  </conditionalFormatting>
  <conditionalFormatting sqref="C89">
    <cfRule type="expression" dxfId="4656" priority="46">
      <formula>B89=""</formula>
    </cfRule>
  </conditionalFormatting>
  <conditionalFormatting sqref="C90">
    <cfRule type="expression" dxfId="4655" priority="45">
      <formula>B90=""</formula>
    </cfRule>
  </conditionalFormatting>
  <conditionalFormatting sqref="C91">
    <cfRule type="expression" dxfId="4654" priority="44">
      <formula>B91=""</formula>
    </cfRule>
  </conditionalFormatting>
  <conditionalFormatting sqref="C92">
    <cfRule type="expression" dxfId="4653" priority="43">
      <formula>B92=""</formula>
    </cfRule>
  </conditionalFormatting>
  <conditionalFormatting sqref="C93">
    <cfRule type="expression" dxfId="4652" priority="42">
      <formula>B93=""</formula>
    </cfRule>
  </conditionalFormatting>
  <conditionalFormatting sqref="C74 C76 C78 C80 C82 C84 C86 C88 C90 C92">
    <cfRule type="expression" dxfId="4651" priority="41">
      <formula>B74=""</formula>
    </cfRule>
  </conditionalFormatting>
  <conditionalFormatting sqref="C75 C77 C79 C81 C83 C85 C87 C89 C91 C93">
    <cfRule type="expression" dxfId="4650" priority="40">
      <formula>B75=""</formula>
    </cfRule>
  </conditionalFormatting>
  <conditionalFormatting sqref="C76:C86">
    <cfRule type="expression" dxfId="4649" priority="39">
      <formula>B76=""</formula>
    </cfRule>
  </conditionalFormatting>
  <conditionalFormatting sqref="C87">
    <cfRule type="expression" dxfId="4648" priority="38">
      <formula>B87=""</formula>
    </cfRule>
  </conditionalFormatting>
  <conditionalFormatting sqref="C88">
    <cfRule type="expression" dxfId="4647" priority="37">
      <formula>B88=""</formula>
    </cfRule>
  </conditionalFormatting>
  <conditionalFormatting sqref="C89">
    <cfRule type="expression" dxfId="4646" priority="36">
      <formula>B89=""</formula>
    </cfRule>
  </conditionalFormatting>
  <conditionalFormatting sqref="C90">
    <cfRule type="expression" dxfId="4645" priority="35">
      <formula>B90=""</formula>
    </cfRule>
  </conditionalFormatting>
  <conditionalFormatting sqref="C91">
    <cfRule type="expression" dxfId="4644" priority="34">
      <formula>B91=""</formula>
    </cfRule>
  </conditionalFormatting>
  <conditionalFormatting sqref="C92">
    <cfRule type="expression" dxfId="4643" priority="33">
      <formula>B92=""</formula>
    </cfRule>
  </conditionalFormatting>
  <conditionalFormatting sqref="C93">
    <cfRule type="expression" dxfId="4642" priority="32">
      <formula>B93=""</formula>
    </cfRule>
  </conditionalFormatting>
  <conditionalFormatting sqref="B8:B27">
    <cfRule type="containsBlanks" dxfId="4641" priority="31">
      <formula>LEN(TRIM(B8))=0</formula>
    </cfRule>
  </conditionalFormatting>
  <conditionalFormatting sqref="C8:C27">
    <cfRule type="expression" dxfId="4640" priority="30">
      <formula>B8=""</formula>
    </cfRule>
  </conditionalFormatting>
  <conditionalFormatting sqref="C9 C11 C13 C15 C17 C19 C21 C23 C25 C27">
    <cfRule type="expression" dxfId="4639" priority="29">
      <formula>B9=""</formula>
    </cfRule>
  </conditionalFormatting>
  <conditionalFormatting sqref="C8:C27">
    <cfRule type="expression" dxfId="4638" priority="28">
      <formula>B8=""</formula>
    </cfRule>
  </conditionalFormatting>
  <conditionalFormatting sqref="C9 C11 C13 C15 C17 C19 C21 C23 C25 C27">
    <cfRule type="expression" dxfId="4637" priority="27">
      <formula>B9=""</formula>
    </cfRule>
  </conditionalFormatting>
  <conditionalFormatting sqref="C8 C10 C12 C14 C16 C18 C20 C22 C24 C26">
    <cfRule type="expression" dxfId="4636" priority="26">
      <formula>B8=""</formula>
    </cfRule>
  </conditionalFormatting>
  <conditionalFormatting sqref="C9 C11 C13 C15 C17 C19 C21 C23 C25 C27">
    <cfRule type="expression" dxfId="4635" priority="25">
      <formula>B9=""</formula>
    </cfRule>
  </conditionalFormatting>
  <conditionalFormatting sqref="B8:B27">
    <cfRule type="containsBlanks" dxfId="4634" priority="24">
      <formula>LEN(TRIM(B8))=0</formula>
    </cfRule>
  </conditionalFormatting>
  <conditionalFormatting sqref="C8:C27">
    <cfRule type="expression" dxfId="4633" priority="23">
      <formula>B8=""</formula>
    </cfRule>
  </conditionalFormatting>
  <conditionalFormatting sqref="C9 C11 C13 C15 C17 C19 C21 C23 C25 C27">
    <cfRule type="expression" dxfId="4632" priority="22">
      <formula>B9=""</formula>
    </cfRule>
  </conditionalFormatting>
  <conditionalFormatting sqref="C8:C27">
    <cfRule type="expression" dxfId="4631" priority="21">
      <formula>B8=""</formula>
    </cfRule>
  </conditionalFormatting>
  <conditionalFormatting sqref="C9 C11 C13 C15 C17 C19 C21 C23 C25 C27">
    <cfRule type="expression" dxfId="4630" priority="20">
      <formula>B9=""</formula>
    </cfRule>
  </conditionalFormatting>
  <conditionalFormatting sqref="C8 C10 C12 C14 C16 C18 C20 C22 C24 C26">
    <cfRule type="expression" dxfId="4629" priority="19">
      <formula>B8=""</formula>
    </cfRule>
  </conditionalFormatting>
  <conditionalFormatting sqref="C9 C11 C13 C15 C17 C19 C21 C23 C25 C27">
    <cfRule type="expression" dxfId="4628" priority="18">
      <formula>B9=""</formula>
    </cfRule>
  </conditionalFormatting>
  <conditionalFormatting sqref="C8:C27">
    <cfRule type="expression" dxfId="4627" priority="17">
      <formula>B8=""</formula>
    </cfRule>
  </conditionalFormatting>
  <conditionalFormatting sqref="C9 C11 C13 C15 C17 C19 C21 C23 C25 C27">
    <cfRule type="expression" dxfId="4626" priority="16">
      <formula>B9=""</formula>
    </cfRule>
  </conditionalFormatting>
  <conditionalFormatting sqref="C8:C27">
    <cfRule type="expression" dxfId="4625" priority="15">
      <formula>B8=""</formula>
    </cfRule>
  </conditionalFormatting>
  <conditionalFormatting sqref="C9 C11 C13 C15 C17 C19 C21 C23 C25 C27">
    <cfRule type="expression" dxfId="4624" priority="14">
      <formula>B9=""</formula>
    </cfRule>
  </conditionalFormatting>
  <conditionalFormatting sqref="C8 C10 C12 C14 C16 C18 C20 C22 C24 C26">
    <cfRule type="expression" dxfId="4623" priority="13">
      <formula>B8=""</formula>
    </cfRule>
  </conditionalFormatting>
  <conditionalFormatting sqref="C9 C11 C13 C15 C17 C19 C21 C23 C25 C27">
    <cfRule type="expression" dxfId="4622" priority="12">
      <formula>B9=""</formula>
    </cfRule>
  </conditionalFormatting>
  <conditionalFormatting sqref="C8:C27">
    <cfRule type="expression" dxfId="4621" priority="11">
      <formula>B8=""</formula>
    </cfRule>
  </conditionalFormatting>
  <conditionalFormatting sqref="C9 C11 C13 C15 C17 C19 C21 C23 C25 C27">
    <cfRule type="expression" dxfId="4620" priority="10">
      <formula>B9=""</formula>
    </cfRule>
  </conditionalFormatting>
  <conditionalFormatting sqref="C9 C11 C13 C15 C17 C19 C21 C23 C25 C27">
    <cfRule type="expression" dxfId="4619" priority="9">
      <formula>B9=""</formula>
    </cfRule>
  </conditionalFormatting>
  <conditionalFormatting sqref="C8 C10 C12 C14 C16 C18 C20 C22 C24 C26">
    <cfRule type="expression" dxfId="4618" priority="8">
      <formula>B8=""</formula>
    </cfRule>
  </conditionalFormatting>
  <conditionalFormatting sqref="C9 C11 C13 C15 C17 C19 C21 C23 C25 C27">
    <cfRule type="expression" dxfId="4617" priority="7">
      <formula>B9=""</formula>
    </cfRule>
  </conditionalFormatting>
  <conditionalFormatting sqref="C8:C27">
    <cfRule type="expression" dxfId="4616" priority="6">
      <formula>B8=""</formula>
    </cfRule>
  </conditionalFormatting>
  <conditionalFormatting sqref="C9 C11 C13 C15 C17 C19 C21 C23 C25 C27">
    <cfRule type="expression" dxfId="4615" priority="5">
      <formula>B9=""</formula>
    </cfRule>
  </conditionalFormatting>
  <conditionalFormatting sqref="C8:C27">
    <cfRule type="expression" dxfId="4614" priority="4">
      <formula>B8=""</formula>
    </cfRule>
  </conditionalFormatting>
  <conditionalFormatting sqref="C9 C11 C13 C15 C17 C19 C21 C23 C25 C27">
    <cfRule type="expression" dxfId="4613" priority="3">
      <formula>B9=""</formula>
    </cfRule>
  </conditionalFormatting>
  <conditionalFormatting sqref="C8:C27">
    <cfRule type="expression" dxfId="4612" priority="2">
      <formula>B8=""</formula>
    </cfRule>
  </conditionalFormatting>
  <conditionalFormatting sqref="C9 C11 C13 C15 C17 C19 C21 C23 C25 C27">
    <cfRule type="expression" dxfId="4611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664062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DATA!B1015</f>
        <v>Electronic</v>
      </c>
    </row>
    <row r="2" spans="2:8" ht="25.8">
      <c r="C2" s="232" t="str">
        <f>'All Hours'!D1</f>
        <v>PLEASE INSERT TENDERER NAME ON INPUT DATA SHEET</v>
      </c>
      <c r="E2" s="920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DATA!B1015</f>
        <v>Electronic</v>
      </c>
      <c r="C6" s="26"/>
      <c r="D6" s="211" t="s">
        <v>6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3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5</v>
      </c>
      <c r="F7" s="22">
        <f>DATA!$B$7</f>
        <v>3534</v>
      </c>
      <c r="G7" s="23"/>
      <c r="H7" s="24">
        <f>E7*F7</f>
        <v>17670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5</v>
      </c>
      <c r="F9" s="16">
        <f>IF(B9="","",$F$7)</f>
        <v>3534</v>
      </c>
      <c r="G9" s="61">
        <f t="shared" ref="G9:G28" si="0">IF(B9="","",(F9*E9))</f>
        <v>17670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4610" priority="750">
      <formula>LEN(TRIM(B8))=0</formula>
    </cfRule>
  </conditionalFormatting>
  <conditionalFormatting sqref="C8:C27">
    <cfRule type="expression" dxfId="4609" priority="749">
      <formula>B8=""</formula>
    </cfRule>
  </conditionalFormatting>
  <conditionalFormatting sqref="C9 C11 C13 C15 C17 C19 C21 C23 C25 C27">
    <cfRule type="expression" dxfId="4608" priority="748">
      <formula>B9=""</formula>
    </cfRule>
  </conditionalFormatting>
  <conditionalFormatting sqref="C10:C20">
    <cfRule type="expression" dxfId="4607" priority="747">
      <formula>B10=""</formula>
    </cfRule>
  </conditionalFormatting>
  <conditionalFormatting sqref="C21">
    <cfRule type="expression" dxfId="4606" priority="746">
      <formula>B21=""</formula>
    </cfRule>
  </conditionalFormatting>
  <conditionalFormatting sqref="C22">
    <cfRule type="expression" dxfId="4605" priority="745">
      <formula>B22=""</formula>
    </cfRule>
  </conditionalFormatting>
  <conditionalFormatting sqref="C23">
    <cfRule type="expression" dxfId="4604" priority="744">
      <formula>B23=""</formula>
    </cfRule>
  </conditionalFormatting>
  <conditionalFormatting sqref="C24">
    <cfRule type="expression" dxfId="4603" priority="743">
      <formula>B24=""</formula>
    </cfRule>
  </conditionalFormatting>
  <conditionalFormatting sqref="C25">
    <cfRule type="expression" dxfId="4602" priority="742">
      <formula>B25=""</formula>
    </cfRule>
  </conditionalFormatting>
  <conditionalFormatting sqref="C26">
    <cfRule type="expression" dxfId="4601" priority="741">
      <formula>B26=""</formula>
    </cfRule>
  </conditionalFormatting>
  <conditionalFormatting sqref="C27">
    <cfRule type="expression" dxfId="4600" priority="740">
      <formula>B27=""</formula>
    </cfRule>
  </conditionalFormatting>
  <conditionalFormatting sqref="C28">
    <cfRule type="expression" dxfId="4599" priority="739">
      <formula>B28=""</formula>
    </cfRule>
  </conditionalFormatting>
  <conditionalFormatting sqref="D8 D10 D12 D14 D16 D18 D20 D22 D24 D26">
    <cfRule type="expression" dxfId="4598" priority="738">
      <formula>B8=""</formula>
    </cfRule>
  </conditionalFormatting>
  <conditionalFormatting sqref="D9 D11 D13 D15 D17 D19 D21 D23 D25 D27">
    <cfRule type="expression" dxfId="4597" priority="737">
      <formula>B9=""</formula>
    </cfRule>
  </conditionalFormatting>
  <conditionalFormatting sqref="D10:D20">
    <cfRule type="expression" dxfId="4596" priority="736">
      <formula>B10=""</formula>
    </cfRule>
  </conditionalFormatting>
  <conditionalFormatting sqref="D21">
    <cfRule type="expression" dxfId="4595" priority="735">
      <formula>B21=""</formula>
    </cfRule>
  </conditionalFormatting>
  <conditionalFormatting sqref="D22">
    <cfRule type="expression" dxfId="4594" priority="734">
      <formula>B22=""</formula>
    </cfRule>
  </conditionalFormatting>
  <conditionalFormatting sqref="D23">
    <cfRule type="expression" dxfId="4593" priority="733">
      <formula>B23=""</formula>
    </cfRule>
  </conditionalFormatting>
  <conditionalFormatting sqref="D24">
    <cfRule type="expression" dxfId="4592" priority="732">
      <formula>B24=""</formula>
    </cfRule>
  </conditionalFormatting>
  <conditionalFormatting sqref="D25">
    <cfRule type="expression" dxfId="4591" priority="731">
      <formula>B25=""</formula>
    </cfRule>
  </conditionalFormatting>
  <conditionalFormatting sqref="D26">
    <cfRule type="expression" dxfId="4590" priority="730">
      <formula>B26=""</formula>
    </cfRule>
  </conditionalFormatting>
  <conditionalFormatting sqref="D27">
    <cfRule type="expression" dxfId="4589" priority="729">
      <formula>B27=""</formula>
    </cfRule>
  </conditionalFormatting>
  <conditionalFormatting sqref="D28">
    <cfRule type="expression" dxfId="4588" priority="728">
      <formula>B28=""</formula>
    </cfRule>
  </conditionalFormatting>
  <conditionalFormatting sqref="E8 E10 E12 E14 E16 E18 E20 E22 E24 E26">
    <cfRule type="expression" dxfId="4587" priority="727">
      <formula>B8=""</formula>
    </cfRule>
  </conditionalFormatting>
  <conditionalFormatting sqref="E9 E11 E13 E15 E17 E19 E21 E23 E25 E27">
    <cfRule type="expression" dxfId="4586" priority="726">
      <formula>B9=""</formula>
    </cfRule>
  </conditionalFormatting>
  <conditionalFormatting sqref="E10:E20">
    <cfRule type="expression" dxfId="4585" priority="725">
      <formula>B10=""</formula>
    </cfRule>
  </conditionalFormatting>
  <conditionalFormatting sqref="E21">
    <cfRule type="expression" dxfId="4584" priority="724">
      <formula>B21=""</formula>
    </cfRule>
  </conditionalFormatting>
  <conditionalFormatting sqref="E22">
    <cfRule type="expression" dxfId="4583" priority="723">
      <formula>B22=""</formula>
    </cfRule>
  </conditionalFormatting>
  <conditionalFormatting sqref="E23">
    <cfRule type="expression" dxfId="4582" priority="722">
      <formula>B23=""</formula>
    </cfRule>
  </conditionalFormatting>
  <conditionalFormatting sqref="E24">
    <cfRule type="expression" dxfId="4581" priority="721">
      <formula>B24=""</formula>
    </cfRule>
  </conditionalFormatting>
  <conditionalFormatting sqref="E25">
    <cfRule type="expression" dxfId="4580" priority="720">
      <formula>B25=""</formula>
    </cfRule>
  </conditionalFormatting>
  <conditionalFormatting sqref="E26">
    <cfRule type="expression" dxfId="4579" priority="719">
      <formula>B26=""</formula>
    </cfRule>
  </conditionalFormatting>
  <conditionalFormatting sqref="E27">
    <cfRule type="expression" dxfId="4578" priority="718">
      <formula>B27=""</formula>
    </cfRule>
  </conditionalFormatting>
  <conditionalFormatting sqref="E28">
    <cfRule type="expression" dxfId="4577" priority="717">
      <formula>B28=""</formula>
    </cfRule>
  </conditionalFormatting>
  <conditionalFormatting sqref="F8 F10 F12 F14 F16 F18 F20 F22 F24 F26">
    <cfRule type="expression" dxfId="4576" priority="716">
      <formula>B8=""</formula>
    </cfRule>
  </conditionalFormatting>
  <conditionalFormatting sqref="F9 F11 F13 F15 F17 F19 F21 F23 F25 F27">
    <cfRule type="expression" dxfId="4575" priority="715">
      <formula>B9=""</formula>
    </cfRule>
  </conditionalFormatting>
  <conditionalFormatting sqref="F10:F20">
    <cfRule type="expression" dxfId="4574" priority="714">
      <formula>B10=""</formula>
    </cfRule>
  </conditionalFormatting>
  <conditionalFormatting sqref="F21">
    <cfRule type="expression" dxfId="4573" priority="713">
      <formula>B21=""</formula>
    </cfRule>
  </conditionalFormatting>
  <conditionalFormatting sqref="F22">
    <cfRule type="expression" dxfId="4572" priority="712">
      <formula>B22=""</formula>
    </cfRule>
  </conditionalFormatting>
  <conditionalFormatting sqref="F23">
    <cfRule type="expression" dxfId="4571" priority="711">
      <formula>B23=""</formula>
    </cfRule>
  </conditionalFormatting>
  <conditionalFormatting sqref="F24">
    <cfRule type="expression" dxfId="4570" priority="710">
      <formula>B24=""</formula>
    </cfRule>
  </conditionalFormatting>
  <conditionalFormatting sqref="F25">
    <cfRule type="expression" dxfId="4569" priority="709">
      <formula>B25=""</formula>
    </cfRule>
  </conditionalFormatting>
  <conditionalFormatting sqref="F26">
    <cfRule type="expression" dxfId="4568" priority="708">
      <formula>B26=""</formula>
    </cfRule>
  </conditionalFormatting>
  <conditionalFormatting sqref="F27">
    <cfRule type="expression" dxfId="4567" priority="707">
      <formula>B27=""</formula>
    </cfRule>
  </conditionalFormatting>
  <conditionalFormatting sqref="F28">
    <cfRule type="expression" dxfId="4566" priority="706">
      <formula>B28=""</formula>
    </cfRule>
  </conditionalFormatting>
  <conditionalFormatting sqref="E9 E11 E13 E15 E17 E19 E21 E23 E25 E27">
    <cfRule type="expression" dxfId="4565" priority="705">
      <formula>B9=""</formula>
    </cfRule>
  </conditionalFormatting>
  <conditionalFormatting sqref="E10:E20">
    <cfRule type="expression" dxfId="4564" priority="704">
      <formula>B10=""</formula>
    </cfRule>
  </conditionalFormatting>
  <conditionalFormatting sqref="E21">
    <cfRule type="expression" dxfId="4563" priority="703">
      <formula>B21=""</formula>
    </cfRule>
  </conditionalFormatting>
  <conditionalFormatting sqref="E22">
    <cfRule type="expression" dxfId="4562" priority="702">
      <formula>B22=""</formula>
    </cfRule>
  </conditionalFormatting>
  <conditionalFormatting sqref="E23">
    <cfRule type="expression" dxfId="4561" priority="701">
      <formula>B23=""</formula>
    </cfRule>
  </conditionalFormatting>
  <conditionalFormatting sqref="E24">
    <cfRule type="expression" dxfId="4560" priority="700">
      <formula>B24=""</formula>
    </cfRule>
  </conditionalFormatting>
  <conditionalFormatting sqref="E25">
    <cfRule type="expression" dxfId="4559" priority="699">
      <formula>B25=""</formula>
    </cfRule>
  </conditionalFormatting>
  <conditionalFormatting sqref="E26">
    <cfRule type="expression" dxfId="4558" priority="698">
      <formula>B26=""</formula>
    </cfRule>
  </conditionalFormatting>
  <conditionalFormatting sqref="E27">
    <cfRule type="expression" dxfId="4557" priority="697">
      <formula>B27=""</formula>
    </cfRule>
  </conditionalFormatting>
  <conditionalFormatting sqref="E28">
    <cfRule type="expression" dxfId="4556" priority="696">
      <formula>B28=""</formula>
    </cfRule>
  </conditionalFormatting>
  <conditionalFormatting sqref="G8 G10 G12 G14 G16 G18 G20 G22 G24 G26">
    <cfRule type="expression" dxfId="4555" priority="695">
      <formula>B8=""</formula>
    </cfRule>
  </conditionalFormatting>
  <conditionalFormatting sqref="G9 G11 G13 G15 G17 G19 G21 G23 G25 G27">
    <cfRule type="expression" dxfId="4554" priority="694">
      <formula>B9=""</formula>
    </cfRule>
  </conditionalFormatting>
  <conditionalFormatting sqref="G10:G20">
    <cfRule type="expression" dxfId="4553" priority="693">
      <formula>B10=""</formula>
    </cfRule>
  </conditionalFormatting>
  <conditionalFormatting sqref="G21">
    <cfRule type="expression" dxfId="4552" priority="692">
      <formula>B21=""</formula>
    </cfRule>
  </conditionalFormatting>
  <conditionalFormatting sqref="G22">
    <cfRule type="expression" dxfId="4551" priority="691">
      <formula>B22=""</formula>
    </cfRule>
  </conditionalFormatting>
  <conditionalFormatting sqref="G23">
    <cfRule type="expression" dxfId="4550" priority="690">
      <formula>B23=""</formula>
    </cfRule>
  </conditionalFormatting>
  <conditionalFormatting sqref="G24">
    <cfRule type="expression" dxfId="4549" priority="689">
      <formula>B24=""</formula>
    </cfRule>
  </conditionalFormatting>
  <conditionalFormatting sqref="G25">
    <cfRule type="expression" dxfId="4548" priority="688">
      <formula>B25=""</formula>
    </cfRule>
  </conditionalFormatting>
  <conditionalFormatting sqref="G26">
    <cfRule type="expression" dxfId="4547" priority="687">
      <formula>B26=""</formula>
    </cfRule>
  </conditionalFormatting>
  <conditionalFormatting sqref="G27">
    <cfRule type="expression" dxfId="4546" priority="686">
      <formula>B27=""</formula>
    </cfRule>
  </conditionalFormatting>
  <conditionalFormatting sqref="G28">
    <cfRule type="expression" dxfId="4545" priority="685">
      <formula>B28=""</formula>
    </cfRule>
  </conditionalFormatting>
  <conditionalFormatting sqref="H8 H10 H12 H14 H16 H18 H20 H22 H24 H26">
    <cfRule type="expression" dxfId="4544" priority="684">
      <formula>B8=""</formula>
    </cfRule>
  </conditionalFormatting>
  <conditionalFormatting sqref="H9 H11 H13 H15 H17 H19 H21 H23 H25 H27">
    <cfRule type="expression" dxfId="4543" priority="683">
      <formula>B9=""</formula>
    </cfRule>
  </conditionalFormatting>
  <conditionalFormatting sqref="H10:H20">
    <cfRule type="expression" dxfId="4542" priority="682">
      <formula>B10=""</formula>
    </cfRule>
  </conditionalFormatting>
  <conditionalFormatting sqref="H21">
    <cfRule type="expression" dxfId="4541" priority="681">
      <formula>B21=""</formula>
    </cfRule>
  </conditionalFormatting>
  <conditionalFormatting sqref="H22">
    <cfRule type="expression" dxfId="4540" priority="680">
      <formula>B22=""</formula>
    </cfRule>
  </conditionalFormatting>
  <conditionalFormatting sqref="H23">
    <cfRule type="expression" dxfId="4539" priority="679">
      <formula>B23=""</formula>
    </cfRule>
  </conditionalFormatting>
  <conditionalFormatting sqref="H24">
    <cfRule type="expression" dxfId="4538" priority="678">
      <formula>B24=""</formula>
    </cfRule>
  </conditionalFormatting>
  <conditionalFormatting sqref="H25">
    <cfRule type="expression" dxfId="4537" priority="677">
      <formula>B25=""</formula>
    </cfRule>
  </conditionalFormatting>
  <conditionalFormatting sqref="H26">
    <cfRule type="expression" dxfId="4536" priority="676">
      <formula>B26=""</formula>
    </cfRule>
  </conditionalFormatting>
  <conditionalFormatting sqref="H27">
    <cfRule type="expression" dxfId="4535" priority="675">
      <formula>B27=""</formula>
    </cfRule>
  </conditionalFormatting>
  <conditionalFormatting sqref="H28">
    <cfRule type="expression" dxfId="4534" priority="674">
      <formula>B28=""</formula>
    </cfRule>
  </conditionalFormatting>
  <conditionalFormatting sqref="C30:C50">
    <cfRule type="expression" dxfId="4533" priority="673">
      <formula>B30=""</formula>
    </cfRule>
  </conditionalFormatting>
  <conditionalFormatting sqref="C31 C33 C35 C37 C39 C41 C43 C45 C47 C49">
    <cfRule type="expression" dxfId="4532" priority="672">
      <formula>B31=""</formula>
    </cfRule>
  </conditionalFormatting>
  <conditionalFormatting sqref="C32:C42">
    <cfRule type="expression" dxfId="4531" priority="671">
      <formula>B32=""</formula>
    </cfRule>
  </conditionalFormatting>
  <conditionalFormatting sqref="C43">
    <cfRule type="expression" dxfId="4530" priority="670">
      <formula>B43=""</formula>
    </cfRule>
  </conditionalFormatting>
  <conditionalFormatting sqref="C44">
    <cfRule type="expression" dxfId="4529" priority="669">
      <formula>B44=""</formula>
    </cfRule>
  </conditionalFormatting>
  <conditionalFormatting sqref="C45">
    <cfRule type="expression" dxfId="4528" priority="668">
      <formula>B45=""</formula>
    </cfRule>
  </conditionalFormatting>
  <conditionalFormatting sqref="C46">
    <cfRule type="expression" dxfId="4527" priority="667">
      <formula>B46=""</formula>
    </cfRule>
  </conditionalFormatting>
  <conditionalFormatting sqref="C47">
    <cfRule type="expression" dxfId="4526" priority="666">
      <formula>B47=""</formula>
    </cfRule>
  </conditionalFormatting>
  <conditionalFormatting sqref="C48">
    <cfRule type="expression" dxfId="4525" priority="665">
      <formula>B48=""</formula>
    </cfRule>
  </conditionalFormatting>
  <conditionalFormatting sqref="C49">
    <cfRule type="expression" dxfId="4524" priority="664">
      <formula>B49=""</formula>
    </cfRule>
  </conditionalFormatting>
  <conditionalFormatting sqref="C50">
    <cfRule type="expression" dxfId="4523" priority="663">
      <formula>B50=""</formula>
    </cfRule>
  </conditionalFormatting>
  <conditionalFormatting sqref="D30 D32 D34 D36 D38 D40 D42 D44 D46 D48">
    <cfRule type="expression" dxfId="4522" priority="662">
      <formula>B30=""</formula>
    </cfRule>
  </conditionalFormatting>
  <conditionalFormatting sqref="D31 D33 D35 D37 D39 D41 D43 D45 D47 D49">
    <cfRule type="expression" dxfId="4521" priority="661">
      <formula>B31=""</formula>
    </cfRule>
  </conditionalFormatting>
  <conditionalFormatting sqref="D32:D42">
    <cfRule type="expression" dxfId="4520" priority="660">
      <formula>B32=""</formula>
    </cfRule>
  </conditionalFormatting>
  <conditionalFormatting sqref="D43">
    <cfRule type="expression" dxfId="4519" priority="659">
      <formula>B43=""</formula>
    </cfRule>
  </conditionalFormatting>
  <conditionalFormatting sqref="D44">
    <cfRule type="expression" dxfId="4518" priority="658">
      <formula>B44=""</formula>
    </cfRule>
  </conditionalFormatting>
  <conditionalFormatting sqref="D45">
    <cfRule type="expression" dxfId="4517" priority="657">
      <formula>B45=""</formula>
    </cfRule>
  </conditionalFormatting>
  <conditionalFormatting sqref="D46">
    <cfRule type="expression" dxfId="4516" priority="656">
      <formula>B46=""</formula>
    </cfRule>
  </conditionalFormatting>
  <conditionalFormatting sqref="D47">
    <cfRule type="expression" dxfId="4515" priority="655">
      <formula>B47=""</formula>
    </cfRule>
  </conditionalFormatting>
  <conditionalFormatting sqref="D48">
    <cfRule type="expression" dxfId="4514" priority="654">
      <formula>B48=""</formula>
    </cfRule>
  </conditionalFormatting>
  <conditionalFormatting sqref="D49">
    <cfRule type="expression" dxfId="4513" priority="653">
      <formula>B49=""</formula>
    </cfRule>
  </conditionalFormatting>
  <conditionalFormatting sqref="D50">
    <cfRule type="expression" dxfId="4512" priority="652">
      <formula>B50=""</formula>
    </cfRule>
  </conditionalFormatting>
  <conditionalFormatting sqref="E30 E32 E34 E36 E38 E40 E42 E44 E46 E48">
    <cfRule type="expression" dxfId="4511" priority="651">
      <formula>B30=""</formula>
    </cfRule>
  </conditionalFormatting>
  <conditionalFormatting sqref="E31 E33 E35 E37 E39 E41 E43 E45 E47 E49">
    <cfRule type="expression" dxfId="4510" priority="650">
      <formula>B31=""</formula>
    </cfRule>
  </conditionalFormatting>
  <conditionalFormatting sqref="E32:E42">
    <cfRule type="expression" dxfId="4509" priority="649">
      <formula>B32=""</formula>
    </cfRule>
  </conditionalFormatting>
  <conditionalFormatting sqref="E43">
    <cfRule type="expression" dxfId="4508" priority="648">
      <formula>B43=""</formula>
    </cfRule>
  </conditionalFormatting>
  <conditionalFormatting sqref="E44">
    <cfRule type="expression" dxfId="4507" priority="647">
      <formula>B44=""</formula>
    </cfRule>
  </conditionalFormatting>
  <conditionalFormatting sqref="E45">
    <cfRule type="expression" dxfId="4506" priority="646">
      <formula>B45=""</formula>
    </cfRule>
  </conditionalFormatting>
  <conditionalFormatting sqref="E46">
    <cfRule type="expression" dxfId="4505" priority="645">
      <formula>B46=""</formula>
    </cfRule>
  </conditionalFormatting>
  <conditionalFormatting sqref="E47">
    <cfRule type="expression" dxfId="4504" priority="644">
      <formula>B47=""</formula>
    </cfRule>
  </conditionalFormatting>
  <conditionalFormatting sqref="E48">
    <cfRule type="expression" dxfId="4503" priority="643">
      <formula>B48=""</formula>
    </cfRule>
  </conditionalFormatting>
  <conditionalFormatting sqref="E49">
    <cfRule type="expression" dxfId="4502" priority="642">
      <formula>B49=""</formula>
    </cfRule>
  </conditionalFormatting>
  <conditionalFormatting sqref="E50">
    <cfRule type="expression" dxfId="4501" priority="641">
      <formula>B50=""</formula>
    </cfRule>
  </conditionalFormatting>
  <conditionalFormatting sqref="F30 F32 F34 F36 F38 F40 F42 F44 F46 F48">
    <cfRule type="expression" dxfId="4500" priority="640">
      <formula>B30=""</formula>
    </cfRule>
  </conditionalFormatting>
  <conditionalFormatting sqref="F31 F33 F35 F37 F39 F41 F43 F45 F47 F49">
    <cfRule type="expression" dxfId="4499" priority="639">
      <formula>B31=""</formula>
    </cfRule>
  </conditionalFormatting>
  <conditionalFormatting sqref="F32:F42">
    <cfRule type="expression" dxfId="4498" priority="638">
      <formula>B32=""</formula>
    </cfRule>
  </conditionalFormatting>
  <conditionalFormatting sqref="F43">
    <cfRule type="expression" dxfId="4497" priority="637">
      <formula>B43=""</formula>
    </cfRule>
  </conditionalFormatting>
  <conditionalFormatting sqref="F44">
    <cfRule type="expression" dxfId="4496" priority="636">
      <formula>B44=""</formula>
    </cfRule>
  </conditionalFormatting>
  <conditionalFormatting sqref="F45">
    <cfRule type="expression" dxfId="4495" priority="635">
      <formula>B45=""</formula>
    </cfRule>
  </conditionalFormatting>
  <conditionalFormatting sqref="F46">
    <cfRule type="expression" dxfId="4494" priority="634">
      <formula>B46=""</formula>
    </cfRule>
  </conditionalFormatting>
  <conditionalFormatting sqref="F47">
    <cfRule type="expression" dxfId="4493" priority="633">
      <formula>B47=""</formula>
    </cfRule>
  </conditionalFormatting>
  <conditionalFormatting sqref="F48">
    <cfRule type="expression" dxfId="4492" priority="632">
      <formula>B48=""</formula>
    </cfRule>
  </conditionalFormatting>
  <conditionalFormatting sqref="F49">
    <cfRule type="expression" dxfId="4491" priority="631">
      <formula>B49=""</formula>
    </cfRule>
  </conditionalFormatting>
  <conditionalFormatting sqref="F50">
    <cfRule type="expression" dxfId="4490" priority="630">
      <formula>B50=""</formula>
    </cfRule>
  </conditionalFormatting>
  <conditionalFormatting sqref="E31 E33 E35 E37 E39 E41 E43 E45 E47 E49">
    <cfRule type="expression" dxfId="4489" priority="629">
      <formula>B31=""</formula>
    </cfRule>
  </conditionalFormatting>
  <conditionalFormatting sqref="E32:E42">
    <cfRule type="expression" dxfId="4488" priority="628">
      <formula>B32=""</formula>
    </cfRule>
  </conditionalFormatting>
  <conditionalFormatting sqref="E43">
    <cfRule type="expression" dxfId="4487" priority="627">
      <formula>B43=""</formula>
    </cfRule>
  </conditionalFormatting>
  <conditionalFormatting sqref="E44">
    <cfRule type="expression" dxfId="4486" priority="626">
      <formula>B44=""</formula>
    </cfRule>
  </conditionalFormatting>
  <conditionalFormatting sqref="E45">
    <cfRule type="expression" dxfId="4485" priority="625">
      <formula>B45=""</formula>
    </cfRule>
  </conditionalFormatting>
  <conditionalFormatting sqref="E46">
    <cfRule type="expression" dxfId="4484" priority="624">
      <formula>B46=""</formula>
    </cfRule>
  </conditionalFormatting>
  <conditionalFormatting sqref="E47">
    <cfRule type="expression" dxfId="4483" priority="623">
      <formula>B47=""</formula>
    </cfRule>
  </conditionalFormatting>
  <conditionalFormatting sqref="E48">
    <cfRule type="expression" dxfId="4482" priority="622">
      <formula>B48=""</formula>
    </cfRule>
  </conditionalFormatting>
  <conditionalFormatting sqref="E49">
    <cfRule type="expression" dxfId="4481" priority="621">
      <formula>B49=""</formula>
    </cfRule>
  </conditionalFormatting>
  <conditionalFormatting sqref="E50">
    <cfRule type="expression" dxfId="4480" priority="620">
      <formula>B50=""</formula>
    </cfRule>
  </conditionalFormatting>
  <conditionalFormatting sqref="G30 G32 G34 G36 G38 G40 G42 G44 G46 G48">
    <cfRule type="expression" dxfId="4479" priority="619">
      <formula>B30=""</formula>
    </cfRule>
  </conditionalFormatting>
  <conditionalFormatting sqref="G31 G33 G35 G37 G39 G41 G43 G45 G47 G49">
    <cfRule type="expression" dxfId="4478" priority="618">
      <formula>B31=""</formula>
    </cfRule>
  </conditionalFormatting>
  <conditionalFormatting sqref="G32:G42">
    <cfRule type="expression" dxfId="4477" priority="617">
      <formula>B32=""</formula>
    </cfRule>
  </conditionalFormatting>
  <conditionalFormatting sqref="G43">
    <cfRule type="expression" dxfId="4476" priority="616">
      <formula>B43=""</formula>
    </cfRule>
  </conditionalFormatting>
  <conditionalFormatting sqref="G44">
    <cfRule type="expression" dxfId="4475" priority="615">
      <formula>B44=""</formula>
    </cfRule>
  </conditionalFormatting>
  <conditionalFormatting sqref="G45">
    <cfRule type="expression" dxfId="4474" priority="614">
      <formula>B45=""</formula>
    </cfRule>
  </conditionalFormatting>
  <conditionalFormatting sqref="G46">
    <cfRule type="expression" dxfId="4473" priority="613">
      <formula>B46=""</formula>
    </cfRule>
  </conditionalFormatting>
  <conditionalFormatting sqref="G47">
    <cfRule type="expression" dxfId="4472" priority="612">
      <formula>B47=""</formula>
    </cfRule>
  </conditionalFormatting>
  <conditionalFormatting sqref="G48">
    <cfRule type="expression" dxfId="4471" priority="611">
      <formula>B48=""</formula>
    </cfRule>
  </conditionalFormatting>
  <conditionalFormatting sqref="G49">
    <cfRule type="expression" dxfId="4470" priority="610">
      <formula>B49=""</formula>
    </cfRule>
  </conditionalFormatting>
  <conditionalFormatting sqref="G50">
    <cfRule type="expression" dxfId="4469" priority="609">
      <formula>B50=""</formula>
    </cfRule>
  </conditionalFormatting>
  <conditionalFormatting sqref="H30 H32 H34 H36 H38 H40 H42 H44 H46 H48">
    <cfRule type="expression" dxfId="4468" priority="608">
      <formula>B30=""</formula>
    </cfRule>
  </conditionalFormatting>
  <conditionalFormatting sqref="H31 H33 H35 H37 H39 H41 H43 H45 H47 H49">
    <cfRule type="expression" dxfId="4467" priority="607">
      <formula>B31=""</formula>
    </cfRule>
  </conditionalFormatting>
  <conditionalFormatting sqref="H32:H42">
    <cfRule type="expression" dxfId="4466" priority="606">
      <formula>B32=""</formula>
    </cfRule>
  </conditionalFormatting>
  <conditionalFormatting sqref="H43">
    <cfRule type="expression" dxfId="4465" priority="605">
      <formula>B43=""</formula>
    </cfRule>
  </conditionalFormatting>
  <conditionalFormatting sqref="H44">
    <cfRule type="expression" dxfId="4464" priority="604">
      <formula>B44=""</formula>
    </cfRule>
  </conditionalFormatting>
  <conditionalFormatting sqref="H45">
    <cfRule type="expression" dxfId="4463" priority="603">
      <formula>B45=""</formula>
    </cfRule>
  </conditionalFormatting>
  <conditionalFormatting sqref="H46">
    <cfRule type="expression" dxfId="4462" priority="602">
      <formula>B46=""</formula>
    </cfRule>
  </conditionalFormatting>
  <conditionalFormatting sqref="H47">
    <cfRule type="expression" dxfId="4461" priority="601">
      <formula>B47=""</formula>
    </cfRule>
  </conditionalFormatting>
  <conditionalFormatting sqref="H48">
    <cfRule type="expression" dxfId="4460" priority="600">
      <formula>B48=""</formula>
    </cfRule>
  </conditionalFormatting>
  <conditionalFormatting sqref="H49">
    <cfRule type="expression" dxfId="4459" priority="599">
      <formula>B49=""</formula>
    </cfRule>
  </conditionalFormatting>
  <conditionalFormatting sqref="H50">
    <cfRule type="expression" dxfId="4458" priority="598">
      <formula>B50=""</formula>
    </cfRule>
  </conditionalFormatting>
  <conditionalFormatting sqref="C52:C71">
    <cfRule type="expression" dxfId="4457" priority="597">
      <formula>B52=""</formula>
    </cfRule>
  </conditionalFormatting>
  <conditionalFormatting sqref="C53 C55 C57 C59 C61 C63 C65 C67 C69 C71">
    <cfRule type="expression" dxfId="4456" priority="596">
      <formula>B53=""</formula>
    </cfRule>
  </conditionalFormatting>
  <conditionalFormatting sqref="C54:C64">
    <cfRule type="expression" dxfId="4455" priority="595">
      <formula>B54=""</formula>
    </cfRule>
  </conditionalFormatting>
  <conditionalFormatting sqref="C65">
    <cfRule type="expression" dxfId="4454" priority="594">
      <formula>B65=""</formula>
    </cfRule>
  </conditionalFormatting>
  <conditionalFormatting sqref="C66">
    <cfRule type="expression" dxfId="4453" priority="593">
      <formula>B66=""</formula>
    </cfRule>
  </conditionalFormatting>
  <conditionalFormatting sqref="C67">
    <cfRule type="expression" dxfId="4452" priority="592">
      <formula>B67=""</formula>
    </cfRule>
  </conditionalFormatting>
  <conditionalFormatting sqref="C68">
    <cfRule type="expression" dxfId="4451" priority="591">
      <formula>B68=""</formula>
    </cfRule>
  </conditionalFormatting>
  <conditionalFormatting sqref="C69">
    <cfRule type="expression" dxfId="4450" priority="590">
      <formula>B69=""</formula>
    </cfRule>
  </conditionalFormatting>
  <conditionalFormatting sqref="C70">
    <cfRule type="expression" dxfId="4449" priority="589">
      <formula>B70=""</formula>
    </cfRule>
  </conditionalFormatting>
  <conditionalFormatting sqref="C71">
    <cfRule type="expression" dxfId="4448" priority="588">
      <formula>B71=""</formula>
    </cfRule>
  </conditionalFormatting>
  <conditionalFormatting sqref="C72">
    <cfRule type="expression" dxfId="4447" priority="587">
      <formula>B72=""</formula>
    </cfRule>
  </conditionalFormatting>
  <conditionalFormatting sqref="D52 D54 D56 D58 D60 D62 D64 D66 D68 D70">
    <cfRule type="expression" dxfId="4446" priority="586">
      <formula>B52=""</formula>
    </cfRule>
  </conditionalFormatting>
  <conditionalFormatting sqref="D53 D55 D57 D59 D61 D63 D65 D67 D69 D71">
    <cfRule type="expression" dxfId="4445" priority="585">
      <formula>B53=""</formula>
    </cfRule>
  </conditionalFormatting>
  <conditionalFormatting sqref="D54:D64">
    <cfRule type="expression" dxfId="4444" priority="584">
      <formula>B54=""</formula>
    </cfRule>
  </conditionalFormatting>
  <conditionalFormatting sqref="D65">
    <cfRule type="expression" dxfId="4443" priority="583">
      <formula>B65=""</formula>
    </cfRule>
  </conditionalFormatting>
  <conditionalFormatting sqref="D66">
    <cfRule type="expression" dxfId="4442" priority="582">
      <formula>B66=""</formula>
    </cfRule>
  </conditionalFormatting>
  <conditionalFormatting sqref="D67">
    <cfRule type="expression" dxfId="4441" priority="581">
      <formula>B67=""</formula>
    </cfRule>
  </conditionalFormatting>
  <conditionalFormatting sqref="D68">
    <cfRule type="expression" dxfId="4440" priority="580">
      <formula>B68=""</formula>
    </cfRule>
  </conditionalFormatting>
  <conditionalFormatting sqref="D69">
    <cfRule type="expression" dxfId="4439" priority="579">
      <formula>B69=""</formula>
    </cfRule>
  </conditionalFormatting>
  <conditionalFormatting sqref="D70">
    <cfRule type="expression" dxfId="4438" priority="578">
      <formula>B70=""</formula>
    </cfRule>
  </conditionalFormatting>
  <conditionalFormatting sqref="D71">
    <cfRule type="expression" dxfId="4437" priority="577">
      <formula>B71=""</formula>
    </cfRule>
  </conditionalFormatting>
  <conditionalFormatting sqref="D72">
    <cfRule type="expression" dxfId="4436" priority="576">
      <formula>B72=""</formula>
    </cfRule>
  </conditionalFormatting>
  <conditionalFormatting sqref="E52 E54 E56 E58 E60 E62 E64 E66 E68 E70">
    <cfRule type="expression" dxfId="4435" priority="575">
      <formula>B52=""</formula>
    </cfRule>
  </conditionalFormatting>
  <conditionalFormatting sqref="E53 E55 E57 E59 E61 E63 E65 E67 E69 E71">
    <cfRule type="expression" dxfId="4434" priority="574">
      <formula>B53=""</formula>
    </cfRule>
  </conditionalFormatting>
  <conditionalFormatting sqref="E54:E64">
    <cfRule type="expression" dxfId="4433" priority="573">
      <formula>B54=""</formula>
    </cfRule>
  </conditionalFormatting>
  <conditionalFormatting sqref="E65">
    <cfRule type="expression" dxfId="4432" priority="572">
      <formula>B65=""</formula>
    </cfRule>
  </conditionalFormatting>
  <conditionalFormatting sqref="E66">
    <cfRule type="expression" dxfId="4431" priority="571">
      <formula>B66=""</formula>
    </cfRule>
  </conditionalFormatting>
  <conditionalFormatting sqref="E67">
    <cfRule type="expression" dxfId="4430" priority="570">
      <formula>B67=""</formula>
    </cfRule>
  </conditionalFormatting>
  <conditionalFormatting sqref="E68">
    <cfRule type="expression" dxfId="4429" priority="569">
      <formula>B68=""</formula>
    </cfRule>
  </conditionalFormatting>
  <conditionalFormatting sqref="E69">
    <cfRule type="expression" dxfId="4428" priority="568">
      <formula>B69=""</formula>
    </cfRule>
  </conditionalFormatting>
  <conditionalFormatting sqref="E70">
    <cfRule type="expression" dxfId="4427" priority="567">
      <formula>B70=""</formula>
    </cfRule>
  </conditionalFormatting>
  <conditionalFormatting sqref="E71">
    <cfRule type="expression" dxfId="4426" priority="566">
      <formula>B71=""</formula>
    </cfRule>
  </conditionalFormatting>
  <conditionalFormatting sqref="E72">
    <cfRule type="expression" dxfId="4425" priority="565">
      <formula>B72=""</formula>
    </cfRule>
  </conditionalFormatting>
  <conditionalFormatting sqref="F52 F54 F56 F58 F60 F62 F64 F66 F68 F70">
    <cfRule type="expression" dxfId="4424" priority="564">
      <formula>B52=""</formula>
    </cfRule>
  </conditionalFormatting>
  <conditionalFormatting sqref="F53 F55 F57 F59 F61 F63 F65 F67 F69 F71">
    <cfRule type="expression" dxfId="4423" priority="563">
      <formula>B53=""</formula>
    </cfRule>
  </conditionalFormatting>
  <conditionalFormatting sqref="F54:F64">
    <cfRule type="expression" dxfId="4422" priority="562">
      <formula>B54=""</formula>
    </cfRule>
  </conditionalFormatting>
  <conditionalFormatting sqref="F65">
    <cfRule type="expression" dxfId="4421" priority="561">
      <formula>B65=""</formula>
    </cfRule>
  </conditionalFormatting>
  <conditionalFormatting sqref="F66">
    <cfRule type="expression" dxfId="4420" priority="560">
      <formula>B66=""</formula>
    </cfRule>
  </conditionalFormatting>
  <conditionalFormatting sqref="F67">
    <cfRule type="expression" dxfId="4419" priority="559">
      <formula>B67=""</formula>
    </cfRule>
  </conditionalFormatting>
  <conditionalFormatting sqref="F68">
    <cfRule type="expression" dxfId="4418" priority="558">
      <formula>B68=""</formula>
    </cfRule>
  </conditionalFormatting>
  <conditionalFormatting sqref="F69">
    <cfRule type="expression" dxfId="4417" priority="557">
      <formula>B69=""</formula>
    </cfRule>
  </conditionalFormatting>
  <conditionalFormatting sqref="F70">
    <cfRule type="expression" dxfId="4416" priority="556">
      <formula>B70=""</formula>
    </cfRule>
  </conditionalFormatting>
  <conditionalFormatting sqref="F71">
    <cfRule type="expression" dxfId="4415" priority="555">
      <formula>B71=""</formula>
    </cfRule>
  </conditionalFormatting>
  <conditionalFormatting sqref="F72">
    <cfRule type="expression" dxfId="4414" priority="554">
      <formula>B72=""</formula>
    </cfRule>
  </conditionalFormatting>
  <conditionalFormatting sqref="E53 E55 E57 E59 E61 E63 E65 E67 E69 E71">
    <cfRule type="expression" dxfId="4413" priority="553">
      <formula>B53=""</formula>
    </cfRule>
  </conditionalFormatting>
  <conditionalFormatting sqref="E54:E64">
    <cfRule type="expression" dxfId="4412" priority="552">
      <formula>B54=""</formula>
    </cfRule>
  </conditionalFormatting>
  <conditionalFormatting sqref="E65">
    <cfRule type="expression" dxfId="4411" priority="551">
      <formula>B65=""</formula>
    </cfRule>
  </conditionalFormatting>
  <conditionalFormatting sqref="E66">
    <cfRule type="expression" dxfId="4410" priority="550">
      <formula>B66=""</formula>
    </cfRule>
  </conditionalFormatting>
  <conditionalFormatting sqref="E67">
    <cfRule type="expression" dxfId="4409" priority="549">
      <formula>B67=""</formula>
    </cfRule>
  </conditionalFormatting>
  <conditionalFormatting sqref="E68">
    <cfRule type="expression" dxfId="4408" priority="548">
      <formula>B68=""</formula>
    </cfRule>
  </conditionalFormatting>
  <conditionalFormatting sqref="E69">
    <cfRule type="expression" dxfId="4407" priority="547">
      <formula>B69=""</formula>
    </cfRule>
  </conditionalFormatting>
  <conditionalFormatting sqref="E70">
    <cfRule type="expression" dxfId="4406" priority="546">
      <formula>B70=""</formula>
    </cfRule>
  </conditionalFormatting>
  <conditionalFormatting sqref="E71">
    <cfRule type="expression" dxfId="4405" priority="545">
      <formula>B71=""</formula>
    </cfRule>
  </conditionalFormatting>
  <conditionalFormatting sqref="E72">
    <cfRule type="expression" dxfId="4404" priority="544">
      <formula>B72=""</formula>
    </cfRule>
  </conditionalFormatting>
  <conditionalFormatting sqref="G52 G54 G56 G58 G60 G62 G64 G66 G68 G70">
    <cfRule type="expression" dxfId="4403" priority="543">
      <formula>B52=""</formula>
    </cfRule>
  </conditionalFormatting>
  <conditionalFormatting sqref="G53 G55 G57 G59 G61 G63 G65 G67 G69 G71">
    <cfRule type="expression" dxfId="4402" priority="542">
      <formula>B53=""</formula>
    </cfRule>
  </conditionalFormatting>
  <conditionalFormatting sqref="G54:G64">
    <cfRule type="expression" dxfId="4401" priority="541">
      <formula>B54=""</formula>
    </cfRule>
  </conditionalFormatting>
  <conditionalFormatting sqref="G65">
    <cfRule type="expression" dxfId="4400" priority="540">
      <formula>B65=""</formula>
    </cfRule>
  </conditionalFormatting>
  <conditionalFormatting sqref="G66">
    <cfRule type="expression" dxfId="4399" priority="539">
      <formula>B66=""</formula>
    </cfRule>
  </conditionalFormatting>
  <conditionalFormatting sqref="G67">
    <cfRule type="expression" dxfId="4398" priority="538">
      <formula>B67=""</formula>
    </cfRule>
  </conditionalFormatting>
  <conditionalFormatting sqref="G68">
    <cfRule type="expression" dxfId="4397" priority="537">
      <formula>B68=""</formula>
    </cfRule>
  </conditionalFormatting>
  <conditionalFormatting sqref="G69">
    <cfRule type="expression" dxfId="4396" priority="536">
      <formula>B69=""</formula>
    </cfRule>
  </conditionalFormatting>
  <conditionalFormatting sqref="G70">
    <cfRule type="expression" dxfId="4395" priority="535">
      <formula>B70=""</formula>
    </cfRule>
  </conditionalFormatting>
  <conditionalFormatting sqref="G71">
    <cfRule type="expression" dxfId="4394" priority="534">
      <formula>B71=""</formula>
    </cfRule>
  </conditionalFormatting>
  <conditionalFormatting sqref="G72">
    <cfRule type="expression" dxfId="4393" priority="533">
      <formula>B72=""</formula>
    </cfRule>
  </conditionalFormatting>
  <conditionalFormatting sqref="H52 H54 H56 H58 H60 H62 H64 H66 H68 H70">
    <cfRule type="expression" dxfId="4392" priority="532">
      <formula>B52=""</formula>
    </cfRule>
  </conditionalFormatting>
  <conditionalFormatting sqref="H53 H55 H57 H59 H61 H63 H65 H67 H69 H71">
    <cfRule type="expression" dxfId="4391" priority="531">
      <formula>B53=""</formula>
    </cfRule>
  </conditionalFormatting>
  <conditionalFormatting sqref="H54:H64">
    <cfRule type="expression" dxfId="4390" priority="530">
      <formula>B54=""</formula>
    </cfRule>
  </conditionalFormatting>
  <conditionalFormatting sqref="H65">
    <cfRule type="expression" dxfId="4389" priority="529">
      <formula>B65=""</formula>
    </cfRule>
  </conditionalFormatting>
  <conditionalFormatting sqref="H66">
    <cfRule type="expression" dxfId="4388" priority="528">
      <formula>B66=""</formula>
    </cfRule>
  </conditionalFormatting>
  <conditionalFormatting sqref="H67">
    <cfRule type="expression" dxfId="4387" priority="527">
      <formula>B67=""</formula>
    </cfRule>
  </conditionalFormatting>
  <conditionalFormatting sqref="H68">
    <cfRule type="expression" dxfId="4386" priority="526">
      <formula>B68=""</formula>
    </cfRule>
  </conditionalFormatting>
  <conditionalFormatting sqref="H69">
    <cfRule type="expression" dxfId="4385" priority="525">
      <formula>B69=""</formula>
    </cfRule>
  </conditionalFormatting>
  <conditionalFormatting sqref="H70">
    <cfRule type="expression" dxfId="4384" priority="524">
      <formula>B70=""</formula>
    </cfRule>
  </conditionalFormatting>
  <conditionalFormatting sqref="H71">
    <cfRule type="expression" dxfId="4383" priority="523">
      <formula>B71=""</formula>
    </cfRule>
  </conditionalFormatting>
  <conditionalFormatting sqref="H72">
    <cfRule type="expression" dxfId="4382" priority="522">
      <formula>B72=""</formula>
    </cfRule>
  </conditionalFormatting>
  <conditionalFormatting sqref="C74:C94">
    <cfRule type="expression" dxfId="4381" priority="521">
      <formula>B74=""</formula>
    </cfRule>
  </conditionalFormatting>
  <conditionalFormatting sqref="C75 C77 C79 C81 C83 C85 C87 C89 C91 C93">
    <cfRule type="expression" dxfId="4380" priority="520">
      <formula>B75=""</formula>
    </cfRule>
  </conditionalFormatting>
  <conditionalFormatting sqref="C76:C86">
    <cfRule type="expression" dxfId="4379" priority="519">
      <formula>B76=""</formula>
    </cfRule>
  </conditionalFormatting>
  <conditionalFormatting sqref="C87">
    <cfRule type="expression" dxfId="4378" priority="518">
      <formula>B87=""</formula>
    </cfRule>
  </conditionalFormatting>
  <conditionalFormatting sqref="C88">
    <cfRule type="expression" dxfId="4377" priority="517">
      <formula>B88=""</formula>
    </cfRule>
  </conditionalFormatting>
  <conditionalFormatting sqref="C89">
    <cfRule type="expression" dxfId="4376" priority="516">
      <formula>B89=""</formula>
    </cfRule>
  </conditionalFormatting>
  <conditionalFormatting sqref="C90">
    <cfRule type="expression" dxfId="4375" priority="515">
      <formula>B90=""</formula>
    </cfRule>
  </conditionalFormatting>
  <conditionalFormatting sqref="C91">
    <cfRule type="expression" dxfId="4374" priority="514">
      <formula>B91=""</formula>
    </cfRule>
  </conditionalFormatting>
  <conditionalFormatting sqref="C92">
    <cfRule type="expression" dxfId="4373" priority="513">
      <formula>B92=""</formula>
    </cfRule>
  </conditionalFormatting>
  <conditionalFormatting sqref="C93">
    <cfRule type="expression" dxfId="4372" priority="512">
      <formula>B93=""</formula>
    </cfRule>
  </conditionalFormatting>
  <conditionalFormatting sqref="C94">
    <cfRule type="expression" dxfId="4371" priority="511">
      <formula>B94=""</formula>
    </cfRule>
  </conditionalFormatting>
  <conditionalFormatting sqref="D74 D76 D78 D80 D82 D84 D86 D88 D90 D92">
    <cfRule type="expression" dxfId="4370" priority="510">
      <formula>B74=""</formula>
    </cfRule>
  </conditionalFormatting>
  <conditionalFormatting sqref="D75 D77 D79 D81 D83 D85 D87 D89 D91 D93">
    <cfRule type="expression" dxfId="4369" priority="509">
      <formula>B75=""</formula>
    </cfRule>
  </conditionalFormatting>
  <conditionalFormatting sqref="D76:D86">
    <cfRule type="expression" dxfId="4368" priority="508">
      <formula>B76=""</formula>
    </cfRule>
  </conditionalFormatting>
  <conditionalFormatting sqref="D87">
    <cfRule type="expression" dxfId="4367" priority="507">
      <formula>B87=""</formula>
    </cfRule>
  </conditionalFormatting>
  <conditionalFormatting sqref="D88">
    <cfRule type="expression" dxfId="4366" priority="506">
      <formula>B88=""</formula>
    </cfRule>
  </conditionalFormatting>
  <conditionalFormatting sqref="D89">
    <cfRule type="expression" dxfId="4365" priority="505">
      <formula>B89=""</formula>
    </cfRule>
  </conditionalFormatting>
  <conditionalFormatting sqref="D90">
    <cfRule type="expression" dxfId="4364" priority="504">
      <formula>B90=""</formula>
    </cfRule>
  </conditionalFormatting>
  <conditionalFormatting sqref="D91">
    <cfRule type="expression" dxfId="4363" priority="503">
      <formula>B91=""</formula>
    </cfRule>
  </conditionalFormatting>
  <conditionalFormatting sqref="D92">
    <cfRule type="expression" dxfId="4362" priority="502">
      <formula>B92=""</formula>
    </cfRule>
  </conditionalFormatting>
  <conditionalFormatting sqref="D93">
    <cfRule type="expression" dxfId="4361" priority="501">
      <formula>B93=""</formula>
    </cfRule>
  </conditionalFormatting>
  <conditionalFormatting sqref="D94">
    <cfRule type="expression" dxfId="4360" priority="500">
      <formula>B94=""</formula>
    </cfRule>
  </conditionalFormatting>
  <conditionalFormatting sqref="E74 E76 E78 E80 E82 E84 E86 E88 E90 E92">
    <cfRule type="expression" dxfId="4359" priority="499">
      <formula>B74=""</formula>
    </cfRule>
  </conditionalFormatting>
  <conditionalFormatting sqref="E75 E77 E79 E81 E83 E85 E87 E89 E91 E93">
    <cfRule type="expression" dxfId="4358" priority="498">
      <formula>B75=""</formula>
    </cfRule>
  </conditionalFormatting>
  <conditionalFormatting sqref="E76:E86">
    <cfRule type="expression" dxfId="4357" priority="497">
      <formula>B76=""</formula>
    </cfRule>
  </conditionalFormatting>
  <conditionalFormatting sqref="E87">
    <cfRule type="expression" dxfId="4356" priority="496">
      <formula>B87=""</formula>
    </cfRule>
  </conditionalFormatting>
  <conditionalFormatting sqref="E88">
    <cfRule type="expression" dxfId="4355" priority="495">
      <formula>B88=""</formula>
    </cfRule>
  </conditionalFormatting>
  <conditionalFormatting sqref="E89">
    <cfRule type="expression" dxfId="4354" priority="494">
      <formula>B89=""</formula>
    </cfRule>
  </conditionalFormatting>
  <conditionalFormatting sqref="E90">
    <cfRule type="expression" dxfId="4353" priority="493">
      <formula>B90=""</formula>
    </cfRule>
  </conditionalFormatting>
  <conditionalFormatting sqref="E91">
    <cfRule type="expression" dxfId="4352" priority="492">
      <formula>B91=""</formula>
    </cfRule>
  </conditionalFormatting>
  <conditionalFormatting sqref="E92">
    <cfRule type="expression" dxfId="4351" priority="491">
      <formula>B92=""</formula>
    </cfRule>
  </conditionalFormatting>
  <conditionalFormatting sqref="E93">
    <cfRule type="expression" dxfId="4350" priority="490">
      <formula>B93=""</formula>
    </cfRule>
  </conditionalFormatting>
  <conditionalFormatting sqref="E94">
    <cfRule type="expression" dxfId="4349" priority="489">
      <formula>B94=""</formula>
    </cfRule>
  </conditionalFormatting>
  <conditionalFormatting sqref="F74 F76 F78 F80 F82 F84 F86 F88 F90 F92">
    <cfRule type="expression" dxfId="4348" priority="488">
      <formula>B74=""</formula>
    </cfRule>
  </conditionalFormatting>
  <conditionalFormatting sqref="F75 F77 F79 F81 F83 F85 F87 F89 F91 F93">
    <cfRule type="expression" dxfId="4347" priority="487">
      <formula>B75=""</formula>
    </cfRule>
  </conditionalFormatting>
  <conditionalFormatting sqref="F76:F86">
    <cfRule type="expression" dxfId="4346" priority="486">
      <formula>B76=""</formula>
    </cfRule>
  </conditionalFormatting>
  <conditionalFormatting sqref="F87">
    <cfRule type="expression" dxfId="4345" priority="485">
      <formula>B87=""</formula>
    </cfRule>
  </conditionalFormatting>
  <conditionalFormatting sqref="F88">
    <cfRule type="expression" dxfId="4344" priority="484">
      <formula>B88=""</formula>
    </cfRule>
  </conditionalFormatting>
  <conditionalFormatting sqref="F89">
    <cfRule type="expression" dxfId="4343" priority="483">
      <formula>B89=""</formula>
    </cfRule>
  </conditionalFormatting>
  <conditionalFormatting sqref="F90">
    <cfRule type="expression" dxfId="4342" priority="482">
      <formula>B90=""</formula>
    </cfRule>
  </conditionalFormatting>
  <conditionalFormatting sqref="F91">
    <cfRule type="expression" dxfId="4341" priority="481">
      <formula>B91=""</formula>
    </cfRule>
  </conditionalFormatting>
  <conditionalFormatting sqref="F92">
    <cfRule type="expression" dxfId="4340" priority="480">
      <formula>B92=""</formula>
    </cfRule>
  </conditionalFormatting>
  <conditionalFormatting sqref="F93">
    <cfRule type="expression" dxfId="4339" priority="479">
      <formula>B93=""</formula>
    </cfRule>
  </conditionalFormatting>
  <conditionalFormatting sqref="F94">
    <cfRule type="expression" dxfId="4338" priority="478">
      <formula>B94=""</formula>
    </cfRule>
  </conditionalFormatting>
  <conditionalFormatting sqref="E75 E77 E79 E81 E83 E85 E87 E89 E91 E93">
    <cfRule type="expression" dxfId="4337" priority="477">
      <formula>B75=""</formula>
    </cfRule>
  </conditionalFormatting>
  <conditionalFormatting sqref="E76:E86">
    <cfRule type="expression" dxfId="4336" priority="476">
      <formula>B76=""</formula>
    </cfRule>
  </conditionalFormatting>
  <conditionalFormatting sqref="E87">
    <cfRule type="expression" dxfId="4335" priority="475">
      <formula>B87=""</formula>
    </cfRule>
  </conditionalFormatting>
  <conditionalFormatting sqref="E88">
    <cfRule type="expression" dxfId="4334" priority="474">
      <formula>B88=""</formula>
    </cfRule>
  </conditionalFormatting>
  <conditionalFormatting sqref="E89">
    <cfRule type="expression" dxfId="4333" priority="473">
      <formula>B89=""</formula>
    </cfRule>
  </conditionalFormatting>
  <conditionalFormatting sqref="E90">
    <cfRule type="expression" dxfId="4332" priority="472">
      <formula>B90=""</formula>
    </cfRule>
  </conditionalFormatting>
  <conditionalFormatting sqref="E91">
    <cfRule type="expression" dxfId="4331" priority="471">
      <formula>B91=""</formula>
    </cfRule>
  </conditionalFormatting>
  <conditionalFormatting sqref="E92">
    <cfRule type="expression" dxfId="4330" priority="470">
      <formula>B92=""</formula>
    </cfRule>
  </conditionalFormatting>
  <conditionalFormatting sqref="E93">
    <cfRule type="expression" dxfId="4329" priority="469">
      <formula>B93=""</formula>
    </cfRule>
  </conditionalFormatting>
  <conditionalFormatting sqref="E94">
    <cfRule type="expression" dxfId="4328" priority="468">
      <formula>B94=""</formula>
    </cfRule>
  </conditionalFormatting>
  <conditionalFormatting sqref="G74 G76 G78 G80 G82 G84 G86 G88 G90 G92">
    <cfRule type="expression" dxfId="4327" priority="467">
      <formula>B74=""</formula>
    </cfRule>
  </conditionalFormatting>
  <conditionalFormatting sqref="G75 G77 G79 G81 G83 G85 G87 G89 G91 G93">
    <cfRule type="expression" dxfId="4326" priority="466">
      <formula>B75=""</formula>
    </cfRule>
  </conditionalFormatting>
  <conditionalFormatting sqref="G76:G86">
    <cfRule type="expression" dxfId="4325" priority="465">
      <formula>B76=""</formula>
    </cfRule>
  </conditionalFormatting>
  <conditionalFormatting sqref="G87">
    <cfRule type="expression" dxfId="4324" priority="464">
      <formula>B87=""</formula>
    </cfRule>
  </conditionalFormatting>
  <conditionalFormatting sqref="G88">
    <cfRule type="expression" dxfId="4323" priority="463">
      <formula>B88=""</formula>
    </cfRule>
  </conditionalFormatting>
  <conditionalFormatting sqref="G89">
    <cfRule type="expression" dxfId="4322" priority="462">
      <formula>B89=""</formula>
    </cfRule>
  </conditionalFormatting>
  <conditionalFormatting sqref="G90">
    <cfRule type="expression" dxfId="4321" priority="461">
      <formula>B90=""</formula>
    </cfRule>
  </conditionalFormatting>
  <conditionalFormatting sqref="G91">
    <cfRule type="expression" dxfId="4320" priority="460">
      <formula>B91=""</formula>
    </cfRule>
  </conditionalFormatting>
  <conditionalFormatting sqref="G92">
    <cfRule type="expression" dxfId="4319" priority="459">
      <formula>B92=""</formula>
    </cfRule>
  </conditionalFormatting>
  <conditionalFormatting sqref="G93">
    <cfRule type="expression" dxfId="4318" priority="458">
      <formula>B93=""</formula>
    </cfRule>
  </conditionalFormatting>
  <conditionalFormatting sqref="G94">
    <cfRule type="expression" dxfId="4317" priority="457">
      <formula>B94=""</formula>
    </cfRule>
  </conditionalFormatting>
  <conditionalFormatting sqref="H74 H76 H78 H80 H82 H84 H86 H88 H90 H92">
    <cfRule type="expression" dxfId="4316" priority="456">
      <formula>B74=""</formula>
    </cfRule>
  </conditionalFormatting>
  <conditionalFormatting sqref="H75 H77 H79 H81 H83 H85 H87 H89 H91 H93">
    <cfRule type="expression" dxfId="4315" priority="455">
      <formula>B75=""</formula>
    </cfRule>
  </conditionalFormatting>
  <conditionalFormatting sqref="H76:H86">
    <cfRule type="expression" dxfId="4314" priority="454">
      <formula>B76=""</formula>
    </cfRule>
  </conditionalFormatting>
  <conditionalFormatting sqref="H87">
    <cfRule type="expression" dxfId="4313" priority="453">
      <formula>B87=""</formula>
    </cfRule>
  </conditionalFormatting>
  <conditionalFormatting sqref="H88">
    <cfRule type="expression" dxfId="4312" priority="452">
      <formula>B88=""</formula>
    </cfRule>
  </conditionalFormatting>
  <conditionalFormatting sqref="H89">
    <cfRule type="expression" dxfId="4311" priority="451">
      <formula>B89=""</formula>
    </cfRule>
  </conditionalFormatting>
  <conditionalFormatting sqref="H90">
    <cfRule type="expression" dxfId="4310" priority="450">
      <formula>B90=""</formula>
    </cfRule>
  </conditionalFormatting>
  <conditionalFormatting sqref="H91">
    <cfRule type="expression" dxfId="4309" priority="449">
      <formula>B91=""</formula>
    </cfRule>
  </conditionalFormatting>
  <conditionalFormatting sqref="H92">
    <cfRule type="expression" dxfId="4308" priority="448">
      <formula>B92=""</formula>
    </cfRule>
  </conditionalFormatting>
  <conditionalFormatting sqref="H93">
    <cfRule type="expression" dxfId="4307" priority="447">
      <formula>B93=""</formula>
    </cfRule>
  </conditionalFormatting>
  <conditionalFormatting sqref="H94">
    <cfRule type="expression" dxfId="4306" priority="446">
      <formula>B94=""</formula>
    </cfRule>
  </conditionalFormatting>
  <conditionalFormatting sqref="C49">
    <cfRule type="expression" dxfId="4305" priority="445">
      <formula>B49=""</formula>
    </cfRule>
  </conditionalFormatting>
  <conditionalFormatting sqref="C71">
    <cfRule type="expression" dxfId="4304" priority="444">
      <formula>B71=""</formula>
    </cfRule>
  </conditionalFormatting>
  <conditionalFormatting sqref="C93">
    <cfRule type="expression" dxfId="4303" priority="443">
      <formula>B93=""</formula>
    </cfRule>
  </conditionalFormatting>
  <conditionalFormatting sqref="C8:C27">
    <cfRule type="expression" dxfId="4302" priority="442">
      <formula>B8=""</formula>
    </cfRule>
  </conditionalFormatting>
  <conditionalFormatting sqref="C9 C11 C13 C15 C17 C19 C21 C23 C25 C27">
    <cfRule type="expression" dxfId="4301" priority="441">
      <formula>B9=""</formula>
    </cfRule>
  </conditionalFormatting>
  <conditionalFormatting sqref="C10:C20">
    <cfRule type="expression" dxfId="4300" priority="440">
      <formula>B10=""</formula>
    </cfRule>
  </conditionalFormatting>
  <conditionalFormatting sqref="C21">
    <cfRule type="expression" dxfId="4299" priority="439">
      <formula>B21=""</formula>
    </cfRule>
  </conditionalFormatting>
  <conditionalFormatting sqref="C22">
    <cfRule type="expression" dxfId="4298" priority="438">
      <formula>B22=""</formula>
    </cfRule>
  </conditionalFormatting>
  <conditionalFormatting sqref="C23">
    <cfRule type="expression" dxfId="4297" priority="437">
      <formula>B23=""</formula>
    </cfRule>
  </conditionalFormatting>
  <conditionalFormatting sqref="C24">
    <cfRule type="expression" dxfId="4296" priority="436">
      <formula>B24=""</formula>
    </cfRule>
  </conditionalFormatting>
  <conditionalFormatting sqref="C25">
    <cfRule type="expression" dxfId="4295" priority="435">
      <formula>B25=""</formula>
    </cfRule>
  </conditionalFormatting>
  <conditionalFormatting sqref="C26">
    <cfRule type="expression" dxfId="4294" priority="434">
      <formula>B26=""</formula>
    </cfRule>
  </conditionalFormatting>
  <conditionalFormatting sqref="C27">
    <cfRule type="expression" dxfId="4293" priority="433">
      <formula>B27=""</formula>
    </cfRule>
  </conditionalFormatting>
  <conditionalFormatting sqref="C28">
    <cfRule type="expression" dxfId="4292" priority="432">
      <formula>B28=""</formula>
    </cfRule>
  </conditionalFormatting>
  <conditionalFormatting sqref="C30:C50">
    <cfRule type="expression" dxfId="4291" priority="431">
      <formula>B30=""</formula>
    </cfRule>
  </conditionalFormatting>
  <conditionalFormatting sqref="C31 C33 C35 C37 C39 C41 C43 C45 C47 C49">
    <cfRule type="expression" dxfId="4290" priority="430">
      <formula>B31=""</formula>
    </cfRule>
  </conditionalFormatting>
  <conditionalFormatting sqref="C32:C42">
    <cfRule type="expression" dxfId="4289" priority="429">
      <formula>B32=""</formula>
    </cfRule>
  </conditionalFormatting>
  <conditionalFormatting sqref="C43">
    <cfRule type="expression" dxfId="4288" priority="428">
      <formula>B43=""</formula>
    </cfRule>
  </conditionalFormatting>
  <conditionalFormatting sqref="C44">
    <cfRule type="expression" dxfId="4287" priority="427">
      <formula>B44=""</formula>
    </cfRule>
  </conditionalFormatting>
  <conditionalFormatting sqref="C45">
    <cfRule type="expression" dxfId="4286" priority="426">
      <formula>B45=""</formula>
    </cfRule>
  </conditionalFormatting>
  <conditionalFormatting sqref="C46">
    <cfRule type="expression" dxfId="4285" priority="425">
      <formula>B46=""</formula>
    </cfRule>
  </conditionalFormatting>
  <conditionalFormatting sqref="C47">
    <cfRule type="expression" dxfId="4284" priority="424">
      <formula>B47=""</formula>
    </cfRule>
  </conditionalFormatting>
  <conditionalFormatting sqref="C48">
    <cfRule type="expression" dxfId="4283" priority="423">
      <formula>B48=""</formula>
    </cfRule>
  </conditionalFormatting>
  <conditionalFormatting sqref="C49">
    <cfRule type="expression" dxfId="4282" priority="422">
      <formula>B49=""</formula>
    </cfRule>
  </conditionalFormatting>
  <conditionalFormatting sqref="C50">
    <cfRule type="expression" dxfId="4281" priority="421">
      <formula>B50=""</formula>
    </cfRule>
  </conditionalFormatting>
  <conditionalFormatting sqref="C52:C71">
    <cfRule type="expression" dxfId="4280" priority="420">
      <formula>B52=""</formula>
    </cfRule>
  </conditionalFormatting>
  <conditionalFormatting sqref="C53 C55 C57 C59 C61 C63 C65 C67 C69 C71">
    <cfRule type="expression" dxfId="4279" priority="419">
      <formula>B53=""</formula>
    </cfRule>
  </conditionalFormatting>
  <conditionalFormatting sqref="C54:C64">
    <cfRule type="expression" dxfId="4278" priority="418">
      <formula>B54=""</formula>
    </cfRule>
  </conditionalFormatting>
  <conditionalFormatting sqref="C65">
    <cfRule type="expression" dxfId="4277" priority="417">
      <formula>B65=""</formula>
    </cfRule>
  </conditionalFormatting>
  <conditionalFormatting sqref="C66">
    <cfRule type="expression" dxfId="4276" priority="416">
      <formula>B66=""</formula>
    </cfRule>
  </conditionalFormatting>
  <conditionalFormatting sqref="C67">
    <cfRule type="expression" dxfId="4275" priority="415">
      <formula>B67=""</formula>
    </cfRule>
  </conditionalFormatting>
  <conditionalFormatting sqref="C68">
    <cfRule type="expression" dxfId="4274" priority="414">
      <formula>B68=""</formula>
    </cfRule>
  </conditionalFormatting>
  <conditionalFormatting sqref="C69">
    <cfRule type="expression" dxfId="4273" priority="413">
      <formula>B69=""</formula>
    </cfRule>
  </conditionalFormatting>
  <conditionalFormatting sqref="C70">
    <cfRule type="expression" dxfId="4272" priority="412">
      <formula>B70=""</formula>
    </cfRule>
  </conditionalFormatting>
  <conditionalFormatting sqref="C71">
    <cfRule type="expression" dxfId="4271" priority="411">
      <formula>B71=""</formula>
    </cfRule>
  </conditionalFormatting>
  <conditionalFormatting sqref="C72">
    <cfRule type="expression" dxfId="4270" priority="410">
      <formula>B72=""</formula>
    </cfRule>
  </conditionalFormatting>
  <conditionalFormatting sqref="C74:C94">
    <cfRule type="expression" dxfId="4269" priority="409">
      <formula>B74=""</formula>
    </cfRule>
  </conditionalFormatting>
  <conditionalFormatting sqref="C75 C77 C79 C81 C83 C85 C87 C89 C91 C93">
    <cfRule type="expression" dxfId="4268" priority="408">
      <formula>B75=""</formula>
    </cfRule>
  </conditionalFormatting>
  <conditionalFormatting sqref="C76:C86">
    <cfRule type="expression" dxfId="4267" priority="407">
      <formula>B76=""</formula>
    </cfRule>
  </conditionalFormatting>
  <conditionalFormatting sqref="C87">
    <cfRule type="expression" dxfId="4266" priority="406">
      <formula>B87=""</formula>
    </cfRule>
  </conditionalFormatting>
  <conditionalFormatting sqref="C88">
    <cfRule type="expression" dxfId="4265" priority="405">
      <formula>B88=""</formula>
    </cfRule>
  </conditionalFormatting>
  <conditionalFormatting sqref="C89">
    <cfRule type="expression" dxfId="4264" priority="404">
      <formula>B89=""</formula>
    </cfRule>
  </conditionalFormatting>
  <conditionalFormatting sqref="C90">
    <cfRule type="expression" dxfId="4263" priority="403">
      <formula>B90=""</formula>
    </cfRule>
  </conditionalFormatting>
  <conditionalFormatting sqref="C91">
    <cfRule type="expression" dxfId="4262" priority="402">
      <formula>B91=""</formula>
    </cfRule>
  </conditionalFormatting>
  <conditionalFormatting sqref="C92">
    <cfRule type="expression" dxfId="4261" priority="401">
      <formula>B92=""</formula>
    </cfRule>
  </conditionalFormatting>
  <conditionalFormatting sqref="C93">
    <cfRule type="expression" dxfId="4260" priority="400">
      <formula>B93=""</formula>
    </cfRule>
  </conditionalFormatting>
  <conditionalFormatting sqref="C94">
    <cfRule type="expression" dxfId="4259" priority="399">
      <formula>B94=""</formula>
    </cfRule>
  </conditionalFormatting>
  <conditionalFormatting sqref="C8 C10 C12 C14 C16 C18 C20 C22 C24 C26">
    <cfRule type="expression" dxfId="4258" priority="398">
      <formula>B8=""</formula>
    </cfRule>
  </conditionalFormatting>
  <conditionalFormatting sqref="C9 C11 C13 C15 C17 C19 C21 C23 C25 C27">
    <cfRule type="expression" dxfId="4257" priority="397">
      <formula>B9=""</formula>
    </cfRule>
  </conditionalFormatting>
  <conditionalFormatting sqref="C10:C20">
    <cfRule type="expression" dxfId="4256" priority="396">
      <formula>B10=""</formula>
    </cfRule>
  </conditionalFormatting>
  <conditionalFormatting sqref="C21">
    <cfRule type="expression" dxfId="4255" priority="395">
      <formula>B21=""</formula>
    </cfRule>
  </conditionalFormatting>
  <conditionalFormatting sqref="C22">
    <cfRule type="expression" dxfId="4254" priority="394">
      <formula>B22=""</formula>
    </cfRule>
  </conditionalFormatting>
  <conditionalFormatting sqref="C23">
    <cfRule type="expression" dxfId="4253" priority="393">
      <formula>B23=""</formula>
    </cfRule>
  </conditionalFormatting>
  <conditionalFormatting sqref="C24">
    <cfRule type="expression" dxfId="4252" priority="392">
      <formula>B24=""</formula>
    </cfRule>
  </conditionalFormatting>
  <conditionalFormatting sqref="C25">
    <cfRule type="expression" dxfId="4251" priority="391">
      <formula>B25=""</formula>
    </cfRule>
  </conditionalFormatting>
  <conditionalFormatting sqref="C26">
    <cfRule type="expression" dxfId="4250" priority="390">
      <formula>B26=""</formula>
    </cfRule>
  </conditionalFormatting>
  <conditionalFormatting sqref="C27">
    <cfRule type="expression" dxfId="4249" priority="389">
      <formula>B27=""</formula>
    </cfRule>
  </conditionalFormatting>
  <conditionalFormatting sqref="D8 D10 D12 D14 D16 D18 D20 D22 D24 D26">
    <cfRule type="expression" dxfId="4248" priority="388">
      <formula>B8=""</formula>
    </cfRule>
  </conditionalFormatting>
  <conditionalFormatting sqref="D9 D11 D13 D15 D17 D19 D21 D23 D25 D27">
    <cfRule type="expression" dxfId="4247" priority="387">
      <formula>B9=""</formula>
    </cfRule>
  </conditionalFormatting>
  <conditionalFormatting sqref="D10:D20">
    <cfRule type="expression" dxfId="4246" priority="386">
      <formula>B10=""</formula>
    </cfRule>
  </conditionalFormatting>
  <conditionalFormatting sqref="D21">
    <cfRule type="expression" dxfId="4245" priority="385">
      <formula>B21=""</formula>
    </cfRule>
  </conditionalFormatting>
  <conditionalFormatting sqref="D22">
    <cfRule type="expression" dxfId="4244" priority="384">
      <formula>B22=""</formula>
    </cfRule>
  </conditionalFormatting>
  <conditionalFormatting sqref="D23">
    <cfRule type="expression" dxfId="4243" priority="383">
      <formula>B23=""</formula>
    </cfRule>
  </conditionalFormatting>
  <conditionalFormatting sqref="D24">
    <cfRule type="expression" dxfId="4242" priority="382">
      <formula>B24=""</formula>
    </cfRule>
  </conditionalFormatting>
  <conditionalFormatting sqref="D25">
    <cfRule type="expression" dxfId="4241" priority="381">
      <formula>B25=""</formula>
    </cfRule>
  </conditionalFormatting>
  <conditionalFormatting sqref="D26">
    <cfRule type="expression" dxfId="4240" priority="380">
      <formula>B26=""</formula>
    </cfRule>
  </conditionalFormatting>
  <conditionalFormatting sqref="D27">
    <cfRule type="expression" dxfId="4239" priority="379">
      <formula>B27=""</formula>
    </cfRule>
  </conditionalFormatting>
  <conditionalFormatting sqref="E8:E27">
    <cfRule type="expression" dxfId="4238" priority="378">
      <formula>B8=""</formula>
    </cfRule>
  </conditionalFormatting>
  <conditionalFormatting sqref="E9 E11 E13 E15 E17 E19 E21 E23 E25 E27">
    <cfRule type="expression" dxfId="4237" priority="377">
      <formula>B9=""</formula>
    </cfRule>
  </conditionalFormatting>
  <conditionalFormatting sqref="E10:E20">
    <cfRule type="expression" dxfId="4236" priority="376">
      <formula>B10=""</formula>
    </cfRule>
  </conditionalFormatting>
  <conditionalFormatting sqref="E21">
    <cfRule type="expression" dxfId="4235" priority="375">
      <formula>B21=""</formula>
    </cfRule>
  </conditionalFormatting>
  <conditionalFormatting sqref="E22">
    <cfRule type="expression" dxfId="4234" priority="374">
      <formula>B22=""</formula>
    </cfRule>
  </conditionalFormatting>
  <conditionalFormatting sqref="E23">
    <cfRule type="expression" dxfId="4233" priority="373">
      <formula>B23=""</formula>
    </cfRule>
  </conditionalFormatting>
  <conditionalFormatting sqref="E24">
    <cfRule type="expression" dxfId="4232" priority="372">
      <formula>B24=""</formula>
    </cfRule>
  </conditionalFormatting>
  <conditionalFormatting sqref="E25">
    <cfRule type="expression" dxfId="4231" priority="371">
      <formula>B25=""</formula>
    </cfRule>
  </conditionalFormatting>
  <conditionalFormatting sqref="E26">
    <cfRule type="expression" dxfId="4230" priority="370">
      <formula>B26=""</formula>
    </cfRule>
  </conditionalFormatting>
  <conditionalFormatting sqref="E27">
    <cfRule type="expression" dxfId="4229" priority="369">
      <formula>B27=""</formula>
    </cfRule>
  </conditionalFormatting>
  <conditionalFormatting sqref="F8:F27">
    <cfRule type="expression" dxfId="4228" priority="368">
      <formula>B8=""</formula>
    </cfRule>
  </conditionalFormatting>
  <conditionalFormatting sqref="F9 F11 F13 F15 F17 F19 F21 F23 F25 F27">
    <cfRule type="expression" dxfId="4227" priority="367">
      <formula>B9=""</formula>
    </cfRule>
  </conditionalFormatting>
  <conditionalFormatting sqref="F10:F20">
    <cfRule type="expression" dxfId="4226" priority="366">
      <formula>B10=""</formula>
    </cfRule>
  </conditionalFormatting>
  <conditionalFormatting sqref="F21">
    <cfRule type="expression" dxfId="4225" priority="365">
      <formula>B21=""</formula>
    </cfRule>
  </conditionalFormatting>
  <conditionalFormatting sqref="F22">
    <cfRule type="expression" dxfId="4224" priority="364">
      <formula>B22=""</formula>
    </cfRule>
  </conditionalFormatting>
  <conditionalFormatting sqref="F23">
    <cfRule type="expression" dxfId="4223" priority="363">
      <formula>B23=""</formula>
    </cfRule>
  </conditionalFormatting>
  <conditionalFormatting sqref="F24">
    <cfRule type="expression" dxfId="4222" priority="362">
      <formula>B24=""</formula>
    </cfRule>
  </conditionalFormatting>
  <conditionalFormatting sqref="F25">
    <cfRule type="expression" dxfId="4221" priority="361">
      <formula>B25=""</formula>
    </cfRule>
  </conditionalFormatting>
  <conditionalFormatting sqref="F26">
    <cfRule type="expression" dxfId="4220" priority="360">
      <formula>B26=""</formula>
    </cfRule>
  </conditionalFormatting>
  <conditionalFormatting sqref="F27">
    <cfRule type="expression" dxfId="4219" priority="359">
      <formula>B27=""</formula>
    </cfRule>
  </conditionalFormatting>
  <conditionalFormatting sqref="E9 E11 E13 E15 E17 E19 E21 E23 E25 E27">
    <cfRule type="expression" dxfId="4218" priority="358">
      <formula>B9=""</formula>
    </cfRule>
  </conditionalFormatting>
  <conditionalFormatting sqref="E10:E20">
    <cfRule type="expression" dxfId="4217" priority="357">
      <formula>B10=""</formula>
    </cfRule>
  </conditionalFormatting>
  <conditionalFormatting sqref="E21">
    <cfRule type="expression" dxfId="4216" priority="356">
      <formula>B21=""</formula>
    </cfRule>
  </conditionalFormatting>
  <conditionalFormatting sqref="E22">
    <cfRule type="expression" dxfId="4215" priority="355">
      <formula>B22=""</formula>
    </cfRule>
  </conditionalFormatting>
  <conditionalFormatting sqref="E23">
    <cfRule type="expression" dxfId="4214" priority="354">
      <formula>B23=""</formula>
    </cfRule>
  </conditionalFormatting>
  <conditionalFormatting sqref="E24">
    <cfRule type="expression" dxfId="4213" priority="353">
      <formula>B24=""</formula>
    </cfRule>
  </conditionalFormatting>
  <conditionalFormatting sqref="E25">
    <cfRule type="expression" dxfId="4212" priority="352">
      <formula>B25=""</formula>
    </cfRule>
  </conditionalFormatting>
  <conditionalFormatting sqref="E26">
    <cfRule type="expression" dxfId="4211" priority="351">
      <formula>B26=""</formula>
    </cfRule>
  </conditionalFormatting>
  <conditionalFormatting sqref="E27">
    <cfRule type="expression" dxfId="4210" priority="350">
      <formula>B27=""</formula>
    </cfRule>
  </conditionalFormatting>
  <conditionalFormatting sqref="G8:G27">
    <cfRule type="expression" dxfId="4209" priority="349">
      <formula>B8=""</formula>
    </cfRule>
  </conditionalFormatting>
  <conditionalFormatting sqref="G9 G11 G13 G15 G17 G19 G21 G23 G25 G27">
    <cfRule type="expression" dxfId="4208" priority="348">
      <formula>B9=""</formula>
    </cfRule>
  </conditionalFormatting>
  <conditionalFormatting sqref="G10:G20">
    <cfRule type="expression" dxfId="4207" priority="347">
      <formula>B10=""</formula>
    </cfRule>
  </conditionalFormatting>
  <conditionalFormatting sqref="G21">
    <cfRule type="expression" dxfId="4206" priority="346">
      <formula>B21=""</formula>
    </cfRule>
  </conditionalFormatting>
  <conditionalFormatting sqref="G22">
    <cfRule type="expression" dxfId="4205" priority="345">
      <formula>B22=""</formula>
    </cfRule>
  </conditionalFormatting>
  <conditionalFormatting sqref="G23">
    <cfRule type="expression" dxfId="4204" priority="344">
      <formula>B23=""</formula>
    </cfRule>
  </conditionalFormatting>
  <conditionalFormatting sqref="G24">
    <cfRule type="expression" dxfId="4203" priority="343">
      <formula>B24=""</formula>
    </cfRule>
  </conditionalFormatting>
  <conditionalFormatting sqref="G25">
    <cfRule type="expression" dxfId="4202" priority="342">
      <formula>B25=""</formula>
    </cfRule>
  </conditionalFormatting>
  <conditionalFormatting sqref="G26">
    <cfRule type="expression" dxfId="4201" priority="341">
      <formula>B26=""</formula>
    </cfRule>
  </conditionalFormatting>
  <conditionalFormatting sqref="G27">
    <cfRule type="expression" dxfId="4200" priority="340">
      <formula>B27=""</formula>
    </cfRule>
  </conditionalFormatting>
  <conditionalFormatting sqref="H8 H10 H12 H14 H16 H18 H20 H22 H24 H26">
    <cfRule type="expression" dxfId="4199" priority="339">
      <formula>B8=""</formula>
    </cfRule>
  </conditionalFormatting>
  <conditionalFormatting sqref="H9 H11 H13 H15 H17 H19 H21 H23 H25 H27">
    <cfRule type="expression" dxfId="4198" priority="338">
      <formula>B9=""</formula>
    </cfRule>
  </conditionalFormatting>
  <conditionalFormatting sqref="H10:H20">
    <cfRule type="expression" dxfId="4197" priority="337">
      <formula>B10=""</formula>
    </cfRule>
  </conditionalFormatting>
  <conditionalFormatting sqref="H21">
    <cfRule type="expression" dxfId="4196" priority="336">
      <formula>B21=""</formula>
    </cfRule>
  </conditionalFormatting>
  <conditionalFormatting sqref="H22">
    <cfRule type="expression" dxfId="4195" priority="335">
      <formula>B22=""</formula>
    </cfRule>
  </conditionalFormatting>
  <conditionalFormatting sqref="H23">
    <cfRule type="expression" dxfId="4194" priority="334">
      <formula>B23=""</formula>
    </cfRule>
  </conditionalFormatting>
  <conditionalFormatting sqref="H24">
    <cfRule type="expression" dxfId="4193" priority="333">
      <formula>B24=""</formula>
    </cfRule>
  </conditionalFormatting>
  <conditionalFormatting sqref="H25">
    <cfRule type="expression" dxfId="4192" priority="332">
      <formula>B25=""</formula>
    </cfRule>
  </conditionalFormatting>
  <conditionalFormatting sqref="H26">
    <cfRule type="expression" dxfId="4191" priority="331">
      <formula>B26=""</formula>
    </cfRule>
  </conditionalFormatting>
  <conditionalFormatting sqref="H27">
    <cfRule type="expression" dxfId="4190" priority="330">
      <formula>B27=""</formula>
    </cfRule>
  </conditionalFormatting>
  <conditionalFormatting sqref="F8 F10 F12 F14 F16 F18 F20 F22 F24 F26">
    <cfRule type="expression" dxfId="4189" priority="329">
      <formula>B8=""</formula>
    </cfRule>
  </conditionalFormatting>
  <conditionalFormatting sqref="F9 F11 F13 F15 F17 F19 F21 F23 F25 F27">
    <cfRule type="expression" dxfId="4188" priority="328">
      <formula>B9=""</formula>
    </cfRule>
  </conditionalFormatting>
  <conditionalFormatting sqref="F10:F20">
    <cfRule type="expression" dxfId="4187" priority="327">
      <formula>B10=""</formula>
    </cfRule>
  </conditionalFormatting>
  <conditionalFormatting sqref="F21">
    <cfRule type="expression" dxfId="4186" priority="326">
      <formula>B21=""</formula>
    </cfRule>
  </conditionalFormatting>
  <conditionalFormatting sqref="F22">
    <cfRule type="expression" dxfId="4185" priority="325">
      <formula>B22=""</formula>
    </cfRule>
  </conditionalFormatting>
  <conditionalFormatting sqref="F23">
    <cfRule type="expression" dxfId="4184" priority="324">
      <formula>B23=""</formula>
    </cfRule>
  </conditionalFormatting>
  <conditionalFormatting sqref="F24">
    <cfRule type="expression" dxfId="4183" priority="323">
      <formula>B24=""</formula>
    </cfRule>
  </conditionalFormatting>
  <conditionalFormatting sqref="F25">
    <cfRule type="expression" dxfId="4182" priority="322">
      <formula>B25=""</formula>
    </cfRule>
  </conditionalFormatting>
  <conditionalFormatting sqref="F26">
    <cfRule type="expression" dxfId="4181" priority="321">
      <formula>B26=""</formula>
    </cfRule>
  </conditionalFormatting>
  <conditionalFormatting sqref="F27">
    <cfRule type="expression" dxfId="4180" priority="320">
      <formula>B27=""</formula>
    </cfRule>
  </conditionalFormatting>
  <conditionalFormatting sqref="C30:C49">
    <cfRule type="expression" dxfId="4179" priority="319">
      <formula>B30=""</formula>
    </cfRule>
  </conditionalFormatting>
  <conditionalFormatting sqref="C31 C33 C35 C37 C39 C41 C43 C45 C47 C49">
    <cfRule type="expression" dxfId="4178" priority="318">
      <formula>B31=""</formula>
    </cfRule>
  </conditionalFormatting>
  <conditionalFormatting sqref="C32:C42">
    <cfRule type="expression" dxfId="4177" priority="317">
      <formula>B32=""</formula>
    </cfRule>
  </conditionalFormatting>
  <conditionalFormatting sqref="C43">
    <cfRule type="expression" dxfId="4176" priority="316">
      <formula>B43=""</formula>
    </cfRule>
  </conditionalFormatting>
  <conditionalFormatting sqref="C44">
    <cfRule type="expression" dxfId="4175" priority="315">
      <formula>B44=""</formula>
    </cfRule>
  </conditionalFormatting>
  <conditionalFormatting sqref="C45">
    <cfRule type="expression" dxfId="4174" priority="314">
      <formula>B45=""</formula>
    </cfRule>
  </conditionalFormatting>
  <conditionalFormatting sqref="C46">
    <cfRule type="expression" dxfId="4173" priority="313">
      <formula>B46=""</formula>
    </cfRule>
  </conditionalFormatting>
  <conditionalFormatting sqref="C47">
    <cfRule type="expression" dxfId="4172" priority="312">
      <formula>B47=""</formula>
    </cfRule>
  </conditionalFormatting>
  <conditionalFormatting sqref="C48">
    <cfRule type="expression" dxfId="4171" priority="311">
      <formula>B48=""</formula>
    </cfRule>
  </conditionalFormatting>
  <conditionalFormatting sqref="C49">
    <cfRule type="expression" dxfId="4170" priority="310">
      <formula>B49=""</formula>
    </cfRule>
  </conditionalFormatting>
  <conditionalFormatting sqref="D30 D32 D34 D36 D38 D40 D42 D44 D46 D48">
    <cfRule type="expression" dxfId="4169" priority="309">
      <formula>B30=""</formula>
    </cfRule>
  </conditionalFormatting>
  <conditionalFormatting sqref="D31 D33 D35 D37 D39 D41 D43 D45 D47 D49">
    <cfRule type="expression" dxfId="4168" priority="308">
      <formula>B31=""</formula>
    </cfRule>
  </conditionalFormatting>
  <conditionalFormatting sqref="D32:D42">
    <cfRule type="expression" dxfId="4167" priority="307">
      <formula>B32=""</formula>
    </cfRule>
  </conditionalFormatting>
  <conditionalFormatting sqref="D43">
    <cfRule type="expression" dxfId="4166" priority="306">
      <formula>B43=""</formula>
    </cfRule>
  </conditionalFormatting>
  <conditionalFormatting sqref="D44">
    <cfRule type="expression" dxfId="4165" priority="305">
      <formula>B44=""</formula>
    </cfRule>
  </conditionalFormatting>
  <conditionalFormatting sqref="D45">
    <cfRule type="expression" dxfId="4164" priority="304">
      <formula>B45=""</formula>
    </cfRule>
  </conditionalFormatting>
  <conditionalFormatting sqref="D46">
    <cfRule type="expression" dxfId="4163" priority="303">
      <formula>B46=""</formula>
    </cfRule>
  </conditionalFormatting>
  <conditionalFormatting sqref="D47">
    <cfRule type="expression" dxfId="4162" priority="302">
      <formula>B47=""</formula>
    </cfRule>
  </conditionalFormatting>
  <conditionalFormatting sqref="D48">
    <cfRule type="expression" dxfId="4161" priority="301">
      <formula>B48=""</formula>
    </cfRule>
  </conditionalFormatting>
  <conditionalFormatting sqref="D49">
    <cfRule type="expression" dxfId="4160" priority="300">
      <formula>B49=""</formula>
    </cfRule>
  </conditionalFormatting>
  <conditionalFormatting sqref="E30 E32 E34 E36 E38 E40 E42 E44 E46 E48">
    <cfRule type="expression" dxfId="4159" priority="299">
      <formula>B30=""</formula>
    </cfRule>
  </conditionalFormatting>
  <conditionalFormatting sqref="E31 E33 E35 E37 E39 E41 E43 E45 E47 E49">
    <cfRule type="expression" dxfId="4158" priority="298">
      <formula>B31=""</formula>
    </cfRule>
  </conditionalFormatting>
  <conditionalFormatting sqref="E32:E42">
    <cfRule type="expression" dxfId="4157" priority="297">
      <formula>B32=""</formula>
    </cfRule>
  </conditionalFormatting>
  <conditionalFormatting sqref="E43">
    <cfRule type="expression" dxfId="4156" priority="296">
      <formula>B43=""</formula>
    </cfRule>
  </conditionalFormatting>
  <conditionalFormatting sqref="E44">
    <cfRule type="expression" dxfId="4155" priority="295">
      <formula>B44=""</formula>
    </cfRule>
  </conditionalFormatting>
  <conditionalFormatting sqref="E45">
    <cfRule type="expression" dxfId="4154" priority="294">
      <formula>B45=""</formula>
    </cfRule>
  </conditionalFormatting>
  <conditionalFormatting sqref="E46">
    <cfRule type="expression" dxfId="4153" priority="293">
      <formula>B46=""</formula>
    </cfRule>
  </conditionalFormatting>
  <conditionalFormatting sqref="E47">
    <cfRule type="expression" dxfId="4152" priority="292">
      <formula>B47=""</formula>
    </cfRule>
  </conditionalFormatting>
  <conditionalFormatting sqref="E48">
    <cfRule type="expression" dxfId="4151" priority="291">
      <formula>B48=""</formula>
    </cfRule>
  </conditionalFormatting>
  <conditionalFormatting sqref="E49">
    <cfRule type="expression" dxfId="4150" priority="290">
      <formula>B49=""</formula>
    </cfRule>
  </conditionalFormatting>
  <conditionalFormatting sqref="F30 F32 F34 F36 F38 F40 F42 F44 F46 F48">
    <cfRule type="expression" dxfId="4149" priority="289">
      <formula>B30=""</formula>
    </cfRule>
  </conditionalFormatting>
  <conditionalFormatting sqref="F31 F33 F35 F37 F39 F41 F43 F45 F47 F49">
    <cfRule type="expression" dxfId="4148" priority="288">
      <formula>B31=""</formula>
    </cfRule>
  </conditionalFormatting>
  <conditionalFormatting sqref="F32:F42">
    <cfRule type="expression" dxfId="4147" priority="287">
      <formula>B32=""</formula>
    </cfRule>
  </conditionalFormatting>
  <conditionalFormatting sqref="F43">
    <cfRule type="expression" dxfId="4146" priority="286">
      <formula>B43=""</formula>
    </cfRule>
  </conditionalFormatting>
  <conditionalFormatting sqref="F44">
    <cfRule type="expression" dxfId="4145" priority="285">
      <formula>B44=""</formula>
    </cfRule>
  </conditionalFormatting>
  <conditionalFormatting sqref="F45">
    <cfRule type="expression" dxfId="4144" priority="284">
      <formula>B45=""</formula>
    </cfRule>
  </conditionalFormatting>
  <conditionalFormatting sqref="F46">
    <cfRule type="expression" dxfId="4143" priority="283">
      <formula>B46=""</formula>
    </cfRule>
  </conditionalFormatting>
  <conditionalFormatting sqref="F47">
    <cfRule type="expression" dxfId="4142" priority="282">
      <formula>B47=""</formula>
    </cfRule>
  </conditionalFormatting>
  <conditionalFormatting sqref="F48">
    <cfRule type="expression" dxfId="4141" priority="281">
      <formula>B48=""</formula>
    </cfRule>
  </conditionalFormatting>
  <conditionalFormatting sqref="F49">
    <cfRule type="expression" dxfId="4140" priority="280">
      <formula>B49=""</formula>
    </cfRule>
  </conditionalFormatting>
  <conditionalFormatting sqref="E31 E33 E35 E37 E39 E41 E43 E45 E47 E49">
    <cfRule type="expression" dxfId="4139" priority="279">
      <formula>B31=""</formula>
    </cfRule>
  </conditionalFormatting>
  <conditionalFormatting sqref="E32:E42">
    <cfRule type="expression" dxfId="4138" priority="278">
      <formula>B32=""</formula>
    </cfRule>
  </conditionalFormatting>
  <conditionalFormatting sqref="E43">
    <cfRule type="expression" dxfId="4137" priority="277">
      <formula>B43=""</formula>
    </cfRule>
  </conditionalFormatting>
  <conditionalFormatting sqref="E44">
    <cfRule type="expression" dxfId="4136" priority="276">
      <formula>B44=""</formula>
    </cfRule>
  </conditionalFormatting>
  <conditionalFormatting sqref="E45">
    <cfRule type="expression" dxfId="4135" priority="275">
      <formula>B45=""</formula>
    </cfRule>
  </conditionalFormatting>
  <conditionalFormatting sqref="E46">
    <cfRule type="expression" dxfId="4134" priority="274">
      <formula>B46=""</formula>
    </cfRule>
  </conditionalFormatting>
  <conditionalFormatting sqref="E47">
    <cfRule type="expression" dxfId="4133" priority="273">
      <formula>B47=""</formula>
    </cfRule>
  </conditionalFormatting>
  <conditionalFormatting sqref="E48">
    <cfRule type="expression" dxfId="4132" priority="272">
      <formula>B48=""</formula>
    </cfRule>
  </conditionalFormatting>
  <conditionalFormatting sqref="E49">
    <cfRule type="expression" dxfId="4131" priority="271">
      <formula>B49=""</formula>
    </cfRule>
  </conditionalFormatting>
  <conditionalFormatting sqref="G30 G32 G34 G36 G38 G40 G42 G44 G46 G48">
    <cfRule type="expression" dxfId="4130" priority="270">
      <formula>B30=""</formula>
    </cfRule>
  </conditionalFormatting>
  <conditionalFormatting sqref="G31 G33 G35 G37 G39 G41 G43 G45 G47 G49">
    <cfRule type="expression" dxfId="4129" priority="269">
      <formula>B31=""</formula>
    </cfRule>
  </conditionalFormatting>
  <conditionalFormatting sqref="G32:G42">
    <cfRule type="expression" dxfId="4128" priority="268">
      <formula>B32=""</formula>
    </cfRule>
  </conditionalFormatting>
  <conditionalFormatting sqref="G43">
    <cfRule type="expression" dxfId="4127" priority="267">
      <formula>B43=""</formula>
    </cfRule>
  </conditionalFormatting>
  <conditionalFormatting sqref="G44">
    <cfRule type="expression" dxfId="4126" priority="266">
      <formula>B44=""</formula>
    </cfRule>
  </conditionalFormatting>
  <conditionalFormatting sqref="G45">
    <cfRule type="expression" dxfId="4125" priority="265">
      <formula>B45=""</formula>
    </cfRule>
  </conditionalFormatting>
  <conditionalFormatting sqref="G46">
    <cfRule type="expression" dxfId="4124" priority="264">
      <formula>B46=""</formula>
    </cfRule>
  </conditionalFormatting>
  <conditionalFormatting sqref="G47">
    <cfRule type="expression" dxfId="4123" priority="263">
      <formula>B47=""</formula>
    </cfRule>
  </conditionalFormatting>
  <conditionalFormatting sqref="G48">
    <cfRule type="expression" dxfId="4122" priority="262">
      <formula>B48=""</formula>
    </cfRule>
  </conditionalFormatting>
  <conditionalFormatting sqref="G49">
    <cfRule type="expression" dxfId="4121" priority="261">
      <formula>B49=""</formula>
    </cfRule>
  </conditionalFormatting>
  <conditionalFormatting sqref="H30 H32 H34 H36 H38 H40 H42 H44 H46 H48">
    <cfRule type="expression" dxfId="4120" priority="260">
      <formula>B30=""</formula>
    </cfRule>
  </conditionalFormatting>
  <conditionalFormatting sqref="H31 H33 H35 H37 H39 H41 H43 H45 H47 H49">
    <cfRule type="expression" dxfId="4119" priority="259">
      <formula>B31=""</formula>
    </cfRule>
  </conditionalFormatting>
  <conditionalFormatting sqref="H32:H42">
    <cfRule type="expression" dxfId="4118" priority="258">
      <formula>B32=""</formula>
    </cfRule>
  </conditionalFormatting>
  <conditionalFormatting sqref="H43">
    <cfRule type="expression" dxfId="4117" priority="257">
      <formula>B43=""</formula>
    </cfRule>
  </conditionalFormatting>
  <conditionalFormatting sqref="H44">
    <cfRule type="expression" dxfId="4116" priority="256">
      <formula>B44=""</formula>
    </cfRule>
  </conditionalFormatting>
  <conditionalFormatting sqref="H45">
    <cfRule type="expression" dxfId="4115" priority="255">
      <formula>B45=""</formula>
    </cfRule>
  </conditionalFormatting>
  <conditionalFormatting sqref="H46">
    <cfRule type="expression" dxfId="4114" priority="254">
      <formula>B46=""</formula>
    </cfRule>
  </conditionalFormatting>
  <conditionalFormatting sqref="H47">
    <cfRule type="expression" dxfId="4113" priority="253">
      <formula>B47=""</formula>
    </cfRule>
  </conditionalFormatting>
  <conditionalFormatting sqref="H48">
    <cfRule type="expression" dxfId="4112" priority="252">
      <formula>B48=""</formula>
    </cfRule>
  </conditionalFormatting>
  <conditionalFormatting sqref="H49">
    <cfRule type="expression" dxfId="4111" priority="251">
      <formula>B49=""</formula>
    </cfRule>
  </conditionalFormatting>
  <conditionalFormatting sqref="C30:C49">
    <cfRule type="expression" dxfId="4110" priority="250">
      <formula>B30=""</formula>
    </cfRule>
  </conditionalFormatting>
  <conditionalFormatting sqref="C31 C33 C35 C37 C39 C41 C43 C45 C47 C49">
    <cfRule type="expression" dxfId="4109" priority="249">
      <formula>B31=""</formula>
    </cfRule>
  </conditionalFormatting>
  <conditionalFormatting sqref="C32:C42">
    <cfRule type="expression" dxfId="4108" priority="248">
      <formula>B32=""</formula>
    </cfRule>
  </conditionalFormatting>
  <conditionalFormatting sqref="C43">
    <cfRule type="expression" dxfId="4107" priority="247">
      <formula>B43=""</formula>
    </cfRule>
  </conditionalFormatting>
  <conditionalFormatting sqref="C44">
    <cfRule type="expression" dxfId="4106" priority="246">
      <formula>B44=""</formula>
    </cfRule>
  </conditionalFormatting>
  <conditionalFormatting sqref="C45">
    <cfRule type="expression" dxfId="4105" priority="245">
      <formula>B45=""</formula>
    </cfRule>
  </conditionalFormatting>
  <conditionalFormatting sqref="C46">
    <cfRule type="expression" dxfId="4104" priority="244">
      <formula>B46=""</formula>
    </cfRule>
  </conditionalFormatting>
  <conditionalFormatting sqref="C47">
    <cfRule type="expression" dxfId="4103" priority="243">
      <formula>B47=""</formula>
    </cfRule>
  </conditionalFormatting>
  <conditionalFormatting sqref="C48">
    <cfRule type="expression" dxfId="4102" priority="242">
      <formula>B48=""</formula>
    </cfRule>
  </conditionalFormatting>
  <conditionalFormatting sqref="C49">
    <cfRule type="expression" dxfId="4101" priority="241">
      <formula>B49=""</formula>
    </cfRule>
  </conditionalFormatting>
  <conditionalFormatting sqref="C30 C32 C34 C36 C38 C40 C42 C44 C46 C48">
    <cfRule type="expression" dxfId="4100" priority="240">
      <formula>B30=""</formula>
    </cfRule>
  </conditionalFormatting>
  <conditionalFormatting sqref="C31 C33 C35 C37 C39 C41 C43 C45 C47 C49">
    <cfRule type="expression" dxfId="4099" priority="239">
      <formula>B31=""</formula>
    </cfRule>
  </conditionalFormatting>
  <conditionalFormatting sqref="C32:C42">
    <cfRule type="expression" dxfId="4098" priority="238">
      <formula>B32=""</formula>
    </cfRule>
  </conditionalFormatting>
  <conditionalFormatting sqref="C43">
    <cfRule type="expression" dxfId="4097" priority="237">
      <formula>B43=""</formula>
    </cfRule>
  </conditionalFormatting>
  <conditionalFormatting sqref="C44">
    <cfRule type="expression" dxfId="4096" priority="236">
      <formula>B44=""</formula>
    </cfRule>
  </conditionalFormatting>
  <conditionalFormatting sqref="C45">
    <cfRule type="expression" dxfId="4095" priority="235">
      <formula>B45=""</formula>
    </cfRule>
  </conditionalFormatting>
  <conditionalFormatting sqref="C46">
    <cfRule type="expression" dxfId="4094" priority="234">
      <formula>B46=""</formula>
    </cfRule>
  </conditionalFormatting>
  <conditionalFormatting sqref="C47">
    <cfRule type="expression" dxfId="4093" priority="233">
      <formula>B47=""</formula>
    </cfRule>
  </conditionalFormatting>
  <conditionalFormatting sqref="C48">
    <cfRule type="expression" dxfId="4092" priority="232">
      <formula>B48=""</formula>
    </cfRule>
  </conditionalFormatting>
  <conditionalFormatting sqref="C49">
    <cfRule type="expression" dxfId="4091" priority="231">
      <formula>B49=""</formula>
    </cfRule>
  </conditionalFormatting>
  <conditionalFormatting sqref="D30 D32 D34 D36 D38 D40 D42 D44 D46 D48">
    <cfRule type="expression" dxfId="4090" priority="230">
      <formula>B30=""</formula>
    </cfRule>
  </conditionalFormatting>
  <conditionalFormatting sqref="D31 D33 D35 D37 D39 D41 D43 D45 D47 D49">
    <cfRule type="expression" dxfId="4089" priority="229">
      <formula>B31=""</formula>
    </cfRule>
  </conditionalFormatting>
  <conditionalFormatting sqref="D32:D42">
    <cfRule type="expression" dxfId="4088" priority="228">
      <formula>B32=""</formula>
    </cfRule>
  </conditionalFormatting>
  <conditionalFormatting sqref="D43">
    <cfRule type="expression" dxfId="4087" priority="227">
      <formula>B43=""</formula>
    </cfRule>
  </conditionalFormatting>
  <conditionalFormatting sqref="D44">
    <cfRule type="expression" dxfId="4086" priority="226">
      <formula>B44=""</formula>
    </cfRule>
  </conditionalFormatting>
  <conditionalFormatting sqref="D45">
    <cfRule type="expression" dxfId="4085" priority="225">
      <formula>B45=""</formula>
    </cfRule>
  </conditionalFormatting>
  <conditionalFormatting sqref="D46">
    <cfRule type="expression" dxfId="4084" priority="224">
      <formula>B46=""</formula>
    </cfRule>
  </conditionalFormatting>
  <conditionalFormatting sqref="D47">
    <cfRule type="expression" dxfId="4083" priority="223">
      <formula>B47=""</formula>
    </cfRule>
  </conditionalFormatting>
  <conditionalFormatting sqref="D48">
    <cfRule type="expression" dxfId="4082" priority="222">
      <formula>B48=""</formula>
    </cfRule>
  </conditionalFormatting>
  <conditionalFormatting sqref="D49">
    <cfRule type="expression" dxfId="4081" priority="221">
      <formula>B49=""</formula>
    </cfRule>
  </conditionalFormatting>
  <conditionalFormatting sqref="E30:E49">
    <cfRule type="expression" dxfId="4080" priority="220">
      <formula>B30=""</formula>
    </cfRule>
  </conditionalFormatting>
  <conditionalFormatting sqref="E31 E33 E35 E37 E39 E41 E43 E45 E47 E49">
    <cfRule type="expression" dxfId="4079" priority="219">
      <formula>B31=""</formula>
    </cfRule>
  </conditionalFormatting>
  <conditionalFormatting sqref="E32:E42">
    <cfRule type="expression" dxfId="4078" priority="218">
      <formula>B32=""</formula>
    </cfRule>
  </conditionalFormatting>
  <conditionalFormatting sqref="E43">
    <cfRule type="expression" dxfId="4077" priority="217">
      <formula>B43=""</formula>
    </cfRule>
  </conditionalFormatting>
  <conditionalFormatting sqref="E44">
    <cfRule type="expression" dxfId="4076" priority="216">
      <formula>B44=""</formula>
    </cfRule>
  </conditionalFormatting>
  <conditionalFormatting sqref="E45">
    <cfRule type="expression" dxfId="4075" priority="215">
      <formula>B45=""</formula>
    </cfRule>
  </conditionalFormatting>
  <conditionalFormatting sqref="E46">
    <cfRule type="expression" dxfId="4074" priority="214">
      <formula>B46=""</formula>
    </cfRule>
  </conditionalFormatting>
  <conditionalFormatting sqref="E47">
    <cfRule type="expression" dxfId="4073" priority="213">
      <formula>B47=""</formula>
    </cfRule>
  </conditionalFormatting>
  <conditionalFormatting sqref="E48">
    <cfRule type="expression" dxfId="4072" priority="212">
      <formula>B48=""</formula>
    </cfRule>
  </conditionalFormatting>
  <conditionalFormatting sqref="E49">
    <cfRule type="expression" dxfId="4071" priority="211">
      <formula>B49=""</formula>
    </cfRule>
  </conditionalFormatting>
  <conditionalFormatting sqref="F30:F49">
    <cfRule type="expression" dxfId="4070" priority="210">
      <formula>B30=""</formula>
    </cfRule>
  </conditionalFormatting>
  <conditionalFormatting sqref="F31 F33 F35 F37 F39 F41 F43 F45 F47 F49">
    <cfRule type="expression" dxfId="4069" priority="209">
      <formula>B31=""</formula>
    </cfRule>
  </conditionalFormatting>
  <conditionalFormatting sqref="F32:F42">
    <cfRule type="expression" dxfId="4068" priority="208">
      <formula>B32=""</formula>
    </cfRule>
  </conditionalFormatting>
  <conditionalFormatting sqref="F43">
    <cfRule type="expression" dxfId="4067" priority="207">
      <formula>B43=""</formula>
    </cfRule>
  </conditionalFormatting>
  <conditionalFormatting sqref="F44">
    <cfRule type="expression" dxfId="4066" priority="206">
      <formula>B44=""</formula>
    </cfRule>
  </conditionalFormatting>
  <conditionalFormatting sqref="F45">
    <cfRule type="expression" dxfId="4065" priority="205">
      <formula>B45=""</formula>
    </cfRule>
  </conditionalFormatting>
  <conditionalFormatting sqref="F46">
    <cfRule type="expression" dxfId="4064" priority="204">
      <formula>B46=""</formula>
    </cfRule>
  </conditionalFormatting>
  <conditionalFormatting sqref="F47">
    <cfRule type="expression" dxfId="4063" priority="203">
      <formula>B47=""</formula>
    </cfRule>
  </conditionalFormatting>
  <conditionalFormatting sqref="F48">
    <cfRule type="expression" dxfId="4062" priority="202">
      <formula>B48=""</formula>
    </cfRule>
  </conditionalFormatting>
  <conditionalFormatting sqref="F49">
    <cfRule type="expression" dxfId="4061" priority="201">
      <formula>B49=""</formula>
    </cfRule>
  </conditionalFormatting>
  <conditionalFormatting sqref="E31 E33 E35 E37 E39 E41 E43 E45 E47 E49">
    <cfRule type="expression" dxfId="4060" priority="200">
      <formula>B31=""</formula>
    </cfRule>
  </conditionalFormatting>
  <conditionalFormatting sqref="E32:E42">
    <cfRule type="expression" dxfId="4059" priority="199">
      <formula>B32=""</formula>
    </cfRule>
  </conditionalFormatting>
  <conditionalFormatting sqref="E43">
    <cfRule type="expression" dxfId="4058" priority="198">
      <formula>B43=""</formula>
    </cfRule>
  </conditionalFormatting>
  <conditionalFormatting sqref="E44">
    <cfRule type="expression" dxfId="4057" priority="197">
      <formula>B44=""</formula>
    </cfRule>
  </conditionalFormatting>
  <conditionalFormatting sqref="E45">
    <cfRule type="expression" dxfId="4056" priority="196">
      <formula>B45=""</formula>
    </cfRule>
  </conditionalFormatting>
  <conditionalFormatting sqref="E46">
    <cfRule type="expression" dxfId="4055" priority="195">
      <formula>B46=""</formula>
    </cfRule>
  </conditionalFormatting>
  <conditionalFormatting sqref="E47">
    <cfRule type="expression" dxfId="4054" priority="194">
      <formula>B47=""</formula>
    </cfRule>
  </conditionalFormatting>
  <conditionalFormatting sqref="E48">
    <cfRule type="expression" dxfId="4053" priority="193">
      <formula>B48=""</formula>
    </cfRule>
  </conditionalFormatting>
  <conditionalFormatting sqref="E49">
    <cfRule type="expression" dxfId="4052" priority="192">
      <formula>B49=""</formula>
    </cfRule>
  </conditionalFormatting>
  <conditionalFormatting sqref="G30:G49">
    <cfRule type="expression" dxfId="4051" priority="191">
      <formula>B30=""</formula>
    </cfRule>
  </conditionalFormatting>
  <conditionalFormatting sqref="G31 G33 G35 G37 G39 G41 G43 G45 G47 G49">
    <cfRule type="expression" dxfId="4050" priority="190">
      <formula>B31=""</formula>
    </cfRule>
  </conditionalFormatting>
  <conditionalFormatting sqref="G32:G42">
    <cfRule type="expression" dxfId="4049" priority="189">
      <formula>B32=""</formula>
    </cfRule>
  </conditionalFormatting>
  <conditionalFormatting sqref="G43">
    <cfRule type="expression" dxfId="4048" priority="188">
      <formula>B43=""</formula>
    </cfRule>
  </conditionalFormatting>
  <conditionalFormatting sqref="G44">
    <cfRule type="expression" dxfId="4047" priority="187">
      <formula>B44=""</formula>
    </cfRule>
  </conditionalFormatting>
  <conditionalFormatting sqref="G45">
    <cfRule type="expression" dxfId="4046" priority="186">
      <formula>B45=""</formula>
    </cfRule>
  </conditionalFormatting>
  <conditionalFormatting sqref="G46">
    <cfRule type="expression" dxfId="4045" priority="185">
      <formula>B46=""</formula>
    </cfRule>
  </conditionalFormatting>
  <conditionalFormatting sqref="G47">
    <cfRule type="expression" dxfId="4044" priority="184">
      <formula>B47=""</formula>
    </cfRule>
  </conditionalFormatting>
  <conditionalFormatting sqref="G48">
    <cfRule type="expression" dxfId="4043" priority="183">
      <formula>B48=""</formula>
    </cfRule>
  </conditionalFormatting>
  <conditionalFormatting sqref="G49">
    <cfRule type="expression" dxfId="4042" priority="182">
      <formula>B49=""</formula>
    </cfRule>
  </conditionalFormatting>
  <conditionalFormatting sqref="H30 H32 H34 H36 H38 H40 H42 H44 H46 H48">
    <cfRule type="expression" dxfId="4041" priority="181">
      <formula>B30=""</formula>
    </cfRule>
  </conditionalFormatting>
  <conditionalFormatting sqref="H31 H33 H35 H37 H39 H41 H43 H45 H47 H49">
    <cfRule type="expression" dxfId="4040" priority="180">
      <formula>B31=""</formula>
    </cfRule>
  </conditionalFormatting>
  <conditionalFormatting sqref="H32:H42">
    <cfRule type="expression" dxfId="4039" priority="179">
      <formula>B32=""</formula>
    </cfRule>
  </conditionalFormatting>
  <conditionalFormatting sqref="H43">
    <cfRule type="expression" dxfId="4038" priority="178">
      <formula>B43=""</formula>
    </cfRule>
  </conditionalFormatting>
  <conditionalFormatting sqref="H44">
    <cfRule type="expression" dxfId="4037" priority="177">
      <formula>B44=""</formula>
    </cfRule>
  </conditionalFormatting>
  <conditionalFormatting sqref="H45">
    <cfRule type="expression" dxfId="4036" priority="176">
      <formula>B45=""</formula>
    </cfRule>
  </conditionalFormatting>
  <conditionalFormatting sqref="H46">
    <cfRule type="expression" dxfId="4035" priority="175">
      <formula>B46=""</formula>
    </cfRule>
  </conditionalFormatting>
  <conditionalFormatting sqref="H47">
    <cfRule type="expression" dxfId="4034" priority="174">
      <formula>B47=""</formula>
    </cfRule>
  </conditionalFormatting>
  <conditionalFormatting sqref="H48">
    <cfRule type="expression" dxfId="4033" priority="173">
      <formula>B48=""</formula>
    </cfRule>
  </conditionalFormatting>
  <conditionalFormatting sqref="H49">
    <cfRule type="expression" dxfId="4032" priority="172">
      <formula>B49=""</formula>
    </cfRule>
  </conditionalFormatting>
  <conditionalFormatting sqref="F30 F32 F34 F36 F38 F40 F42 F44 F46 F48">
    <cfRule type="expression" dxfId="4031" priority="171">
      <formula>B30=""</formula>
    </cfRule>
  </conditionalFormatting>
  <conditionalFormatting sqref="F31 F33 F35 F37 F39 F41 F43 F45 F47 F49">
    <cfRule type="expression" dxfId="4030" priority="170">
      <formula>B31=""</formula>
    </cfRule>
  </conditionalFormatting>
  <conditionalFormatting sqref="F32:F42">
    <cfRule type="expression" dxfId="4029" priority="169">
      <formula>B32=""</formula>
    </cfRule>
  </conditionalFormatting>
  <conditionalFormatting sqref="F43">
    <cfRule type="expression" dxfId="4028" priority="168">
      <formula>B43=""</formula>
    </cfRule>
  </conditionalFormatting>
  <conditionalFormatting sqref="F44">
    <cfRule type="expression" dxfId="4027" priority="167">
      <formula>B44=""</formula>
    </cfRule>
  </conditionalFormatting>
  <conditionalFormatting sqref="F45">
    <cfRule type="expression" dxfId="4026" priority="166">
      <formula>B45=""</formula>
    </cfRule>
  </conditionalFormatting>
  <conditionalFormatting sqref="F46">
    <cfRule type="expression" dxfId="4025" priority="165">
      <formula>B46=""</formula>
    </cfRule>
  </conditionalFormatting>
  <conditionalFormatting sqref="F47">
    <cfRule type="expression" dxfId="4024" priority="164">
      <formula>B47=""</formula>
    </cfRule>
  </conditionalFormatting>
  <conditionalFormatting sqref="F48">
    <cfRule type="expression" dxfId="4023" priority="163">
      <formula>B48=""</formula>
    </cfRule>
  </conditionalFormatting>
  <conditionalFormatting sqref="F49">
    <cfRule type="expression" dxfId="4022" priority="162">
      <formula>B49=""</formula>
    </cfRule>
  </conditionalFormatting>
  <conditionalFormatting sqref="C52:C71">
    <cfRule type="expression" dxfId="4021" priority="161">
      <formula>B52=""</formula>
    </cfRule>
  </conditionalFormatting>
  <conditionalFormatting sqref="C53 C55 C57 C59 C61 C63 C65 C67 C69 C71">
    <cfRule type="expression" dxfId="4020" priority="160">
      <formula>B53=""</formula>
    </cfRule>
  </conditionalFormatting>
  <conditionalFormatting sqref="C54:C64">
    <cfRule type="expression" dxfId="4019" priority="159">
      <formula>B54=""</formula>
    </cfRule>
  </conditionalFormatting>
  <conditionalFormatting sqref="C65">
    <cfRule type="expression" dxfId="4018" priority="158">
      <formula>B65=""</formula>
    </cfRule>
  </conditionalFormatting>
  <conditionalFormatting sqref="C66">
    <cfRule type="expression" dxfId="4017" priority="157">
      <formula>B66=""</formula>
    </cfRule>
  </conditionalFormatting>
  <conditionalFormatting sqref="C67">
    <cfRule type="expression" dxfId="4016" priority="156">
      <formula>B67=""</formula>
    </cfRule>
  </conditionalFormatting>
  <conditionalFormatting sqref="C68">
    <cfRule type="expression" dxfId="4015" priority="155">
      <formula>B68=""</formula>
    </cfRule>
  </conditionalFormatting>
  <conditionalFormatting sqref="C69">
    <cfRule type="expression" dxfId="4014" priority="154">
      <formula>B69=""</formula>
    </cfRule>
  </conditionalFormatting>
  <conditionalFormatting sqref="C70">
    <cfRule type="expression" dxfId="4013" priority="153">
      <formula>B70=""</formula>
    </cfRule>
  </conditionalFormatting>
  <conditionalFormatting sqref="C71">
    <cfRule type="expression" dxfId="4012" priority="152">
      <formula>B71=""</formula>
    </cfRule>
  </conditionalFormatting>
  <conditionalFormatting sqref="C71">
    <cfRule type="expression" dxfId="4011" priority="151">
      <formula>B71=""</formula>
    </cfRule>
  </conditionalFormatting>
  <conditionalFormatting sqref="C52:C71">
    <cfRule type="expression" dxfId="4010" priority="150">
      <formula>B52=""</formula>
    </cfRule>
  </conditionalFormatting>
  <conditionalFormatting sqref="C53 C55 C57 C59 C61 C63 C65 C67 C69 C71">
    <cfRule type="expression" dxfId="4009" priority="149">
      <formula>B53=""</formula>
    </cfRule>
  </conditionalFormatting>
  <conditionalFormatting sqref="C54:C64">
    <cfRule type="expression" dxfId="4008" priority="148">
      <formula>B54=""</formula>
    </cfRule>
  </conditionalFormatting>
  <conditionalFormatting sqref="C65">
    <cfRule type="expression" dxfId="4007" priority="147">
      <formula>B65=""</formula>
    </cfRule>
  </conditionalFormatting>
  <conditionalFormatting sqref="C66">
    <cfRule type="expression" dxfId="4006" priority="146">
      <formula>B66=""</formula>
    </cfRule>
  </conditionalFormatting>
  <conditionalFormatting sqref="C67">
    <cfRule type="expression" dxfId="4005" priority="145">
      <formula>B67=""</formula>
    </cfRule>
  </conditionalFormatting>
  <conditionalFormatting sqref="C68">
    <cfRule type="expression" dxfId="4004" priority="144">
      <formula>B68=""</formula>
    </cfRule>
  </conditionalFormatting>
  <conditionalFormatting sqref="C69">
    <cfRule type="expression" dxfId="4003" priority="143">
      <formula>B69=""</formula>
    </cfRule>
  </conditionalFormatting>
  <conditionalFormatting sqref="C70">
    <cfRule type="expression" dxfId="4002" priority="142">
      <formula>B70=""</formula>
    </cfRule>
  </conditionalFormatting>
  <conditionalFormatting sqref="C71">
    <cfRule type="expression" dxfId="4001" priority="141">
      <formula>B71=""</formula>
    </cfRule>
  </conditionalFormatting>
  <conditionalFormatting sqref="C52:C71">
    <cfRule type="expression" dxfId="4000" priority="140">
      <formula>B52=""</formula>
    </cfRule>
  </conditionalFormatting>
  <conditionalFormatting sqref="C53 C55 C57 C59 C61 C63 C65 C67 C69 C71">
    <cfRule type="expression" dxfId="3999" priority="139">
      <formula>B53=""</formula>
    </cfRule>
  </conditionalFormatting>
  <conditionalFormatting sqref="C54:C64">
    <cfRule type="expression" dxfId="3998" priority="138">
      <formula>B54=""</formula>
    </cfRule>
  </conditionalFormatting>
  <conditionalFormatting sqref="C65">
    <cfRule type="expression" dxfId="3997" priority="137">
      <formula>B65=""</formula>
    </cfRule>
  </conditionalFormatting>
  <conditionalFormatting sqref="C66">
    <cfRule type="expression" dxfId="3996" priority="136">
      <formula>B66=""</formula>
    </cfRule>
  </conditionalFormatting>
  <conditionalFormatting sqref="C67">
    <cfRule type="expression" dxfId="3995" priority="135">
      <formula>B67=""</formula>
    </cfRule>
  </conditionalFormatting>
  <conditionalFormatting sqref="C68">
    <cfRule type="expression" dxfId="3994" priority="134">
      <formula>B68=""</formula>
    </cfRule>
  </conditionalFormatting>
  <conditionalFormatting sqref="C69">
    <cfRule type="expression" dxfId="3993" priority="133">
      <formula>B69=""</formula>
    </cfRule>
  </conditionalFormatting>
  <conditionalFormatting sqref="C70">
    <cfRule type="expression" dxfId="3992" priority="132">
      <formula>B70=""</formula>
    </cfRule>
  </conditionalFormatting>
  <conditionalFormatting sqref="C71">
    <cfRule type="expression" dxfId="3991" priority="131">
      <formula>B71=""</formula>
    </cfRule>
  </conditionalFormatting>
  <conditionalFormatting sqref="C52:C71">
    <cfRule type="expression" dxfId="3990" priority="130">
      <formula>B52=""</formula>
    </cfRule>
  </conditionalFormatting>
  <conditionalFormatting sqref="C53 C55 C57 C59 C61 C63 C65 C67 C69 C71">
    <cfRule type="expression" dxfId="3989" priority="129">
      <formula>B53=""</formula>
    </cfRule>
  </conditionalFormatting>
  <conditionalFormatting sqref="C54:C64">
    <cfRule type="expression" dxfId="3988" priority="128">
      <formula>B54=""</formula>
    </cfRule>
  </conditionalFormatting>
  <conditionalFormatting sqref="C65">
    <cfRule type="expression" dxfId="3987" priority="127">
      <formula>B65=""</formula>
    </cfRule>
  </conditionalFormatting>
  <conditionalFormatting sqref="C66">
    <cfRule type="expression" dxfId="3986" priority="126">
      <formula>B66=""</formula>
    </cfRule>
  </conditionalFormatting>
  <conditionalFormatting sqref="C67">
    <cfRule type="expression" dxfId="3985" priority="125">
      <formula>B67=""</formula>
    </cfRule>
  </conditionalFormatting>
  <conditionalFormatting sqref="C68">
    <cfRule type="expression" dxfId="3984" priority="124">
      <formula>B68=""</formula>
    </cfRule>
  </conditionalFormatting>
  <conditionalFormatting sqref="C69">
    <cfRule type="expression" dxfId="3983" priority="123">
      <formula>B69=""</formula>
    </cfRule>
  </conditionalFormatting>
  <conditionalFormatting sqref="C70">
    <cfRule type="expression" dxfId="3982" priority="122">
      <formula>B70=""</formula>
    </cfRule>
  </conditionalFormatting>
  <conditionalFormatting sqref="C71">
    <cfRule type="expression" dxfId="3981" priority="121">
      <formula>B71=""</formula>
    </cfRule>
  </conditionalFormatting>
  <conditionalFormatting sqref="C52 C54 C56 C58 C60 C62 C64 C66 C68 C70">
    <cfRule type="expression" dxfId="3980" priority="120">
      <formula>B52=""</formula>
    </cfRule>
  </conditionalFormatting>
  <conditionalFormatting sqref="C53 C55 C57 C59 C61 C63 C65 C67 C69 C71">
    <cfRule type="expression" dxfId="3979" priority="119">
      <formula>B53=""</formula>
    </cfRule>
  </conditionalFormatting>
  <conditionalFormatting sqref="C54:C64">
    <cfRule type="expression" dxfId="3978" priority="118">
      <formula>B54=""</formula>
    </cfRule>
  </conditionalFormatting>
  <conditionalFormatting sqref="C65">
    <cfRule type="expression" dxfId="3977" priority="117">
      <formula>B65=""</formula>
    </cfRule>
  </conditionalFormatting>
  <conditionalFormatting sqref="C66">
    <cfRule type="expression" dxfId="3976" priority="116">
      <formula>B66=""</formula>
    </cfRule>
  </conditionalFormatting>
  <conditionalFormatting sqref="C67">
    <cfRule type="expression" dxfId="3975" priority="115">
      <formula>B67=""</formula>
    </cfRule>
  </conditionalFormatting>
  <conditionalFormatting sqref="C68">
    <cfRule type="expression" dxfId="3974" priority="114">
      <formula>B68=""</formula>
    </cfRule>
  </conditionalFormatting>
  <conditionalFormatting sqref="C69">
    <cfRule type="expression" dxfId="3973" priority="113">
      <formula>B69=""</formula>
    </cfRule>
  </conditionalFormatting>
  <conditionalFormatting sqref="C70">
    <cfRule type="expression" dxfId="3972" priority="112">
      <formula>B70=""</formula>
    </cfRule>
  </conditionalFormatting>
  <conditionalFormatting sqref="C71">
    <cfRule type="expression" dxfId="3971" priority="111">
      <formula>B71=""</formula>
    </cfRule>
  </conditionalFormatting>
  <conditionalFormatting sqref="C74:C93">
    <cfRule type="expression" dxfId="3970" priority="110">
      <formula>B74=""</formula>
    </cfRule>
  </conditionalFormatting>
  <conditionalFormatting sqref="C75 C77 C79 C81 C83 C85 C87 C89 C91 C93">
    <cfRule type="expression" dxfId="3969" priority="109">
      <formula>B75=""</formula>
    </cfRule>
  </conditionalFormatting>
  <conditionalFormatting sqref="C76:C86">
    <cfRule type="expression" dxfId="3968" priority="108">
      <formula>B76=""</formula>
    </cfRule>
  </conditionalFormatting>
  <conditionalFormatting sqref="C87">
    <cfRule type="expression" dxfId="3967" priority="107">
      <formula>B87=""</formula>
    </cfRule>
  </conditionalFormatting>
  <conditionalFormatting sqref="C88">
    <cfRule type="expression" dxfId="3966" priority="106">
      <formula>B88=""</formula>
    </cfRule>
  </conditionalFormatting>
  <conditionalFormatting sqref="C89">
    <cfRule type="expression" dxfId="3965" priority="105">
      <formula>B89=""</formula>
    </cfRule>
  </conditionalFormatting>
  <conditionalFormatting sqref="C90">
    <cfRule type="expression" dxfId="3964" priority="104">
      <formula>B90=""</formula>
    </cfRule>
  </conditionalFormatting>
  <conditionalFormatting sqref="C91">
    <cfRule type="expression" dxfId="3963" priority="103">
      <formula>B91=""</formula>
    </cfRule>
  </conditionalFormatting>
  <conditionalFormatting sqref="C92">
    <cfRule type="expression" dxfId="3962" priority="102">
      <formula>B92=""</formula>
    </cfRule>
  </conditionalFormatting>
  <conditionalFormatting sqref="C93">
    <cfRule type="expression" dxfId="3961" priority="101">
      <formula>B93=""</formula>
    </cfRule>
  </conditionalFormatting>
  <conditionalFormatting sqref="C93">
    <cfRule type="expression" dxfId="3960" priority="100">
      <formula>B93=""</formula>
    </cfRule>
  </conditionalFormatting>
  <conditionalFormatting sqref="C74:C93">
    <cfRule type="expression" dxfId="3959" priority="99">
      <formula>B74=""</formula>
    </cfRule>
  </conditionalFormatting>
  <conditionalFormatting sqref="C75 C77 C79 C81 C83 C85 C87 C89 C91 C93">
    <cfRule type="expression" dxfId="3958" priority="98">
      <formula>B75=""</formula>
    </cfRule>
  </conditionalFormatting>
  <conditionalFormatting sqref="C76:C86">
    <cfRule type="expression" dxfId="3957" priority="97">
      <formula>B76=""</formula>
    </cfRule>
  </conditionalFormatting>
  <conditionalFormatting sqref="C87">
    <cfRule type="expression" dxfId="3956" priority="96">
      <formula>B87=""</formula>
    </cfRule>
  </conditionalFormatting>
  <conditionalFormatting sqref="C88">
    <cfRule type="expression" dxfId="3955" priority="95">
      <formula>B88=""</formula>
    </cfRule>
  </conditionalFormatting>
  <conditionalFormatting sqref="C89">
    <cfRule type="expression" dxfId="3954" priority="94">
      <formula>B89=""</formula>
    </cfRule>
  </conditionalFormatting>
  <conditionalFormatting sqref="C90">
    <cfRule type="expression" dxfId="3953" priority="93">
      <formula>B90=""</formula>
    </cfRule>
  </conditionalFormatting>
  <conditionalFormatting sqref="C91">
    <cfRule type="expression" dxfId="3952" priority="92">
      <formula>B91=""</formula>
    </cfRule>
  </conditionalFormatting>
  <conditionalFormatting sqref="C92">
    <cfRule type="expression" dxfId="3951" priority="91">
      <formula>B92=""</formula>
    </cfRule>
  </conditionalFormatting>
  <conditionalFormatting sqref="C93">
    <cfRule type="expression" dxfId="3950" priority="90">
      <formula>B93=""</formula>
    </cfRule>
  </conditionalFormatting>
  <conditionalFormatting sqref="C74:C93">
    <cfRule type="expression" dxfId="3949" priority="89">
      <formula>B74=""</formula>
    </cfRule>
  </conditionalFormatting>
  <conditionalFormatting sqref="C75 C77 C79 C81 C83 C85 C87 C89 C91 C93">
    <cfRule type="expression" dxfId="3948" priority="88">
      <formula>B75=""</formula>
    </cfRule>
  </conditionalFormatting>
  <conditionalFormatting sqref="C76:C86">
    <cfRule type="expression" dxfId="3947" priority="87">
      <formula>B76=""</formula>
    </cfRule>
  </conditionalFormatting>
  <conditionalFormatting sqref="C87">
    <cfRule type="expression" dxfId="3946" priority="86">
      <formula>B87=""</formula>
    </cfRule>
  </conditionalFormatting>
  <conditionalFormatting sqref="C88">
    <cfRule type="expression" dxfId="3945" priority="85">
      <formula>B88=""</formula>
    </cfRule>
  </conditionalFormatting>
  <conditionalFormatting sqref="C89">
    <cfRule type="expression" dxfId="3944" priority="84">
      <formula>B89=""</formula>
    </cfRule>
  </conditionalFormatting>
  <conditionalFormatting sqref="C90">
    <cfRule type="expression" dxfId="3943" priority="83">
      <formula>B90=""</formula>
    </cfRule>
  </conditionalFormatting>
  <conditionalFormatting sqref="C91">
    <cfRule type="expression" dxfId="3942" priority="82">
      <formula>B91=""</formula>
    </cfRule>
  </conditionalFormatting>
  <conditionalFormatting sqref="C92">
    <cfRule type="expression" dxfId="3941" priority="81">
      <formula>B92=""</formula>
    </cfRule>
  </conditionalFormatting>
  <conditionalFormatting sqref="C93">
    <cfRule type="expression" dxfId="3940" priority="80">
      <formula>B93=""</formula>
    </cfRule>
  </conditionalFormatting>
  <conditionalFormatting sqref="C93">
    <cfRule type="expression" dxfId="3939" priority="79">
      <formula>B93=""</formula>
    </cfRule>
  </conditionalFormatting>
  <conditionalFormatting sqref="C74:C93">
    <cfRule type="expression" dxfId="3938" priority="78">
      <formula>B74=""</formula>
    </cfRule>
  </conditionalFormatting>
  <conditionalFormatting sqref="C75 C77 C79 C81 C83 C85 C87 C89 C91 C93">
    <cfRule type="expression" dxfId="3937" priority="77">
      <formula>B75=""</formula>
    </cfRule>
  </conditionalFormatting>
  <conditionalFormatting sqref="C76:C86">
    <cfRule type="expression" dxfId="3936" priority="76">
      <formula>B76=""</formula>
    </cfRule>
  </conditionalFormatting>
  <conditionalFormatting sqref="C87">
    <cfRule type="expression" dxfId="3935" priority="75">
      <formula>B87=""</formula>
    </cfRule>
  </conditionalFormatting>
  <conditionalFormatting sqref="C88">
    <cfRule type="expression" dxfId="3934" priority="74">
      <formula>B88=""</formula>
    </cfRule>
  </conditionalFormatting>
  <conditionalFormatting sqref="C89">
    <cfRule type="expression" dxfId="3933" priority="73">
      <formula>B89=""</formula>
    </cfRule>
  </conditionalFormatting>
  <conditionalFormatting sqref="C90">
    <cfRule type="expression" dxfId="3932" priority="72">
      <formula>B90=""</formula>
    </cfRule>
  </conditionalFormatting>
  <conditionalFormatting sqref="C91">
    <cfRule type="expression" dxfId="3931" priority="71">
      <formula>B91=""</formula>
    </cfRule>
  </conditionalFormatting>
  <conditionalFormatting sqref="C92">
    <cfRule type="expression" dxfId="3930" priority="70">
      <formula>B92=""</formula>
    </cfRule>
  </conditionalFormatting>
  <conditionalFormatting sqref="C93">
    <cfRule type="expression" dxfId="3929" priority="69">
      <formula>B93=""</formula>
    </cfRule>
  </conditionalFormatting>
  <conditionalFormatting sqref="C74:C93">
    <cfRule type="expression" dxfId="3928" priority="68">
      <formula>B74=""</formula>
    </cfRule>
  </conditionalFormatting>
  <conditionalFormatting sqref="C75 C77 C79 C81 C83 C85 C87 C89 C91 C93">
    <cfRule type="expression" dxfId="3927" priority="67">
      <formula>B75=""</formula>
    </cfRule>
  </conditionalFormatting>
  <conditionalFormatting sqref="C76:C86">
    <cfRule type="expression" dxfId="3926" priority="66">
      <formula>B76=""</formula>
    </cfRule>
  </conditionalFormatting>
  <conditionalFormatting sqref="C87">
    <cfRule type="expression" dxfId="3925" priority="65">
      <formula>B87=""</formula>
    </cfRule>
  </conditionalFormatting>
  <conditionalFormatting sqref="C88">
    <cfRule type="expression" dxfId="3924" priority="64">
      <formula>B88=""</formula>
    </cfRule>
  </conditionalFormatting>
  <conditionalFormatting sqref="C89">
    <cfRule type="expression" dxfId="3923" priority="63">
      <formula>B89=""</formula>
    </cfRule>
  </conditionalFormatting>
  <conditionalFormatting sqref="C90">
    <cfRule type="expression" dxfId="3922" priority="62">
      <formula>B90=""</formula>
    </cfRule>
  </conditionalFormatting>
  <conditionalFormatting sqref="C91">
    <cfRule type="expression" dxfId="3921" priority="61">
      <formula>B91=""</formula>
    </cfRule>
  </conditionalFormatting>
  <conditionalFormatting sqref="C92">
    <cfRule type="expression" dxfId="3920" priority="60">
      <formula>B92=""</formula>
    </cfRule>
  </conditionalFormatting>
  <conditionalFormatting sqref="C93">
    <cfRule type="expression" dxfId="3919" priority="59">
      <formula>B93=""</formula>
    </cfRule>
  </conditionalFormatting>
  <conditionalFormatting sqref="C74:C93">
    <cfRule type="expression" dxfId="3918" priority="58">
      <formula>B74=""</formula>
    </cfRule>
  </conditionalFormatting>
  <conditionalFormatting sqref="C75 C77 C79 C81 C83 C85 C87 C89 C91 C93">
    <cfRule type="expression" dxfId="3917" priority="57">
      <formula>B75=""</formula>
    </cfRule>
  </conditionalFormatting>
  <conditionalFormatting sqref="C76:C86">
    <cfRule type="expression" dxfId="3916" priority="56">
      <formula>B76=""</formula>
    </cfRule>
  </conditionalFormatting>
  <conditionalFormatting sqref="C87">
    <cfRule type="expression" dxfId="3915" priority="55">
      <formula>B87=""</formula>
    </cfRule>
  </conditionalFormatting>
  <conditionalFormatting sqref="C88">
    <cfRule type="expression" dxfId="3914" priority="54">
      <formula>B88=""</formula>
    </cfRule>
  </conditionalFormatting>
  <conditionalFormatting sqref="C89">
    <cfRule type="expression" dxfId="3913" priority="53">
      <formula>B89=""</formula>
    </cfRule>
  </conditionalFormatting>
  <conditionalFormatting sqref="C90">
    <cfRule type="expression" dxfId="3912" priority="52">
      <formula>B90=""</formula>
    </cfRule>
  </conditionalFormatting>
  <conditionalFormatting sqref="C91">
    <cfRule type="expression" dxfId="3911" priority="51">
      <formula>B91=""</formula>
    </cfRule>
  </conditionalFormatting>
  <conditionalFormatting sqref="C92">
    <cfRule type="expression" dxfId="3910" priority="50">
      <formula>B92=""</formula>
    </cfRule>
  </conditionalFormatting>
  <conditionalFormatting sqref="C93">
    <cfRule type="expression" dxfId="3909" priority="49">
      <formula>B93=""</formula>
    </cfRule>
  </conditionalFormatting>
  <conditionalFormatting sqref="C74 C76 C78 C80 C82 C84 C86 C88 C90 C92">
    <cfRule type="expression" dxfId="3908" priority="48">
      <formula>B74=""</formula>
    </cfRule>
  </conditionalFormatting>
  <conditionalFormatting sqref="C75 C77 C79 C81 C83 C85 C87 C89 C91 C93">
    <cfRule type="expression" dxfId="3907" priority="47">
      <formula>B75=""</formula>
    </cfRule>
  </conditionalFormatting>
  <conditionalFormatting sqref="C76:C86">
    <cfRule type="expression" dxfId="3906" priority="46">
      <formula>B76=""</formula>
    </cfRule>
  </conditionalFormatting>
  <conditionalFormatting sqref="C87">
    <cfRule type="expression" dxfId="3905" priority="45">
      <formula>B87=""</formula>
    </cfRule>
  </conditionalFormatting>
  <conditionalFormatting sqref="C88">
    <cfRule type="expression" dxfId="3904" priority="44">
      <formula>B88=""</formula>
    </cfRule>
  </conditionalFormatting>
  <conditionalFormatting sqref="C89">
    <cfRule type="expression" dxfId="3903" priority="43">
      <formula>B89=""</formula>
    </cfRule>
  </conditionalFormatting>
  <conditionalFormatting sqref="C90">
    <cfRule type="expression" dxfId="3902" priority="42">
      <formula>B90=""</formula>
    </cfRule>
  </conditionalFormatting>
  <conditionalFormatting sqref="C91">
    <cfRule type="expression" dxfId="3901" priority="41">
      <formula>B91=""</formula>
    </cfRule>
  </conditionalFormatting>
  <conditionalFormatting sqref="C92">
    <cfRule type="expression" dxfId="3900" priority="40">
      <formula>B92=""</formula>
    </cfRule>
  </conditionalFormatting>
  <conditionalFormatting sqref="C93">
    <cfRule type="expression" dxfId="3899" priority="39">
      <formula>B93=""</formula>
    </cfRule>
  </conditionalFormatting>
  <conditionalFormatting sqref="B8:B27">
    <cfRule type="containsBlanks" dxfId="3898" priority="38">
      <formula>LEN(TRIM(B8))=0</formula>
    </cfRule>
  </conditionalFormatting>
  <conditionalFormatting sqref="C8:C27">
    <cfRule type="expression" dxfId="3897" priority="37">
      <formula>B8=""</formula>
    </cfRule>
  </conditionalFormatting>
  <conditionalFormatting sqref="C9 C11 C13 C15 C17 C19 C21 C23 C25 C27">
    <cfRule type="expression" dxfId="3896" priority="36">
      <formula>B9=""</formula>
    </cfRule>
  </conditionalFormatting>
  <conditionalFormatting sqref="C8:C27">
    <cfRule type="expression" dxfId="3895" priority="35">
      <formula>B8=""</formula>
    </cfRule>
  </conditionalFormatting>
  <conditionalFormatting sqref="C9 C11 C13 C15 C17 C19 C21 C23 C25 C27">
    <cfRule type="expression" dxfId="3894" priority="34">
      <formula>B9=""</formula>
    </cfRule>
  </conditionalFormatting>
  <conditionalFormatting sqref="C8 C10 C12 C14 C16 C18 C20 C22 C24 C26">
    <cfRule type="expression" dxfId="3893" priority="33">
      <formula>B8=""</formula>
    </cfRule>
  </conditionalFormatting>
  <conditionalFormatting sqref="C9 C11 C13 C15 C17 C19 C21 C23 C25 C27">
    <cfRule type="expression" dxfId="3892" priority="32">
      <formula>B9=""</formula>
    </cfRule>
  </conditionalFormatting>
  <conditionalFormatting sqref="B8:B27">
    <cfRule type="containsBlanks" dxfId="3891" priority="31">
      <formula>LEN(TRIM(B8))=0</formula>
    </cfRule>
  </conditionalFormatting>
  <conditionalFormatting sqref="C8:C27">
    <cfRule type="expression" dxfId="3890" priority="30">
      <formula>B8=""</formula>
    </cfRule>
  </conditionalFormatting>
  <conditionalFormatting sqref="C9 C11 C13 C15 C17 C19 C21 C23 C25 C27">
    <cfRule type="expression" dxfId="3889" priority="29">
      <formula>B9=""</formula>
    </cfRule>
  </conditionalFormatting>
  <conditionalFormatting sqref="C8:C27">
    <cfRule type="expression" dxfId="3888" priority="28">
      <formula>B8=""</formula>
    </cfRule>
  </conditionalFormatting>
  <conditionalFormatting sqref="C9 C11 C13 C15 C17 C19 C21 C23 C25 C27">
    <cfRule type="expression" dxfId="3887" priority="27">
      <formula>B9=""</formula>
    </cfRule>
  </conditionalFormatting>
  <conditionalFormatting sqref="C8 C10 C12 C14 C16 C18 C20 C22 C24 C26">
    <cfRule type="expression" dxfId="3886" priority="26">
      <formula>B8=""</formula>
    </cfRule>
  </conditionalFormatting>
  <conditionalFormatting sqref="C9 C11 C13 C15 C17 C19 C21 C23 C25 C27">
    <cfRule type="expression" dxfId="3885" priority="25">
      <formula>B9=""</formula>
    </cfRule>
  </conditionalFormatting>
  <conditionalFormatting sqref="B8:B27">
    <cfRule type="containsBlanks" dxfId="3884" priority="24">
      <formula>LEN(TRIM(B8))=0</formula>
    </cfRule>
  </conditionalFormatting>
  <conditionalFormatting sqref="C8:C27">
    <cfRule type="expression" dxfId="3883" priority="23">
      <formula>B8=""</formula>
    </cfRule>
  </conditionalFormatting>
  <conditionalFormatting sqref="C9 C11 C13 C15 C17 C19 C21 C23 C25 C27">
    <cfRule type="expression" dxfId="3882" priority="22">
      <formula>B9=""</formula>
    </cfRule>
  </conditionalFormatting>
  <conditionalFormatting sqref="C8:C27">
    <cfRule type="expression" dxfId="3881" priority="21">
      <formula>B8=""</formula>
    </cfRule>
  </conditionalFormatting>
  <conditionalFormatting sqref="C9 C11 C13 C15 C17 C19 C21 C23 C25 C27">
    <cfRule type="expression" dxfId="3880" priority="20">
      <formula>B9=""</formula>
    </cfRule>
  </conditionalFormatting>
  <conditionalFormatting sqref="C8 C10 C12 C14 C16 C18 C20 C22 C24 C26">
    <cfRule type="expression" dxfId="3879" priority="19">
      <formula>B8=""</formula>
    </cfRule>
  </conditionalFormatting>
  <conditionalFormatting sqref="C9 C11 C13 C15 C17 C19 C21 C23 C25 C27">
    <cfRule type="expression" dxfId="3878" priority="18">
      <formula>B9=""</formula>
    </cfRule>
  </conditionalFormatting>
  <conditionalFormatting sqref="C8:C27">
    <cfRule type="expression" dxfId="3877" priority="17">
      <formula>B8=""</formula>
    </cfRule>
  </conditionalFormatting>
  <conditionalFormatting sqref="C9 C11 C13 C15 C17 C19 C21 C23 C25 C27">
    <cfRule type="expression" dxfId="3876" priority="16">
      <formula>B9=""</formula>
    </cfRule>
  </conditionalFormatting>
  <conditionalFormatting sqref="C8:C27">
    <cfRule type="expression" dxfId="3875" priority="15">
      <formula>B8=""</formula>
    </cfRule>
  </conditionalFormatting>
  <conditionalFormatting sqref="C9 C11 C13 C15 C17 C19 C21 C23 C25 C27">
    <cfRule type="expression" dxfId="3874" priority="14">
      <formula>B9=""</formula>
    </cfRule>
  </conditionalFormatting>
  <conditionalFormatting sqref="C8 C10 C12 C14 C16 C18 C20 C22 C24 C26">
    <cfRule type="expression" dxfId="3873" priority="13">
      <formula>B8=""</formula>
    </cfRule>
  </conditionalFormatting>
  <conditionalFormatting sqref="C9 C11 C13 C15 C17 C19 C21 C23 C25 C27">
    <cfRule type="expression" dxfId="3872" priority="12">
      <formula>B9=""</formula>
    </cfRule>
  </conditionalFormatting>
  <conditionalFormatting sqref="C8:C27">
    <cfRule type="expression" dxfId="3871" priority="11">
      <formula>B8=""</formula>
    </cfRule>
  </conditionalFormatting>
  <conditionalFormatting sqref="C9 C11 C13 C15 C17 C19 C21 C23 C25 C27">
    <cfRule type="expression" dxfId="3870" priority="10">
      <formula>B9=""</formula>
    </cfRule>
  </conditionalFormatting>
  <conditionalFormatting sqref="C9 C11 C13 C15 C17 C19 C21 C23 C25 C27">
    <cfRule type="expression" dxfId="3869" priority="9">
      <formula>B9=""</formula>
    </cfRule>
  </conditionalFormatting>
  <conditionalFormatting sqref="C8 C10 C12 C14 C16 C18 C20 C22 C24 C26">
    <cfRule type="expression" dxfId="3868" priority="8">
      <formula>B8=""</formula>
    </cfRule>
  </conditionalFormatting>
  <conditionalFormatting sqref="C9 C11 C13 C15 C17 C19 C21 C23 C25 C27">
    <cfRule type="expression" dxfId="3867" priority="7">
      <formula>B9=""</formula>
    </cfRule>
  </conditionalFormatting>
  <conditionalFormatting sqref="C8:C27">
    <cfRule type="expression" dxfId="3866" priority="6">
      <formula>B8=""</formula>
    </cfRule>
  </conditionalFormatting>
  <conditionalFormatting sqref="C9 C11 C13 C15 C17 C19 C21 C23 C25 C27">
    <cfRule type="expression" dxfId="3865" priority="5">
      <formula>B9=""</formula>
    </cfRule>
  </conditionalFormatting>
  <conditionalFormatting sqref="C8:C27">
    <cfRule type="expression" dxfId="3864" priority="4">
      <formula>B8=""</formula>
    </cfRule>
  </conditionalFormatting>
  <conditionalFormatting sqref="C9 C11 C13 C15 C17 C19 C21 C23 C25 C27">
    <cfRule type="expression" dxfId="3863" priority="3">
      <formula>B9=""</formula>
    </cfRule>
  </conditionalFormatting>
  <conditionalFormatting sqref="C8:C27">
    <cfRule type="expression" dxfId="3862" priority="2">
      <formula>B8=""</formula>
    </cfRule>
  </conditionalFormatting>
  <conditionalFormatting sqref="C9 C11 C13 C15 C17 C19 C21 C23 C25 C27">
    <cfRule type="expression" dxfId="3861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/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0.33203125" style="13" customWidth="1"/>
    <col min="6" max="6" width="12" style="18" customWidth="1"/>
    <col min="7" max="7" width="15.109375" customWidth="1"/>
    <col min="8" max="8" width="17.109375" customWidth="1"/>
    <col min="10" max="10" width="14.6640625" customWidth="1"/>
  </cols>
  <sheetData>
    <row r="1" spans="2:8" ht="23.4">
      <c r="B1" s="214" t="str">
        <f>DATA!C1004</f>
        <v>NRA.N.007-040-2024/1F</v>
      </c>
      <c r="F1" s="214" t="str">
        <f>DATA!B1016</f>
        <v>Other:</v>
      </c>
    </row>
    <row r="2" spans="2:8" ht="25.8">
      <c r="C2" s="232" t="str">
        <f>'All Hours'!D1</f>
        <v>PLEASE INSERT TENDERER NAME ON INPUT DATA SHEET</v>
      </c>
      <c r="E2" s="920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" thickBot="1">
      <c r="B4" s="1" t="s">
        <v>0</v>
      </c>
      <c r="C4" s="1"/>
      <c r="D4" s="11" t="s">
        <v>1</v>
      </c>
      <c r="E4" s="11" t="s">
        <v>2</v>
      </c>
      <c r="F4" s="14" t="s">
        <v>3</v>
      </c>
      <c r="G4" s="1"/>
      <c r="H4" s="1" t="s">
        <v>4</v>
      </c>
    </row>
    <row r="5" spans="2:8" ht="15" thickBot="1">
      <c r="B5" s="2" t="s">
        <v>5</v>
      </c>
      <c r="C5" s="3"/>
      <c r="D5" s="12"/>
      <c r="E5" s="12"/>
      <c r="F5" s="15"/>
      <c r="G5" s="3"/>
      <c r="H5" s="4"/>
    </row>
    <row r="6" spans="2:8" ht="15" thickBot="1">
      <c r="B6" s="25" t="str">
        <f>DATA!B1016</f>
        <v>Other:</v>
      </c>
      <c r="C6" s="26"/>
      <c r="D6" s="211" t="s">
        <v>6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3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7</v>
      </c>
      <c r="C7" s="20"/>
      <c r="D7" s="21" t="s">
        <v>8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5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5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5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5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5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5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5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5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5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5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5"/>
      <c r="F18" s="16"/>
      <c r="G18" s="61"/>
      <c r="H18" s="62"/>
    </row>
    <row r="19" spans="2:8" hidden="1">
      <c r="B19" s="118"/>
      <c r="C19" s="59"/>
      <c r="D19" s="59"/>
      <c r="E19" s="895"/>
      <c r="F19" s="16"/>
      <c r="G19" s="61"/>
      <c r="H19" s="62"/>
    </row>
    <row r="20" spans="2:8" hidden="1">
      <c r="B20" s="118"/>
      <c r="C20" s="59"/>
      <c r="D20" s="59"/>
      <c r="E20" s="895"/>
      <c r="F20" s="16"/>
      <c r="G20" s="61"/>
      <c r="H20" s="62"/>
    </row>
    <row r="21" spans="2:8" hidden="1">
      <c r="B21" s="118"/>
      <c r="C21" s="59"/>
      <c r="D21" s="59"/>
      <c r="E21" s="895"/>
      <c r="F21" s="16"/>
      <c r="G21" s="61"/>
      <c r="H21" s="62"/>
    </row>
    <row r="22" spans="2:8" hidden="1">
      <c r="B22" s="118"/>
      <c r="C22" s="59"/>
      <c r="D22" s="59"/>
      <c r="E22" s="895"/>
      <c r="F22" s="16"/>
      <c r="G22" s="61"/>
      <c r="H22" s="62"/>
    </row>
    <row r="23" spans="2:8" hidden="1">
      <c r="B23" s="118"/>
      <c r="C23" s="59"/>
      <c r="D23" s="59"/>
      <c r="E23" s="895"/>
      <c r="F23" s="16"/>
      <c r="G23" s="61"/>
      <c r="H23" s="62"/>
    </row>
    <row r="24" spans="2:8" hidden="1">
      <c r="B24" s="118"/>
      <c r="C24" s="59"/>
      <c r="D24" s="59"/>
      <c r="E24" s="895"/>
      <c r="F24" s="16"/>
      <c r="G24" s="61"/>
      <c r="H24" s="62"/>
    </row>
    <row r="25" spans="2:8" hidden="1">
      <c r="B25" s="118"/>
      <c r="C25" s="59"/>
      <c r="D25" s="59"/>
      <c r="E25" s="895"/>
      <c r="F25" s="16"/>
      <c r="G25" s="61"/>
      <c r="H25" s="62"/>
    </row>
    <row r="26" spans="2:8" hidden="1">
      <c r="B26" s="118"/>
      <c r="C26" s="59"/>
      <c r="D26" s="59"/>
      <c r="E26" s="895"/>
      <c r="F26" s="16"/>
      <c r="G26" s="61"/>
      <c r="H26" s="62"/>
    </row>
    <row r="27" spans="2:8" hidden="1">
      <c r="B27" s="118"/>
      <c r="C27" s="59"/>
      <c r="D27" s="59"/>
      <c r="E27" s="895"/>
      <c r="F27" s="16"/>
      <c r="G27" s="61"/>
      <c r="H27" s="62"/>
    </row>
    <row r="28" spans="2:8" ht="15" thickBot="1">
      <c r="B28" s="119" t="str">
        <f>'All Hours'!B30</f>
        <v>OTHER</v>
      </c>
      <c r="C28" s="63" t="str">
        <f>'All Hours'!C30</f>
        <v>Various non-key personnel</v>
      </c>
      <c r="D28" s="5"/>
      <c r="E28" s="899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</v>
      </c>
      <c r="C29" s="20"/>
      <c r="D29" s="21" t="s">
        <v>8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5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5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5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5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5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5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5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5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5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5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5"/>
      <c r="F40" s="16"/>
      <c r="G40" s="61"/>
      <c r="H40" s="62"/>
    </row>
    <row r="41" spans="2:8" hidden="1">
      <c r="B41" s="118"/>
      <c r="C41" s="59"/>
      <c r="D41" s="59"/>
      <c r="E41" s="895"/>
      <c r="F41" s="16"/>
      <c r="G41" s="61"/>
      <c r="H41" s="62"/>
    </row>
    <row r="42" spans="2:8" hidden="1">
      <c r="B42" s="118"/>
      <c r="C42" s="59"/>
      <c r="D42" s="59"/>
      <c r="E42" s="895"/>
      <c r="F42" s="16"/>
      <c r="G42" s="61"/>
      <c r="H42" s="62"/>
    </row>
    <row r="43" spans="2:8" hidden="1">
      <c r="B43" s="118"/>
      <c r="C43" s="59"/>
      <c r="D43" s="59"/>
      <c r="E43" s="895"/>
      <c r="F43" s="16"/>
      <c r="G43" s="61"/>
      <c r="H43" s="62"/>
    </row>
    <row r="44" spans="2:8" hidden="1">
      <c r="B44" s="118"/>
      <c r="C44" s="59"/>
      <c r="D44" s="59"/>
      <c r="E44" s="895"/>
      <c r="F44" s="16"/>
      <c r="G44" s="61"/>
      <c r="H44" s="62"/>
    </row>
    <row r="45" spans="2:8" hidden="1">
      <c r="B45" s="118"/>
      <c r="C45" s="59"/>
      <c r="D45" s="59"/>
      <c r="E45" s="895"/>
      <c r="F45" s="16"/>
      <c r="G45" s="61"/>
      <c r="H45" s="62"/>
    </row>
    <row r="46" spans="2:8" hidden="1">
      <c r="B46" s="118"/>
      <c r="C46" s="59"/>
      <c r="D46" s="59"/>
      <c r="E46" s="895"/>
      <c r="F46" s="16"/>
      <c r="G46" s="61"/>
      <c r="H46" s="62"/>
    </row>
    <row r="47" spans="2:8" hidden="1">
      <c r="B47" s="118"/>
      <c r="C47" s="59"/>
      <c r="D47" s="59"/>
      <c r="E47" s="895"/>
      <c r="F47" s="16"/>
      <c r="G47" s="61"/>
      <c r="H47" s="62"/>
    </row>
    <row r="48" spans="2:8" hidden="1">
      <c r="B48" s="118"/>
      <c r="C48" s="59"/>
      <c r="D48" s="59"/>
      <c r="E48" s="895"/>
      <c r="F48" s="16"/>
      <c r="G48" s="61"/>
      <c r="H48" s="62"/>
    </row>
    <row r="49" spans="2:8" hidden="1">
      <c r="B49" s="118"/>
      <c r="C49" s="59"/>
      <c r="D49" s="59"/>
      <c r="E49" s="895"/>
      <c r="F49" s="16"/>
      <c r="G49" s="61"/>
      <c r="H49" s="62"/>
    </row>
    <row r="50" spans="2:8" ht="1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9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11</v>
      </c>
      <c r="C51" s="20"/>
      <c r="D51" s="21" t="s">
        <v>8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9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9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9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9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9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9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9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9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9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9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9"/>
      <c r="F62" s="16"/>
      <c r="G62" s="6"/>
      <c r="H62" s="7"/>
    </row>
    <row r="63" spans="2:8" hidden="1">
      <c r="B63" s="118"/>
      <c r="C63" s="59"/>
      <c r="D63" s="5"/>
      <c r="E63" s="899"/>
      <c r="F63" s="16"/>
      <c r="G63" s="6"/>
      <c r="H63" s="7"/>
    </row>
    <row r="64" spans="2:8" hidden="1">
      <c r="B64" s="118"/>
      <c r="C64" s="59"/>
      <c r="D64" s="5"/>
      <c r="E64" s="899"/>
      <c r="F64" s="16"/>
      <c r="G64" s="6"/>
      <c r="H64" s="7"/>
    </row>
    <row r="65" spans="2:8" hidden="1">
      <c r="B65" s="118"/>
      <c r="C65" s="59"/>
      <c r="D65" s="5"/>
      <c r="E65" s="899"/>
      <c r="F65" s="16"/>
      <c r="G65" s="6"/>
      <c r="H65" s="7"/>
    </row>
    <row r="66" spans="2:8" hidden="1">
      <c r="B66" s="118"/>
      <c r="C66" s="59"/>
      <c r="D66" s="5"/>
      <c r="E66" s="899"/>
      <c r="F66" s="16"/>
      <c r="G66" s="6"/>
      <c r="H66" s="7"/>
    </row>
    <row r="67" spans="2:8" hidden="1">
      <c r="B67" s="118"/>
      <c r="C67" s="59"/>
      <c r="D67" s="5"/>
      <c r="E67" s="899"/>
      <c r="F67" s="16"/>
      <c r="G67" s="6"/>
      <c r="H67" s="7"/>
    </row>
    <row r="68" spans="2:8" hidden="1">
      <c r="B68" s="118"/>
      <c r="C68" s="59"/>
      <c r="D68" s="5"/>
      <c r="E68" s="899"/>
      <c r="F68" s="16"/>
      <c r="G68" s="6"/>
      <c r="H68" s="7"/>
    </row>
    <row r="69" spans="2:8" hidden="1">
      <c r="B69" s="118"/>
      <c r="C69" s="59"/>
      <c r="D69" s="5"/>
      <c r="E69" s="899"/>
      <c r="F69" s="16"/>
      <c r="G69" s="6"/>
      <c r="H69" s="7"/>
    </row>
    <row r="70" spans="2:8" hidden="1">
      <c r="B70" s="118"/>
      <c r="C70" s="59"/>
      <c r="D70" s="5"/>
      <c r="E70" s="899"/>
      <c r="F70" s="16"/>
      <c r="G70" s="6"/>
      <c r="H70" s="7"/>
    </row>
    <row r="71" spans="2:8" hidden="1">
      <c r="B71" s="118"/>
      <c r="C71" s="59"/>
      <c r="D71" s="5"/>
      <c r="E71" s="899"/>
      <c r="F71" s="16"/>
      <c r="G71" s="6"/>
      <c r="H71" s="7"/>
    </row>
    <row r="72" spans="2:8" ht="15" thickBot="1">
      <c r="B72" s="119" t="str">
        <f>B28</f>
        <v>OTHER</v>
      </c>
      <c r="C72" s="63" t="str">
        <f>C28</f>
        <v>Various non-key personnel</v>
      </c>
      <c r="D72" s="5"/>
      <c r="E72" s="899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12</v>
      </c>
      <c r="C73" s="20"/>
      <c r="D73" s="21" t="s">
        <v>8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9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9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9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9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9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9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9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9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9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9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9"/>
      <c r="F84" s="16"/>
      <c r="G84" s="6"/>
      <c r="H84" s="7"/>
    </row>
    <row r="85" spans="2:8" hidden="1">
      <c r="B85" s="118"/>
      <c r="C85" s="59"/>
      <c r="D85" s="5"/>
      <c r="E85" s="899"/>
      <c r="F85" s="16"/>
      <c r="G85" s="6"/>
      <c r="H85" s="7"/>
    </row>
    <row r="86" spans="2:8" hidden="1">
      <c r="B86" s="118"/>
      <c r="C86" s="59"/>
      <c r="D86" s="5"/>
      <c r="E86" s="899"/>
      <c r="F86" s="16"/>
      <c r="G86" s="6"/>
      <c r="H86" s="7"/>
    </row>
    <row r="87" spans="2:8" hidden="1">
      <c r="B87" s="118"/>
      <c r="C87" s="59"/>
      <c r="D87" s="5"/>
      <c r="E87" s="899"/>
      <c r="F87" s="16"/>
      <c r="G87" s="6"/>
      <c r="H87" s="7"/>
    </row>
    <row r="88" spans="2:8" hidden="1">
      <c r="B88" s="118"/>
      <c r="C88" s="59"/>
      <c r="D88" s="5"/>
      <c r="E88" s="899"/>
      <c r="F88" s="16"/>
      <c r="G88" s="6"/>
      <c r="H88" s="7"/>
    </row>
    <row r="89" spans="2:8" hidden="1">
      <c r="B89" s="118"/>
      <c r="C89" s="59"/>
      <c r="D89" s="5"/>
      <c r="E89" s="899"/>
      <c r="F89" s="16"/>
      <c r="G89" s="6"/>
      <c r="H89" s="7"/>
    </row>
    <row r="90" spans="2:8" hidden="1">
      <c r="B90" s="118"/>
      <c r="C90" s="59"/>
      <c r="D90" s="5"/>
      <c r="E90" s="899"/>
      <c r="F90" s="16"/>
      <c r="G90" s="6"/>
      <c r="H90" s="7"/>
    </row>
    <row r="91" spans="2:8" hidden="1">
      <c r="B91" s="118"/>
      <c r="C91" s="59"/>
      <c r="D91" s="5"/>
      <c r="E91" s="899"/>
      <c r="F91" s="16"/>
      <c r="G91" s="6"/>
      <c r="H91" s="7"/>
    </row>
    <row r="92" spans="2:8" hidden="1">
      <c r="B92" s="118"/>
      <c r="C92" s="59"/>
      <c r="D92" s="5"/>
      <c r="E92" s="899"/>
      <c r="F92" s="16"/>
      <c r="G92" s="6"/>
      <c r="H92" s="7"/>
    </row>
    <row r="93" spans="2:8" hidden="1">
      <c r="B93" s="118"/>
      <c r="C93" s="59"/>
      <c r="D93" s="5"/>
      <c r="E93" s="899"/>
      <c r="F93" s="16"/>
      <c r="G93" s="6"/>
      <c r="H93" s="7"/>
    </row>
    <row r="94" spans="2:8" ht="1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900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6" t="s">
        <v>987</v>
      </c>
      <c r="C96" s="1" t="s">
        <v>988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3860" priority="757">
      <formula>LEN(TRIM(B8))=0</formula>
    </cfRule>
  </conditionalFormatting>
  <conditionalFormatting sqref="C8:C27">
    <cfRule type="expression" dxfId="3859" priority="756">
      <formula>B8=""</formula>
    </cfRule>
  </conditionalFormatting>
  <conditionalFormatting sqref="C9 C11 C13 C15 C17 C19 C21 C23 C25 C27">
    <cfRule type="expression" dxfId="3858" priority="755">
      <formula>B9=""</formula>
    </cfRule>
  </conditionalFormatting>
  <conditionalFormatting sqref="C10:C20">
    <cfRule type="expression" dxfId="3857" priority="754">
      <formula>B10=""</formula>
    </cfRule>
  </conditionalFormatting>
  <conditionalFormatting sqref="C21">
    <cfRule type="expression" dxfId="3856" priority="753">
      <formula>B21=""</formula>
    </cfRule>
  </conditionalFormatting>
  <conditionalFormatting sqref="C22">
    <cfRule type="expression" dxfId="3855" priority="752">
      <formula>B22=""</formula>
    </cfRule>
  </conditionalFormatting>
  <conditionalFormatting sqref="C23">
    <cfRule type="expression" dxfId="3854" priority="751">
      <formula>B23=""</formula>
    </cfRule>
  </conditionalFormatting>
  <conditionalFormatting sqref="C24">
    <cfRule type="expression" dxfId="3853" priority="750">
      <formula>B24=""</formula>
    </cfRule>
  </conditionalFormatting>
  <conditionalFormatting sqref="C25">
    <cfRule type="expression" dxfId="3852" priority="749">
      <formula>B25=""</formula>
    </cfRule>
  </conditionalFormatting>
  <conditionalFormatting sqref="C26">
    <cfRule type="expression" dxfId="3851" priority="748">
      <formula>B26=""</formula>
    </cfRule>
  </conditionalFormatting>
  <conditionalFormatting sqref="C27">
    <cfRule type="expression" dxfId="3850" priority="747">
      <formula>B27=""</formula>
    </cfRule>
  </conditionalFormatting>
  <conditionalFormatting sqref="C28">
    <cfRule type="expression" dxfId="3849" priority="746">
      <formula>B28=""</formula>
    </cfRule>
  </conditionalFormatting>
  <conditionalFormatting sqref="D8 D10 D12 D14 D16 D18 D20 D22 D24 D26">
    <cfRule type="expression" dxfId="3848" priority="745">
      <formula>B8=""</formula>
    </cfRule>
  </conditionalFormatting>
  <conditionalFormatting sqref="D9 D11 D13 D15 D17 D19 D21 D23 D25 D27">
    <cfRule type="expression" dxfId="3847" priority="744">
      <formula>B9=""</formula>
    </cfRule>
  </conditionalFormatting>
  <conditionalFormatting sqref="D10:D20">
    <cfRule type="expression" dxfId="3846" priority="743">
      <formula>B10=""</formula>
    </cfRule>
  </conditionalFormatting>
  <conditionalFormatting sqref="D21">
    <cfRule type="expression" dxfId="3845" priority="742">
      <formula>B21=""</formula>
    </cfRule>
  </conditionalFormatting>
  <conditionalFormatting sqref="D22">
    <cfRule type="expression" dxfId="3844" priority="741">
      <formula>B22=""</formula>
    </cfRule>
  </conditionalFormatting>
  <conditionalFormatting sqref="D23">
    <cfRule type="expression" dxfId="3843" priority="740">
      <formula>B23=""</formula>
    </cfRule>
  </conditionalFormatting>
  <conditionalFormatting sqref="D24">
    <cfRule type="expression" dxfId="3842" priority="739">
      <formula>B24=""</formula>
    </cfRule>
  </conditionalFormatting>
  <conditionalFormatting sqref="D25">
    <cfRule type="expression" dxfId="3841" priority="738">
      <formula>B25=""</formula>
    </cfRule>
  </conditionalFormatting>
  <conditionalFormatting sqref="D26">
    <cfRule type="expression" dxfId="3840" priority="737">
      <formula>B26=""</formula>
    </cfRule>
  </conditionalFormatting>
  <conditionalFormatting sqref="D27">
    <cfRule type="expression" dxfId="3839" priority="736">
      <formula>B27=""</formula>
    </cfRule>
  </conditionalFormatting>
  <conditionalFormatting sqref="D28">
    <cfRule type="expression" dxfId="3838" priority="735">
      <formula>B28=""</formula>
    </cfRule>
  </conditionalFormatting>
  <conditionalFormatting sqref="E8 E10 E12 E14 E16 E18 E20 E22 E24 E26">
    <cfRule type="expression" dxfId="3837" priority="734">
      <formula>B8=""</formula>
    </cfRule>
  </conditionalFormatting>
  <conditionalFormatting sqref="E9 E11 E13 E15 E17 E19 E21 E23 E25 E27">
    <cfRule type="expression" dxfId="3836" priority="733">
      <formula>B9=""</formula>
    </cfRule>
  </conditionalFormatting>
  <conditionalFormatting sqref="E10:E20">
    <cfRule type="expression" dxfId="3835" priority="732">
      <formula>B10=""</formula>
    </cfRule>
  </conditionalFormatting>
  <conditionalFormatting sqref="E21">
    <cfRule type="expression" dxfId="3834" priority="731">
      <formula>B21=""</formula>
    </cfRule>
  </conditionalFormatting>
  <conditionalFormatting sqref="E22:E23">
    <cfRule type="expression" dxfId="3833" priority="730">
      <formula>B22=""</formula>
    </cfRule>
  </conditionalFormatting>
  <conditionalFormatting sqref="E23">
    <cfRule type="expression" dxfId="3832" priority="729">
      <formula>B23=""</formula>
    </cfRule>
  </conditionalFormatting>
  <conditionalFormatting sqref="E24">
    <cfRule type="expression" dxfId="3831" priority="728">
      <formula>B24=""</formula>
    </cfRule>
  </conditionalFormatting>
  <conditionalFormatting sqref="E25">
    <cfRule type="expression" dxfId="3830" priority="727">
      <formula>B25=""</formula>
    </cfRule>
  </conditionalFormatting>
  <conditionalFormatting sqref="E26">
    <cfRule type="expression" dxfId="3829" priority="726">
      <formula>B26=""</formula>
    </cfRule>
  </conditionalFormatting>
  <conditionalFormatting sqref="E27">
    <cfRule type="expression" dxfId="3828" priority="725">
      <formula>B27=""</formula>
    </cfRule>
  </conditionalFormatting>
  <conditionalFormatting sqref="E28">
    <cfRule type="expression" dxfId="3827" priority="724">
      <formula>B28=""</formula>
    </cfRule>
  </conditionalFormatting>
  <conditionalFormatting sqref="F8 F10 F12 F14 F16 F18 F20 F22 F24 F26">
    <cfRule type="expression" dxfId="3826" priority="723">
      <formula>B8=""</formula>
    </cfRule>
  </conditionalFormatting>
  <conditionalFormatting sqref="F9 F11 F13 F15 F17 F19 F21 F23 F25 F27">
    <cfRule type="expression" dxfId="3825" priority="722">
      <formula>B9=""</formula>
    </cfRule>
  </conditionalFormatting>
  <conditionalFormatting sqref="F10:F20">
    <cfRule type="expression" dxfId="3824" priority="721">
      <formula>B10=""</formula>
    </cfRule>
  </conditionalFormatting>
  <conditionalFormatting sqref="F21">
    <cfRule type="expression" dxfId="3823" priority="720">
      <formula>B21=""</formula>
    </cfRule>
  </conditionalFormatting>
  <conditionalFormatting sqref="F22">
    <cfRule type="expression" dxfId="3822" priority="719">
      <formula>B22=""</formula>
    </cfRule>
  </conditionalFormatting>
  <conditionalFormatting sqref="F23">
    <cfRule type="expression" dxfId="3821" priority="718">
      <formula>B23=""</formula>
    </cfRule>
  </conditionalFormatting>
  <conditionalFormatting sqref="F24">
    <cfRule type="expression" dxfId="3820" priority="717">
      <formula>B24=""</formula>
    </cfRule>
  </conditionalFormatting>
  <conditionalFormatting sqref="F25">
    <cfRule type="expression" dxfId="3819" priority="716">
      <formula>B25=""</formula>
    </cfRule>
  </conditionalFormatting>
  <conditionalFormatting sqref="F26">
    <cfRule type="expression" dxfId="3818" priority="715">
      <formula>B26=""</formula>
    </cfRule>
  </conditionalFormatting>
  <conditionalFormatting sqref="F27">
    <cfRule type="expression" dxfId="3817" priority="714">
      <formula>B27=""</formula>
    </cfRule>
  </conditionalFormatting>
  <conditionalFormatting sqref="F28">
    <cfRule type="expression" dxfId="3816" priority="713">
      <formula>B28=""</formula>
    </cfRule>
  </conditionalFormatting>
  <conditionalFormatting sqref="E9 E11 E13 E15 E17 E19 E21 E23 E25 E27">
    <cfRule type="expression" dxfId="3815" priority="712">
      <formula>B9=""</formula>
    </cfRule>
  </conditionalFormatting>
  <conditionalFormatting sqref="E10:E20">
    <cfRule type="expression" dxfId="3814" priority="711">
      <formula>B10=""</formula>
    </cfRule>
  </conditionalFormatting>
  <conditionalFormatting sqref="E21">
    <cfRule type="expression" dxfId="3813" priority="710">
      <formula>B21=""</formula>
    </cfRule>
  </conditionalFormatting>
  <conditionalFormatting sqref="E22:E23">
    <cfRule type="expression" dxfId="3812" priority="709">
      <formula>B22=""</formula>
    </cfRule>
  </conditionalFormatting>
  <conditionalFormatting sqref="E23">
    <cfRule type="expression" dxfId="3811" priority="708">
      <formula>B23=""</formula>
    </cfRule>
  </conditionalFormatting>
  <conditionalFormatting sqref="E24">
    <cfRule type="expression" dxfId="3810" priority="707">
      <formula>B24=""</formula>
    </cfRule>
  </conditionalFormatting>
  <conditionalFormatting sqref="E25">
    <cfRule type="expression" dxfId="3809" priority="706">
      <formula>B25=""</formula>
    </cfRule>
  </conditionalFormatting>
  <conditionalFormatting sqref="E26">
    <cfRule type="expression" dxfId="3808" priority="705">
      <formula>B26=""</formula>
    </cfRule>
  </conditionalFormatting>
  <conditionalFormatting sqref="E27">
    <cfRule type="expression" dxfId="3807" priority="704">
      <formula>B27=""</formula>
    </cfRule>
  </conditionalFormatting>
  <conditionalFormatting sqref="E28">
    <cfRule type="expression" dxfId="3806" priority="703">
      <formula>B28=""</formula>
    </cfRule>
  </conditionalFormatting>
  <conditionalFormatting sqref="G8 G10 G12 G14 G16 G18 G20 G22 G24 G26">
    <cfRule type="expression" dxfId="3805" priority="702">
      <formula>B8=""</formula>
    </cfRule>
  </conditionalFormatting>
  <conditionalFormatting sqref="G9 G11 G13 G15 G17 G19 G21 G23 G25 G27">
    <cfRule type="expression" dxfId="3804" priority="701">
      <formula>B9=""</formula>
    </cfRule>
  </conditionalFormatting>
  <conditionalFormatting sqref="G10:G20">
    <cfRule type="expression" dxfId="3803" priority="700">
      <formula>B10=""</formula>
    </cfRule>
  </conditionalFormatting>
  <conditionalFormatting sqref="G21">
    <cfRule type="expression" dxfId="3802" priority="699">
      <formula>B21=""</formula>
    </cfRule>
  </conditionalFormatting>
  <conditionalFormatting sqref="G22">
    <cfRule type="expression" dxfId="3801" priority="698">
      <formula>B22=""</formula>
    </cfRule>
  </conditionalFormatting>
  <conditionalFormatting sqref="G23">
    <cfRule type="expression" dxfId="3800" priority="697">
      <formula>B23=""</formula>
    </cfRule>
  </conditionalFormatting>
  <conditionalFormatting sqref="G24">
    <cfRule type="expression" dxfId="3799" priority="696">
      <formula>B24=""</formula>
    </cfRule>
  </conditionalFormatting>
  <conditionalFormatting sqref="G25">
    <cfRule type="expression" dxfId="3798" priority="695">
      <formula>B25=""</formula>
    </cfRule>
  </conditionalFormatting>
  <conditionalFormatting sqref="G26">
    <cfRule type="expression" dxfId="3797" priority="694">
      <formula>B26=""</formula>
    </cfRule>
  </conditionalFormatting>
  <conditionalFormatting sqref="G27">
    <cfRule type="expression" dxfId="3796" priority="693">
      <formula>B27=""</formula>
    </cfRule>
  </conditionalFormatting>
  <conditionalFormatting sqref="G28">
    <cfRule type="expression" dxfId="3795" priority="692">
      <formula>B28=""</formula>
    </cfRule>
  </conditionalFormatting>
  <conditionalFormatting sqref="H8 H10 H12 H14 H16 H18 H20 H22 H24 H26">
    <cfRule type="expression" dxfId="3794" priority="691">
      <formula>B8=""</formula>
    </cfRule>
  </conditionalFormatting>
  <conditionalFormatting sqref="H9 H11 H13 H15 H17 H19 H21 H23 H25 H27">
    <cfRule type="expression" dxfId="3793" priority="690">
      <formula>B9=""</formula>
    </cfRule>
  </conditionalFormatting>
  <conditionalFormatting sqref="H10:H20">
    <cfRule type="expression" dxfId="3792" priority="689">
      <formula>B10=""</formula>
    </cfRule>
  </conditionalFormatting>
  <conditionalFormatting sqref="H21">
    <cfRule type="expression" dxfId="3791" priority="688">
      <formula>B21=""</formula>
    </cfRule>
  </conditionalFormatting>
  <conditionalFormatting sqref="H22">
    <cfRule type="expression" dxfId="3790" priority="687">
      <formula>B22=""</formula>
    </cfRule>
  </conditionalFormatting>
  <conditionalFormatting sqref="H23">
    <cfRule type="expression" dxfId="3789" priority="686">
      <formula>B23=""</formula>
    </cfRule>
  </conditionalFormatting>
  <conditionalFormatting sqref="H24">
    <cfRule type="expression" dxfId="3788" priority="685">
      <formula>B24=""</formula>
    </cfRule>
  </conditionalFormatting>
  <conditionalFormatting sqref="H25">
    <cfRule type="expression" dxfId="3787" priority="684">
      <formula>B25=""</formula>
    </cfRule>
  </conditionalFormatting>
  <conditionalFormatting sqref="H26">
    <cfRule type="expression" dxfId="3786" priority="683">
      <formula>B26=""</formula>
    </cfRule>
  </conditionalFormatting>
  <conditionalFormatting sqref="H27">
    <cfRule type="expression" dxfId="3785" priority="682">
      <formula>B27=""</formula>
    </cfRule>
  </conditionalFormatting>
  <conditionalFormatting sqref="H28">
    <cfRule type="expression" dxfId="3784" priority="681">
      <formula>B28=""</formula>
    </cfRule>
  </conditionalFormatting>
  <conditionalFormatting sqref="C30:C50">
    <cfRule type="expression" dxfId="3783" priority="680">
      <formula>B30=""</formula>
    </cfRule>
  </conditionalFormatting>
  <conditionalFormatting sqref="C31 C33 C35 C37 C39 C41 C43 C45 C47 C49">
    <cfRule type="expression" dxfId="3782" priority="679">
      <formula>B31=""</formula>
    </cfRule>
  </conditionalFormatting>
  <conditionalFormatting sqref="C32:C42">
    <cfRule type="expression" dxfId="3781" priority="678">
      <formula>B32=""</formula>
    </cfRule>
  </conditionalFormatting>
  <conditionalFormatting sqref="C43">
    <cfRule type="expression" dxfId="3780" priority="677">
      <formula>B43=""</formula>
    </cfRule>
  </conditionalFormatting>
  <conditionalFormatting sqref="C44">
    <cfRule type="expression" dxfId="3779" priority="676">
      <formula>B44=""</formula>
    </cfRule>
  </conditionalFormatting>
  <conditionalFormatting sqref="C45">
    <cfRule type="expression" dxfId="3778" priority="675">
      <formula>B45=""</formula>
    </cfRule>
  </conditionalFormatting>
  <conditionalFormatting sqref="C46">
    <cfRule type="expression" dxfId="3777" priority="674">
      <formula>B46=""</formula>
    </cfRule>
  </conditionalFormatting>
  <conditionalFormatting sqref="C47">
    <cfRule type="expression" dxfId="3776" priority="673">
      <formula>B47=""</formula>
    </cfRule>
  </conditionalFormatting>
  <conditionalFormatting sqref="C48">
    <cfRule type="expression" dxfId="3775" priority="672">
      <formula>B48=""</formula>
    </cfRule>
  </conditionalFormatting>
  <conditionalFormatting sqref="C49">
    <cfRule type="expression" dxfId="3774" priority="671">
      <formula>B49=""</formula>
    </cfRule>
  </conditionalFormatting>
  <conditionalFormatting sqref="C50">
    <cfRule type="expression" dxfId="3773" priority="670">
      <formula>B50=""</formula>
    </cfRule>
  </conditionalFormatting>
  <conditionalFormatting sqref="D30 D32 D34 D36 D38 D40 D42 D44 D46 D48">
    <cfRule type="expression" dxfId="3772" priority="669">
      <formula>B30=""</formula>
    </cfRule>
  </conditionalFormatting>
  <conditionalFormatting sqref="D31 D33 D35 D37 D39 D41 D43 D45 D47 D49">
    <cfRule type="expression" dxfId="3771" priority="668">
      <formula>B31=""</formula>
    </cfRule>
  </conditionalFormatting>
  <conditionalFormatting sqref="D32:D42">
    <cfRule type="expression" dxfId="3770" priority="667">
      <formula>B32=""</formula>
    </cfRule>
  </conditionalFormatting>
  <conditionalFormatting sqref="D43">
    <cfRule type="expression" dxfId="3769" priority="666">
      <formula>B43=""</formula>
    </cfRule>
  </conditionalFormatting>
  <conditionalFormatting sqref="D44">
    <cfRule type="expression" dxfId="3768" priority="665">
      <formula>B44=""</formula>
    </cfRule>
  </conditionalFormatting>
  <conditionalFormatting sqref="D45">
    <cfRule type="expression" dxfId="3767" priority="664">
      <formula>B45=""</formula>
    </cfRule>
  </conditionalFormatting>
  <conditionalFormatting sqref="D46">
    <cfRule type="expression" dxfId="3766" priority="663">
      <formula>B46=""</formula>
    </cfRule>
  </conditionalFormatting>
  <conditionalFormatting sqref="D47">
    <cfRule type="expression" dxfId="3765" priority="662">
      <formula>B47=""</formula>
    </cfRule>
  </conditionalFormatting>
  <conditionalFormatting sqref="D48">
    <cfRule type="expression" dxfId="3764" priority="661">
      <formula>B48=""</formula>
    </cfRule>
  </conditionalFormatting>
  <conditionalFormatting sqref="D49">
    <cfRule type="expression" dxfId="3763" priority="660">
      <formula>B49=""</formula>
    </cfRule>
  </conditionalFormatting>
  <conditionalFormatting sqref="D50">
    <cfRule type="expression" dxfId="3762" priority="659">
      <formula>B50=""</formula>
    </cfRule>
  </conditionalFormatting>
  <conditionalFormatting sqref="E30 E32 E34 E36 E38 E40 E42 E44 E46 E48">
    <cfRule type="expression" dxfId="3761" priority="658">
      <formula>B30=""</formula>
    </cfRule>
  </conditionalFormatting>
  <conditionalFormatting sqref="E31 E33 E35 E37 E39 E41 E43 E45 E47 E49">
    <cfRule type="expression" dxfId="3760" priority="657">
      <formula>B31=""</formula>
    </cfRule>
  </conditionalFormatting>
  <conditionalFormatting sqref="E32:E42">
    <cfRule type="expression" dxfId="3759" priority="656">
      <formula>B32=""</formula>
    </cfRule>
  </conditionalFormatting>
  <conditionalFormatting sqref="E43">
    <cfRule type="expression" dxfId="3758" priority="655">
      <formula>B43=""</formula>
    </cfRule>
  </conditionalFormatting>
  <conditionalFormatting sqref="E44">
    <cfRule type="expression" dxfId="3757" priority="654">
      <formula>B44=""</formula>
    </cfRule>
  </conditionalFormatting>
  <conditionalFormatting sqref="E45">
    <cfRule type="expression" dxfId="3756" priority="653">
      <formula>B45=""</formula>
    </cfRule>
  </conditionalFormatting>
  <conditionalFormatting sqref="E46">
    <cfRule type="expression" dxfId="3755" priority="652">
      <formula>B46=""</formula>
    </cfRule>
  </conditionalFormatting>
  <conditionalFormatting sqref="E47">
    <cfRule type="expression" dxfId="3754" priority="651">
      <formula>B47=""</formula>
    </cfRule>
  </conditionalFormatting>
  <conditionalFormatting sqref="E48">
    <cfRule type="expression" dxfId="3753" priority="650">
      <formula>B48=""</formula>
    </cfRule>
  </conditionalFormatting>
  <conditionalFormatting sqref="E49">
    <cfRule type="expression" dxfId="3752" priority="649">
      <formula>B49=""</formula>
    </cfRule>
  </conditionalFormatting>
  <conditionalFormatting sqref="E50">
    <cfRule type="expression" dxfId="3751" priority="648">
      <formula>B50=""</formula>
    </cfRule>
  </conditionalFormatting>
  <conditionalFormatting sqref="F30 F32 F34 F36 F38 F40 F42 F44 F46 F48">
    <cfRule type="expression" dxfId="3750" priority="647">
      <formula>B30=""</formula>
    </cfRule>
  </conditionalFormatting>
  <conditionalFormatting sqref="F31 F33 F35 F37 F39 F41 F43 F45 F47 F49">
    <cfRule type="expression" dxfId="3749" priority="646">
      <formula>B31=""</formula>
    </cfRule>
  </conditionalFormatting>
  <conditionalFormatting sqref="F32:F42">
    <cfRule type="expression" dxfId="3748" priority="645">
      <formula>B32=""</formula>
    </cfRule>
  </conditionalFormatting>
  <conditionalFormatting sqref="F43">
    <cfRule type="expression" dxfId="3747" priority="644">
      <formula>B43=""</formula>
    </cfRule>
  </conditionalFormatting>
  <conditionalFormatting sqref="F44">
    <cfRule type="expression" dxfId="3746" priority="643">
      <formula>B44=""</formula>
    </cfRule>
  </conditionalFormatting>
  <conditionalFormatting sqref="F45">
    <cfRule type="expression" dxfId="3745" priority="642">
      <formula>B45=""</formula>
    </cfRule>
  </conditionalFormatting>
  <conditionalFormatting sqref="F46">
    <cfRule type="expression" dxfId="3744" priority="641">
      <formula>B46=""</formula>
    </cfRule>
  </conditionalFormatting>
  <conditionalFormatting sqref="F47">
    <cfRule type="expression" dxfId="3743" priority="640">
      <formula>B47=""</formula>
    </cfRule>
  </conditionalFormatting>
  <conditionalFormatting sqref="F48">
    <cfRule type="expression" dxfId="3742" priority="639">
      <formula>B48=""</formula>
    </cfRule>
  </conditionalFormatting>
  <conditionalFormatting sqref="F49">
    <cfRule type="expression" dxfId="3741" priority="638">
      <formula>B49=""</formula>
    </cfRule>
  </conditionalFormatting>
  <conditionalFormatting sqref="F50">
    <cfRule type="expression" dxfId="3740" priority="637">
      <formula>B50=""</formula>
    </cfRule>
  </conditionalFormatting>
  <conditionalFormatting sqref="E31 E33 E35 E37 E39 E41 E43 E45 E47 E49">
    <cfRule type="expression" dxfId="3739" priority="636">
      <formula>B31=""</formula>
    </cfRule>
  </conditionalFormatting>
  <conditionalFormatting sqref="E32:E42">
    <cfRule type="expression" dxfId="3738" priority="635">
      <formula>B32=""</formula>
    </cfRule>
  </conditionalFormatting>
  <conditionalFormatting sqref="E43">
    <cfRule type="expression" dxfId="3737" priority="634">
      <formula>B43=""</formula>
    </cfRule>
  </conditionalFormatting>
  <conditionalFormatting sqref="E44">
    <cfRule type="expression" dxfId="3736" priority="633">
      <formula>B44=""</formula>
    </cfRule>
  </conditionalFormatting>
  <conditionalFormatting sqref="E45">
    <cfRule type="expression" dxfId="3735" priority="632">
      <formula>B45=""</formula>
    </cfRule>
  </conditionalFormatting>
  <conditionalFormatting sqref="E46">
    <cfRule type="expression" dxfId="3734" priority="631">
      <formula>B46=""</formula>
    </cfRule>
  </conditionalFormatting>
  <conditionalFormatting sqref="E47">
    <cfRule type="expression" dxfId="3733" priority="630">
      <formula>B47=""</formula>
    </cfRule>
  </conditionalFormatting>
  <conditionalFormatting sqref="E48">
    <cfRule type="expression" dxfId="3732" priority="629">
      <formula>B48=""</formula>
    </cfRule>
  </conditionalFormatting>
  <conditionalFormatting sqref="E49">
    <cfRule type="expression" dxfId="3731" priority="628">
      <formula>B49=""</formula>
    </cfRule>
  </conditionalFormatting>
  <conditionalFormatting sqref="E50">
    <cfRule type="expression" dxfId="3730" priority="627">
      <formula>B50=""</formula>
    </cfRule>
  </conditionalFormatting>
  <conditionalFormatting sqref="G30 G32 G34 G36 G38 G40 G42 G44 G46 G48">
    <cfRule type="expression" dxfId="3729" priority="626">
      <formula>B30=""</formula>
    </cfRule>
  </conditionalFormatting>
  <conditionalFormatting sqref="G31 G33 G35 G37 G39 G41 G43 G45 G47 G49">
    <cfRule type="expression" dxfId="3728" priority="625">
      <formula>B31=""</formula>
    </cfRule>
  </conditionalFormatting>
  <conditionalFormatting sqref="G32:G42">
    <cfRule type="expression" dxfId="3727" priority="624">
      <formula>B32=""</formula>
    </cfRule>
  </conditionalFormatting>
  <conditionalFormatting sqref="G43">
    <cfRule type="expression" dxfId="3726" priority="623">
      <formula>B43=""</formula>
    </cfRule>
  </conditionalFormatting>
  <conditionalFormatting sqref="G44">
    <cfRule type="expression" dxfId="3725" priority="622">
      <formula>B44=""</formula>
    </cfRule>
  </conditionalFormatting>
  <conditionalFormatting sqref="G45">
    <cfRule type="expression" dxfId="3724" priority="621">
      <formula>B45=""</formula>
    </cfRule>
  </conditionalFormatting>
  <conditionalFormatting sqref="G46">
    <cfRule type="expression" dxfId="3723" priority="620">
      <formula>B46=""</formula>
    </cfRule>
  </conditionalFormatting>
  <conditionalFormatting sqref="G47">
    <cfRule type="expression" dxfId="3722" priority="619">
      <formula>B47=""</formula>
    </cfRule>
  </conditionalFormatting>
  <conditionalFormatting sqref="G48">
    <cfRule type="expression" dxfId="3721" priority="618">
      <formula>B48=""</formula>
    </cfRule>
  </conditionalFormatting>
  <conditionalFormatting sqref="G49">
    <cfRule type="expression" dxfId="3720" priority="617">
      <formula>B49=""</formula>
    </cfRule>
  </conditionalFormatting>
  <conditionalFormatting sqref="G50">
    <cfRule type="expression" dxfId="3719" priority="616">
      <formula>B50=""</formula>
    </cfRule>
  </conditionalFormatting>
  <conditionalFormatting sqref="H30 H32 H34 H36 H38 H40 H42 H44 H46 H48">
    <cfRule type="expression" dxfId="3718" priority="615">
      <formula>B30=""</formula>
    </cfRule>
  </conditionalFormatting>
  <conditionalFormatting sqref="H31 H33 H35 H37 H39 H41 H43 H45 H47 H49">
    <cfRule type="expression" dxfId="3717" priority="614">
      <formula>B31=""</formula>
    </cfRule>
  </conditionalFormatting>
  <conditionalFormatting sqref="H32:H42">
    <cfRule type="expression" dxfId="3716" priority="613">
      <formula>B32=""</formula>
    </cfRule>
  </conditionalFormatting>
  <conditionalFormatting sqref="H43">
    <cfRule type="expression" dxfId="3715" priority="612">
      <formula>B43=""</formula>
    </cfRule>
  </conditionalFormatting>
  <conditionalFormatting sqref="H44">
    <cfRule type="expression" dxfId="3714" priority="611">
      <formula>B44=""</formula>
    </cfRule>
  </conditionalFormatting>
  <conditionalFormatting sqref="H45">
    <cfRule type="expression" dxfId="3713" priority="610">
      <formula>B45=""</formula>
    </cfRule>
  </conditionalFormatting>
  <conditionalFormatting sqref="H46">
    <cfRule type="expression" dxfId="3712" priority="609">
      <formula>B46=""</formula>
    </cfRule>
  </conditionalFormatting>
  <conditionalFormatting sqref="H47">
    <cfRule type="expression" dxfId="3711" priority="608">
      <formula>B47=""</formula>
    </cfRule>
  </conditionalFormatting>
  <conditionalFormatting sqref="H48">
    <cfRule type="expression" dxfId="3710" priority="607">
      <formula>B48=""</formula>
    </cfRule>
  </conditionalFormatting>
  <conditionalFormatting sqref="H49">
    <cfRule type="expression" dxfId="3709" priority="606">
      <formula>B49=""</formula>
    </cfRule>
  </conditionalFormatting>
  <conditionalFormatting sqref="H50">
    <cfRule type="expression" dxfId="3708" priority="605">
      <formula>B50=""</formula>
    </cfRule>
  </conditionalFormatting>
  <conditionalFormatting sqref="C52:C71">
    <cfRule type="expression" dxfId="3707" priority="604">
      <formula>B52=""</formula>
    </cfRule>
  </conditionalFormatting>
  <conditionalFormatting sqref="C53 C55 C57 C59 C61 C63 C65 C67 C69 C71">
    <cfRule type="expression" dxfId="3706" priority="603">
      <formula>B53=""</formula>
    </cfRule>
  </conditionalFormatting>
  <conditionalFormatting sqref="C54:C64">
    <cfRule type="expression" dxfId="3705" priority="602">
      <formula>B54=""</formula>
    </cfRule>
  </conditionalFormatting>
  <conditionalFormatting sqref="C65">
    <cfRule type="expression" dxfId="3704" priority="601">
      <formula>B65=""</formula>
    </cfRule>
  </conditionalFormatting>
  <conditionalFormatting sqref="C66">
    <cfRule type="expression" dxfId="3703" priority="600">
      <formula>B66=""</formula>
    </cfRule>
  </conditionalFormatting>
  <conditionalFormatting sqref="C67">
    <cfRule type="expression" dxfId="3702" priority="599">
      <formula>B67=""</formula>
    </cfRule>
  </conditionalFormatting>
  <conditionalFormatting sqref="C68">
    <cfRule type="expression" dxfId="3701" priority="598">
      <formula>B68=""</formula>
    </cfRule>
  </conditionalFormatting>
  <conditionalFormatting sqref="C69">
    <cfRule type="expression" dxfId="3700" priority="597">
      <formula>B69=""</formula>
    </cfRule>
  </conditionalFormatting>
  <conditionalFormatting sqref="C70">
    <cfRule type="expression" dxfId="3699" priority="596">
      <formula>B70=""</formula>
    </cfRule>
  </conditionalFormatting>
  <conditionalFormatting sqref="C71">
    <cfRule type="expression" dxfId="3698" priority="595">
      <formula>B71=""</formula>
    </cfRule>
  </conditionalFormatting>
  <conditionalFormatting sqref="C72">
    <cfRule type="expression" dxfId="3697" priority="594">
      <formula>B72=""</formula>
    </cfRule>
  </conditionalFormatting>
  <conditionalFormatting sqref="D52 D54 D56 D58 D60 D62 D64 D66 D68 D70">
    <cfRule type="expression" dxfId="3696" priority="593">
      <formula>B52=""</formula>
    </cfRule>
  </conditionalFormatting>
  <conditionalFormatting sqref="D53 D55 D57 D59 D61 D63 D65 D67 D69 D71">
    <cfRule type="expression" dxfId="3695" priority="592">
      <formula>B53=""</formula>
    </cfRule>
  </conditionalFormatting>
  <conditionalFormatting sqref="D54:D64">
    <cfRule type="expression" dxfId="3694" priority="591">
      <formula>B54=""</formula>
    </cfRule>
  </conditionalFormatting>
  <conditionalFormatting sqref="D65">
    <cfRule type="expression" dxfId="3693" priority="590">
      <formula>B65=""</formula>
    </cfRule>
  </conditionalFormatting>
  <conditionalFormatting sqref="D66">
    <cfRule type="expression" dxfId="3692" priority="589">
      <formula>B66=""</formula>
    </cfRule>
  </conditionalFormatting>
  <conditionalFormatting sqref="D67">
    <cfRule type="expression" dxfId="3691" priority="588">
      <formula>B67=""</formula>
    </cfRule>
  </conditionalFormatting>
  <conditionalFormatting sqref="D68">
    <cfRule type="expression" dxfId="3690" priority="587">
      <formula>B68=""</formula>
    </cfRule>
  </conditionalFormatting>
  <conditionalFormatting sqref="D69">
    <cfRule type="expression" dxfId="3689" priority="586">
      <formula>B69=""</formula>
    </cfRule>
  </conditionalFormatting>
  <conditionalFormatting sqref="D70">
    <cfRule type="expression" dxfId="3688" priority="585">
      <formula>B70=""</formula>
    </cfRule>
  </conditionalFormatting>
  <conditionalFormatting sqref="D71">
    <cfRule type="expression" dxfId="3687" priority="584">
      <formula>B71=""</formula>
    </cfRule>
  </conditionalFormatting>
  <conditionalFormatting sqref="D72">
    <cfRule type="expression" dxfId="3686" priority="583">
      <formula>B72=""</formula>
    </cfRule>
  </conditionalFormatting>
  <conditionalFormatting sqref="E52 E54 E56 E58 E60 E62 E64 E66 E68 E70">
    <cfRule type="expression" dxfId="3685" priority="582">
      <formula>B52=""</formula>
    </cfRule>
  </conditionalFormatting>
  <conditionalFormatting sqref="E53 E55 E57 E59 E61 E63 E65 E67 E69 E71">
    <cfRule type="expression" dxfId="3684" priority="581">
      <formula>B53=""</formula>
    </cfRule>
  </conditionalFormatting>
  <conditionalFormatting sqref="E54:E64">
    <cfRule type="expression" dxfId="3683" priority="580">
      <formula>B54=""</formula>
    </cfRule>
  </conditionalFormatting>
  <conditionalFormatting sqref="E65">
    <cfRule type="expression" dxfId="3682" priority="579">
      <formula>B65=""</formula>
    </cfRule>
  </conditionalFormatting>
  <conditionalFormatting sqref="E66">
    <cfRule type="expression" dxfId="3681" priority="578">
      <formula>B66=""</formula>
    </cfRule>
  </conditionalFormatting>
  <conditionalFormatting sqref="E67">
    <cfRule type="expression" dxfId="3680" priority="577">
      <formula>B67=""</formula>
    </cfRule>
  </conditionalFormatting>
  <conditionalFormatting sqref="E68">
    <cfRule type="expression" dxfId="3679" priority="576">
      <formula>B68=""</formula>
    </cfRule>
  </conditionalFormatting>
  <conditionalFormatting sqref="E69">
    <cfRule type="expression" dxfId="3678" priority="575">
      <formula>B69=""</formula>
    </cfRule>
  </conditionalFormatting>
  <conditionalFormatting sqref="E70">
    <cfRule type="expression" dxfId="3677" priority="574">
      <formula>B70=""</formula>
    </cfRule>
  </conditionalFormatting>
  <conditionalFormatting sqref="E71">
    <cfRule type="expression" dxfId="3676" priority="573">
      <formula>B71=""</formula>
    </cfRule>
  </conditionalFormatting>
  <conditionalFormatting sqref="E72">
    <cfRule type="expression" dxfId="3675" priority="572">
      <formula>B72=""</formula>
    </cfRule>
  </conditionalFormatting>
  <conditionalFormatting sqref="F52 F54 F56 F58 F60 F62 F64 F66 F68 F70">
    <cfRule type="expression" dxfId="3674" priority="571">
      <formula>B52=""</formula>
    </cfRule>
  </conditionalFormatting>
  <conditionalFormatting sqref="F53 F55 F57 F59 F61 F63 F65 F67 F69 F71">
    <cfRule type="expression" dxfId="3673" priority="570">
      <formula>B53=""</formula>
    </cfRule>
  </conditionalFormatting>
  <conditionalFormatting sqref="F54:F64">
    <cfRule type="expression" dxfId="3672" priority="569">
      <formula>B54=""</formula>
    </cfRule>
  </conditionalFormatting>
  <conditionalFormatting sqref="F65">
    <cfRule type="expression" dxfId="3671" priority="568">
      <formula>B65=""</formula>
    </cfRule>
  </conditionalFormatting>
  <conditionalFormatting sqref="F66">
    <cfRule type="expression" dxfId="3670" priority="567">
      <formula>B66=""</formula>
    </cfRule>
  </conditionalFormatting>
  <conditionalFormatting sqref="F67">
    <cfRule type="expression" dxfId="3669" priority="566">
      <formula>B67=""</formula>
    </cfRule>
  </conditionalFormatting>
  <conditionalFormatting sqref="F68">
    <cfRule type="expression" dxfId="3668" priority="565">
      <formula>B68=""</formula>
    </cfRule>
  </conditionalFormatting>
  <conditionalFormatting sqref="F69">
    <cfRule type="expression" dxfId="3667" priority="564">
      <formula>B69=""</formula>
    </cfRule>
  </conditionalFormatting>
  <conditionalFormatting sqref="F70">
    <cfRule type="expression" dxfId="3666" priority="563">
      <formula>B70=""</formula>
    </cfRule>
  </conditionalFormatting>
  <conditionalFormatting sqref="F71">
    <cfRule type="expression" dxfId="3665" priority="562">
      <formula>B71=""</formula>
    </cfRule>
  </conditionalFormatting>
  <conditionalFormatting sqref="F72">
    <cfRule type="expression" dxfId="3664" priority="561">
      <formula>B72=""</formula>
    </cfRule>
  </conditionalFormatting>
  <conditionalFormatting sqref="E53 E55 E57 E59 E61 E63 E65 E67 E69 E71">
    <cfRule type="expression" dxfId="3663" priority="560">
      <formula>B53=""</formula>
    </cfRule>
  </conditionalFormatting>
  <conditionalFormatting sqref="E54:E64">
    <cfRule type="expression" dxfId="3662" priority="559">
      <formula>B54=""</formula>
    </cfRule>
  </conditionalFormatting>
  <conditionalFormatting sqref="E65">
    <cfRule type="expression" dxfId="3661" priority="558">
      <formula>B65=""</formula>
    </cfRule>
  </conditionalFormatting>
  <conditionalFormatting sqref="E66">
    <cfRule type="expression" dxfId="3660" priority="557">
      <formula>B66=""</formula>
    </cfRule>
  </conditionalFormatting>
  <conditionalFormatting sqref="E67">
    <cfRule type="expression" dxfId="3659" priority="556">
      <formula>B67=""</formula>
    </cfRule>
  </conditionalFormatting>
  <conditionalFormatting sqref="E68">
    <cfRule type="expression" dxfId="3658" priority="555">
      <formula>B68=""</formula>
    </cfRule>
  </conditionalFormatting>
  <conditionalFormatting sqref="E69">
    <cfRule type="expression" dxfId="3657" priority="554">
      <formula>B69=""</formula>
    </cfRule>
  </conditionalFormatting>
  <conditionalFormatting sqref="E70">
    <cfRule type="expression" dxfId="3656" priority="553">
      <formula>B70=""</formula>
    </cfRule>
  </conditionalFormatting>
  <conditionalFormatting sqref="E71">
    <cfRule type="expression" dxfId="3655" priority="552">
      <formula>B71=""</formula>
    </cfRule>
  </conditionalFormatting>
  <conditionalFormatting sqref="E72">
    <cfRule type="expression" dxfId="3654" priority="551">
      <formula>B72=""</formula>
    </cfRule>
  </conditionalFormatting>
  <conditionalFormatting sqref="G52 G54 G56 G58 G60 G62 G64 G66 G68 G70">
    <cfRule type="expression" dxfId="3653" priority="550">
      <formula>B52=""</formula>
    </cfRule>
  </conditionalFormatting>
  <conditionalFormatting sqref="G53 G55 G57 G59 G61 G63 G65 G67 G69 G71">
    <cfRule type="expression" dxfId="3652" priority="549">
      <formula>B53=""</formula>
    </cfRule>
  </conditionalFormatting>
  <conditionalFormatting sqref="G54:G64">
    <cfRule type="expression" dxfId="3651" priority="548">
      <formula>B54=""</formula>
    </cfRule>
  </conditionalFormatting>
  <conditionalFormatting sqref="G65">
    <cfRule type="expression" dxfId="3650" priority="547">
      <formula>B65=""</formula>
    </cfRule>
  </conditionalFormatting>
  <conditionalFormatting sqref="G66">
    <cfRule type="expression" dxfId="3649" priority="546">
      <formula>B66=""</formula>
    </cfRule>
  </conditionalFormatting>
  <conditionalFormatting sqref="G67">
    <cfRule type="expression" dxfId="3648" priority="545">
      <formula>B67=""</formula>
    </cfRule>
  </conditionalFormatting>
  <conditionalFormatting sqref="G68">
    <cfRule type="expression" dxfId="3647" priority="544">
      <formula>B68=""</formula>
    </cfRule>
  </conditionalFormatting>
  <conditionalFormatting sqref="G69">
    <cfRule type="expression" dxfId="3646" priority="543">
      <formula>B69=""</formula>
    </cfRule>
  </conditionalFormatting>
  <conditionalFormatting sqref="G70">
    <cfRule type="expression" dxfId="3645" priority="542">
      <formula>B70=""</formula>
    </cfRule>
  </conditionalFormatting>
  <conditionalFormatting sqref="G71">
    <cfRule type="expression" dxfId="3644" priority="541">
      <formula>B71=""</formula>
    </cfRule>
  </conditionalFormatting>
  <conditionalFormatting sqref="G72">
    <cfRule type="expression" dxfId="3643" priority="540">
      <formula>B72=""</formula>
    </cfRule>
  </conditionalFormatting>
  <conditionalFormatting sqref="H52 H54 H56 H58 H60 H62 H64 H66 H68 H70">
    <cfRule type="expression" dxfId="3642" priority="539">
      <formula>B52=""</formula>
    </cfRule>
  </conditionalFormatting>
  <conditionalFormatting sqref="H53 H55 H57 H59 H61 H63 H65 H67 H69 H71">
    <cfRule type="expression" dxfId="3641" priority="538">
      <formula>B53=""</formula>
    </cfRule>
  </conditionalFormatting>
  <conditionalFormatting sqref="H54:H64">
    <cfRule type="expression" dxfId="3640" priority="537">
      <formula>B54=""</formula>
    </cfRule>
  </conditionalFormatting>
  <conditionalFormatting sqref="H65">
    <cfRule type="expression" dxfId="3639" priority="536">
      <formula>B65=""</formula>
    </cfRule>
  </conditionalFormatting>
  <conditionalFormatting sqref="H66">
    <cfRule type="expression" dxfId="3638" priority="535">
      <formula>B66=""</formula>
    </cfRule>
  </conditionalFormatting>
  <conditionalFormatting sqref="H67">
    <cfRule type="expression" dxfId="3637" priority="534">
      <formula>B67=""</formula>
    </cfRule>
  </conditionalFormatting>
  <conditionalFormatting sqref="H68">
    <cfRule type="expression" dxfId="3636" priority="533">
      <formula>B68=""</formula>
    </cfRule>
  </conditionalFormatting>
  <conditionalFormatting sqref="H69">
    <cfRule type="expression" dxfId="3635" priority="532">
      <formula>B69=""</formula>
    </cfRule>
  </conditionalFormatting>
  <conditionalFormatting sqref="H70">
    <cfRule type="expression" dxfId="3634" priority="531">
      <formula>B70=""</formula>
    </cfRule>
  </conditionalFormatting>
  <conditionalFormatting sqref="H71">
    <cfRule type="expression" dxfId="3633" priority="530">
      <formula>B71=""</formula>
    </cfRule>
  </conditionalFormatting>
  <conditionalFormatting sqref="H72">
    <cfRule type="expression" dxfId="3632" priority="529">
      <formula>B72=""</formula>
    </cfRule>
  </conditionalFormatting>
  <conditionalFormatting sqref="C74:C94">
    <cfRule type="expression" dxfId="3631" priority="528">
      <formula>B74=""</formula>
    </cfRule>
  </conditionalFormatting>
  <conditionalFormatting sqref="C75 C77 C79 C81 C83 C85 C87 C89 C91 C93">
    <cfRule type="expression" dxfId="3630" priority="527">
      <formula>B75=""</formula>
    </cfRule>
  </conditionalFormatting>
  <conditionalFormatting sqref="C76:C86">
    <cfRule type="expression" dxfId="3629" priority="526">
      <formula>B76=""</formula>
    </cfRule>
  </conditionalFormatting>
  <conditionalFormatting sqref="C87">
    <cfRule type="expression" dxfId="3628" priority="525">
      <formula>B87=""</formula>
    </cfRule>
  </conditionalFormatting>
  <conditionalFormatting sqref="C88">
    <cfRule type="expression" dxfId="3627" priority="524">
      <formula>B88=""</formula>
    </cfRule>
  </conditionalFormatting>
  <conditionalFormatting sqref="C89">
    <cfRule type="expression" dxfId="3626" priority="523">
      <formula>B89=""</formula>
    </cfRule>
  </conditionalFormatting>
  <conditionalFormatting sqref="C90">
    <cfRule type="expression" dxfId="3625" priority="522">
      <formula>B90=""</formula>
    </cfRule>
  </conditionalFormatting>
  <conditionalFormatting sqref="C91">
    <cfRule type="expression" dxfId="3624" priority="521">
      <formula>B91=""</formula>
    </cfRule>
  </conditionalFormatting>
  <conditionalFormatting sqref="C92">
    <cfRule type="expression" dxfId="3623" priority="520">
      <formula>B92=""</formula>
    </cfRule>
  </conditionalFormatting>
  <conditionalFormatting sqref="C93">
    <cfRule type="expression" dxfId="3622" priority="519">
      <formula>B93=""</formula>
    </cfRule>
  </conditionalFormatting>
  <conditionalFormatting sqref="C94">
    <cfRule type="expression" dxfId="3621" priority="518">
      <formula>B94=""</formula>
    </cfRule>
  </conditionalFormatting>
  <conditionalFormatting sqref="D74 D76 D78 D80 D82 D84 D86 D88 D90 D92">
    <cfRule type="expression" dxfId="3620" priority="517">
      <formula>B74=""</formula>
    </cfRule>
  </conditionalFormatting>
  <conditionalFormatting sqref="D75 D77 D79 D81 D83 D85 D87 D89 D91 D93">
    <cfRule type="expression" dxfId="3619" priority="516">
      <formula>B75=""</formula>
    </cfRule>
  </conditionalFormatting>
  <conditionalFormatting sqref="D76:D86">
    <cfRule type="expression" dxfId="3618" priority="515">
      <formula>B76=""</formula>
    </cfRule>
  </conditionalFormatting>
  <conditionalFormatting sqref="D87">
    <cfRule type="expression" dxfId="3617" priority="514">
      <formula>B87=""</formula>
    </cfRule>
  </conditionalFormatting>
  <conditionalFormatting sqref="D88">
    <cfRule type="expression" dxfId="3616" priority="513">
      <formula>B88=""</formula>
    </cfRule>
  </conditionalFormatting>
  <conditionalFormatting sqref="D89">
    <cfRule type="expression" dxfId="3615" priority="512">
      <formula>B89=""</formula>
    </cfRule>
  </conditionalFormatting>
  <conditionalFormatting sqref="D90">
    <cfRule type="expression" dxfId="3614" priority="511">
      <formula>B90=""</formula>
    </cfRule>
  </conditionalFormatting>
  <conditionalFormatting sqref="D91">
    <cfRule type="expression" dxfId="3613" priority="510">
      <formula>B91=""</formula>
    </cfRule>
  </conditionalFormatting>
  <conditionalFormatting sqref="D92">
    <cfRule type="expression" dxfId="3612" priority="509">
      <formula>B92=""</formula>
    </cfRule>
  </conditionalFormatting>
  <conditionalFormatting sqref="D93">
    <cfRule type="expression" dxfId="3611" priority="508">
      <formula>B93=""</formula>
    </cfRule>
  </conditionalFormatting>
  <conditionalFormatting sqref="D94">
    <cfRule type="expression" dxfId="3610" priority="507">
      <formula>B94=""</formula>
    </cfRule>
  </conditionalFormatting>
  <conditionalFormatting sqref="E74 E76 E78 E80 E82 E84 E86 E88 E90 E92">
    <cfRule type="expression" dxfId="3609" priority="506">
      <formula>B74=""</formula>
    </cfRule>
  </conditionalFormatting>
  <conditionalFormatting sqref="E75 E77 E79 E81 E83 E85 E87 E89 E91 E93">
    <cfRule type="expression" dxfId="3608" priority="505">
      <formula>B75=""</formula>
    </cfRule>
  </conditionalFormatting>
  <conditionalFormatting sqref="E76:E86">
    <cfRule type="expression" dxfId="3607" priority="504">
      <formula>B76=""</formula>
    </cfRule>
  </conditionalFormatting>
  <conditionalFormatting sqref="E87">
    <cfRule type="expression" dxfId="3606" priority="503">
      <formula>B87=""</formula>
    </cfRule>
  </conditionalFormatting>
  <conditionalFormatting sqref="E88">
    <cfRule type="expression" dxfId="3605" priority="502">
      <formula>B88=""</formula>
    </cfRule>
  </conditionalFormatting>
  <conditionalFormatting sqref="E89">
    <cfRule type="expression" dxfId="3604" priority="501">
      <formula>B89=""</formula>
    </cfRule>
  </conditionalFormatting>
  <conditionalFormatting sqref="E90">
    <cfRule type="expression" dxfId="3603" priority="500">
      <formula>B90=""</formula>
    </cfRule>
  </conditionalFormatting>
  <conditionalFormatting sqref="E91">
    <cfRule type="expression" dxfId="3602" priority="499">
      <formula>B91=""</formula>
    </cfRule>
  </conditionalFormatting>
  <conditionalFormatting sqref="E92">
    <cfRule type="expression" dxfId="3601" priority="498">
      <formula>B92=""</formula>
    </cfRule>
  </conditionalFormatting>
  <conditionalFormatting sqref="E93">
    <cfRule type="expression" dxfId="3600" priority="497">
      <formula>B93=""</formula>
    </cfRule>
  </conditionalFormatting>
  <conditionalFormatting sqref="E94">
    <cfRule type="expression" dxfId="3599" priority="496">
      <formula>B94=""</formula>
    </cfRule>
  </conditionalFormatting>
  <conditionalFormatting sqref="F74 F76 F78 F80 F82 F84 F86 F88 F90 F92">
    <cfRule type="expression" dxfId="3598" priority="495">
      <formula>B74=""</formula>
    </cfRule>
  </conditionalFormatting>
  <conditionalFormatting sqref="F75 F77 F79 F81 F83 F85 F87 F89 F91 F93">
    <cfRule type="expression" dxfId="3597" priority="494">
      <formula>B75=""</formula>
    </cfRule>
  </conditionalFormatting>
  <conditionalFormatting sqref="F76:F86">
    <cfRule type="expression" dxfId="3596" priority="493">
      <formula>B76=""</formula>
    </cfRule>
  </conditionalFormatting>
  <conditionalFormatting sqref="F87">
    <cfRule type="expression" dxfId="3595" priority="492">
      <formula>B87=""</formula>
    </cfRule>
  </conditionalFormatting>
  <conditionalFormatting sqref="F88">
    <cfRule type="expression" dxfId="3594" priority="491">
      <formula>B88=""</formula>
    </cfRule>
  </conditionalFormatting>
  <conditionalFormatting sqref="F89">
    <cfRule type="expression" dxfId="3593" priority="490">
      <formula>B89=""</formula>
    </cfRule>
  </conditionalFormatting>
  <conditionalFormatting sqref="F90">
    <cfRule type="expression" dxfId="3592" priority="489">
      <formula>B90=""</formula>
    </cfRule>
  </conditionalFormatting>
  <conditionalFormatting sqref="F91">
    <cfRule type="expression" dxfId="3591" priority="488">
      <formula>B91=""</formula>
    </cfRule>
  </conditionalFormatting>
  <conditionalFormatting sqref="F92">
    <cfRule type="expression" dxfId="3590" priority="487">
      <formula>B92=""</formula>
    </cfRule>
  </conditionalFormatting>
  <conditionalFormatting sqref="F93">
    <cfRule type="expression" dxfId="3589" priority="486">
      <formula>B93=""</formula>
    </cfRule>
  </conditionalFormatting>
  <conditionalFormatting sqref="F94">
    <cfRule type="expression" dxfId="3588" priority="485">
      <formula>B94=""</formula>
    </cfRule>
  </conditionalFormatting>
  <conditionalFormatting sqref="E75 E77 E79 E81 E83 E85 E87 E89 E91 E93">
    <cfRule type="expression" dxfId="3587" priority="484">
      <formula>B75=""</formula>
    </cfRule>
  </conditionalFormatting>
  <conditionalFormatting sqref="E76:E86">
    <cfRule type="expression" dxfId="3586" priority="483">
      <formula>B76=""</formula>
    </cfRule>
  </conditionalFormatting>
  <conditionalFormatting sqref="E87">
    <cfRule type="expression" dxfId="3585" priority="482">
      <formula>B87=""</formula>
    </cfRule>
  </conditionalFormatting>
  <conditionalFormatting sqref="E88">
    <cfRule type="expression" dxfId="3584" priority="481">
      <formula>B88=""</formula>
    </cfRule>
  </conditionalFormatting>
  <conditionalFormatting sqref="E89">
    <cfRule type="expression" dxfId="3583" priority="480">
      <formula>B89=""</formula>
    </cfRule>
  </conditionalFormatting>
  <conditionalFormatting sqref="E90">
    <cfRule type="expression" dxfId="3582" priority="479">
      <formula>B90=""</formula>
    </cfRule>
  </conditionalFormatting>
  <conditionalFormatting sqref="E91">
    <cfRule type="expression" dxfId="3581" priority="478">
      <formula>B91=""</formula>
    </cfRule>
  </conditionalFormatting>
  <conditionalFormatting sqref="E92">
    <cfRule type="expression" dxfId="3580" priority="477">
      <formula>B92=""</formula>
    </cfRule>
  </conditionalFormatting>
  <conditionalFormatting sqref="E93">
    <cfRule type="expression" dxfId="3579" priority="476">
      <formula>B93=""</formula>
    </cfRule>
  </conditionalFormatting>
  <conditionalFormatting sqref="E94">
    <cfRule type="expression" dxfId="3578" priority="475">
      <formula>B94=""</formula>
    </cfRule>
  </conditionalFormatting>
  <conditionalFormatting sqref="G74 G76 G78 G80 G82 G84 G86 G88 G90 G92">
    <cfRule type="expression" dxfId="3577" priority="474">
      <formula>B74=""</formula>
    </cfRule>
  </conditionalFormatting>
  <conditionalFormatting sqref="G75 G77 G79 G81 G83 G85 G87 G89 G91 G93">
    <cfRule type="expression" dxfId="3576" priority="473">
      <formula>B75=""</formula>
    </cfRule>
  </conditionalFormatting>
  <conditionalFormatting sqref="G76:G86">
    <cfRule type="expression" dxfId="3575" priority="472">
      <formula>B76=""</formula>
    </cfRule>
  </conditionalFormatting>
  <conditionalFormatting sqref="G87">
    <cfRule type="expression" dxfId="3574" priority="471">
      <formula>B87=""</formula>
    </cfRule>
  </conditionalFormatting>
  <conditionalFormatting sqref="G88">
    <cfRule type="expression" dxfId="3573" priority="470">
      <formula>B88=""</formula>
    </cfRule>
  </conditionalFormatting>
  <conditionalFormatting sqref="G89">
    <cfRule type="expression" dxfId="3572" priority="469">
      <formula>B89=""</formula>
    </cfRule>
  </conditionalFormatting>
  <conditionalFormatting sqref="G90">
    <cfRule type="expression" dxfId="3571" priority="468">
      <formula>B90=""</formula>
    </cfRule>
  </conditionalFormatting>
  <conditionalFormatting sqref="G91">
    <cfRule type="expression" dxfId="3570" priority="467">
      <formula>B91=""</formula>
    </cfRule>
  </conditionalFormatting>
  <conditionalFormatting sqref="G92">
    <cfRule type="expression" dxfId="3569" priority="466">
      <formula>B92=""</formula>
    </cfRule>
  </conditionalFormatting>
  <conditionalFormatting sqref="G93">
    <cfRule type="expression" dxfId="3568" priority="465">
      <formula>B93=""</formula>
    </cfRule>
  </conditionalFormatting>
  <conditionalFormatting sqref="G94">
    <cfRule type="expression" dxfId="3567" priority="464">
      <formula>B94=""</formula>
    </cfRule>
  </conditionalFormatting>
  <conditionalFormatting sqref="H74 H76 H78 H80 H82 H84 H86 H88 H90 H92">
    <cfRule type="expression" dxfId="3566" priority="463">
      <formula>B74=""</formula>
    </cfRule>
  </conditionalFormatting>
  <conditionalFormatting sqref="H75 H77 H79 H81 H83 H85 H87 H89 H91 H93">
    <cfRule type="expression" dxfId="3565" priority="462">
      <formula>B75=""</formula>
    </cfRule>
  </conditionalFormatting>
  <conditionalFormatting sqref="H76:H86">
    <cfRule type="expression" dxfId="3564" priority="461">
      <formula>B76=""</formula>
    </cfRule>
  </conditionalFormatting>
  <conditionalFormatting sqref="H87">
    <cfRule type="expression" dxfId="3563" priority="460">
      <formula>B87=""</formula>
    </cfRule>
  </conditionalFormatting>
  <conditionalFormatting sqref="H88">
    <cfRule type="expression" dxfId="3562" priority="459">
      <formula>B88=""</formula>
    </cfRule>
  </conditionalFormatting>
  <conditionalFormatting sqref="H89">
    <cfRule type="expression" dxfId="3561" priority="458">
      <formula>B89=""</formula>
    </cfRule>
  </conditionalFormatting>
  <conditionalFormatting sqref="H90">
    <cfRule type="expression" dxfId="3560" priority="457">
      <formula>B90=""</formula>
    </cfRule>
  </conditionalFormatting>
  <conditionalFormatting sqref="H91">
    <cfRule type="expression" dxfId="3559" priority="456">
      <formula>B91=""</formula>
    </cfRule>
  </conditionalFormatting>
  <conditionalFormatting sqref="H92">
    <cfRule type="expression" dxfId="3558" priority="455">
      <formula>B92=""</formula>
    </cfRule>
  </conditionalFormatting>
  <conditionalFormatting sqref="H93">
    <cfRule type="expression" dxfId="3557" priority="454">
      <formula>B93=""</formula>
    </cfRule>
  </conditionalFormatting>
  <conditionalFormatting sqref="H94">
    <cfRule type="expression" dxfId="3556" priority="453">
      <formula>B94=""</formula>
    </cfRule>
  </conditionalFormatting>
  <conditionalFormatting sqref="C49">
    <cfRule type="expression" dxfId="3555" priority="452">
      <formula>B49=""</formula>
    </cfRule>
  </conditionalFormatting>
  <conditionalFormatting sqref="C71">
    <cfRule type="expression" dxfId="3554" priority="451">
      <formula>B71=""</formula>
    </cfRule>
  </conditionalFormatting>
  <conditionalFormatting sqref="C93">
    <cfRule type="expression" dxfId="3553" priority="450">
      <formula>B93=""</formula>
    </cfRule>
  </conditionalFormatting>
  <conditionalFormatting sqref="C8:C27">
    <cfRule type="expression" dxfId="3552" priority="449">
      <formula>B8=""</formula>
    </cfRule>
  </conditionalFormatting>
  <conditionalFormatting sqref="C9 C11 C13 C15 C17 C19 C21 C23 C25 C27">
    <cfRule type="expression" dxfId="3551" priority="448">
      <formula>B9=""</formula>
    </cfRule>
  </conditionalFormatting>
  <conditionalFormatting sqref="C10:C20">
    <cfRule type="expression" dxfId="3550" priority="447">
      <formula>B10=""</formula>
    </cfRule>
  </conditionalFormatting>
  <conditionalFormatting sqref="C21">
    <cfRule type="expression" dxfId="3549" priority="446">
      <formula>B21=""</formula>
    </cfRule>
  </conditionalFormatting>
  <conditionalFormatting sqref="C22">
    <cfRule type="expression" dxfId="3548" priority="445">
      <formula>B22=""</formula>
    </cfRule>
  </conditionalFormatting>
  <conditionalFormatting sqref="C23">
    <cfRule type="expression" dxfId="3547" priority="444">
      <formula>B23=""</formula>
    </cfRule>
  </conditionalFormatting>
  <conditionalFormatting sqref="C24">
    <cfRule type="expression" dxfId="3546" priority="443">
      <formula>B24=""</formula>
    </cfRule>
  </conditionalFormatting>
  <conditionalFormatting sqref="C25">
    <cfRule type="expression" dxfId="3545" priority="442">
      <formula>B25=""</formula>
    </cfRule>
  </conditionalFormatting>
  <conditionalFormatting sqref="C26">
    <cfRule type="expression" dxfId="3544" priority="441">
      <formula>B26=""</formula>
    </cfRule>
  </conditionalFormatting>
  <conditionalFormatting sqref="C27">
    <cfRule type="expression" dxfId="3543" priority="440">
      <formula>B27=""</formula>
    </cfRule>
  </conditionalFormatting>
  <conditionalFormatting sqref="C28">
    <cfRule type="expression" dxfId="3542" priority="439">
      <formula>B28=""</formula>
    </cfRule>
  </conditionalFormatting>
  <conditionalFormatting sqref="C30:C50">
    <cfRule type="expression" dxfId="3541" priority="438">
      <formula>B30=""</formula>
    </cfRule>
  </conditionalFormatting>
  <conditionalFormatting sqref="C31 C33 C35 C37 C39 C41 C43 C45 C47 C49">
    <cfRule type="expression" dxfId="3540" priority="437">
      <formula>B31=""</formula>
    </cfRule>
  </conditionalFormatting>
  <conditionalFormatting sqref="C32:C42">
    <cfRule type="expression" dxfId="3539" priority="436">
      <formula>B32=""</formula>
    </cfRule>
  </conditionalFormatting>
  <conditionalFormatting sqref="C43">
    <cfRule type="expression" dxfId="3538" priority="435">
      <formula>B43=""</formula>
    </cfRule>
  </conditionalFormatting>
  <conditionalFormatting sqref="C44">
    <cfRule type="expression" dxfId="3537" priority="434">
      <formula>B44=""</formula>
    </cfRule>
  </conditionalFormatting>
  <conditionalFormatting sqref="C45">
    <cfRule type="expression" dxfId="3536" priority="433">
      <formula>B45=""</formula>
    </cfRule>
  </conditionalFormatting>
  <conditionalFormatting sqref="C46">
    <cfRule type="expression" dxfId="3535" priority="432">
      <formula>B46=""</formula>
    </cfRule>
  </conditionalFormatting>
  <conditionalFormatting sqref="C47">
    <cfRule type="expression" dxfId="3534" priority="431">
      <formula>B47=""</formula>
    </cfRule>
  </conditionalFormatting>
  <conditionalFormatting sqref="C48">
    <cfRule type="expression" dxfId="3533" priority="430">
      <formula>B48=""</formula>
    </cfRule>
  </conditionalFormatting>
  <conditionalFormatting sqref="C49">
    <cfRule type="expression" dxfId="3532" priority="429">
      <formula>B49=""</formula>
    </cfRule>
  </conditionalFormatting>
  <conditionalFormatting sqref="C50">
    <cfRule type="expression" dxfId="3531" priority="428">
      <formula>B50=""</formula>
    </cfRule>
  </conditionalFormatting>
  <conditionalFormatting sqref="C52:C71">
    <cfRule type="expression" dxfId="3530" priority="427">
      <formula>B52=""</formula>
    </cfRule>
  </conditionalFormatting>
  <conditionalFormatting sqref="C53 C55 C57 C59 C61 C63 C65 C67 C69 C71">
    <cfRule type="expression" dxfId="3529" priority="426">
      <formula>B53=""</formula>
    </cfRule>
  </conditionalFormatting>
  <conditionalFormatting sqref="C54:C64">
    <cfRule type="expression" dxfId="3528" priority="425">
      <formula>B54=""</formula>
    </cfRule>
  </conditionalFormatting>
  <conditionalFormatting sqref="C65">
    <cfRule type="expression" dxfId="3527" priority="424">
      <formula>B65=""</formula>
    </cfRule>
  </conditionalFormatting>
  <conditionalFormatting sqref="C66">
    <cfRule type="expression" dxfId="3526" priority="423">
      <formula>B66=""</formula>
    </cfRule>
  </conditionalFormatting>
  <conditionalFormatting sqref="C67">
    <cfRule type="expression" dxfId="3525" priority="422">
      <formula>B67=""</formula>
    </cfRule>
  </conditionalFormatting>
  <conditionalFormatting sqref="C68">
    <cfRule type="expression" dxfId="3524" priority="421">
      <formula>B68=""</formula>
    </cfRule>
  </conditionalFormatting>
  <conditionalFormatting sqref="C69">
    <cfRule type="expression" dxfId="3523" priority="420">
      <formula>B69=""</formula>
    </cfRule>
  </conditionalFormatting>
  <conditionalFormatting sqref="C70">
    <cfRule type="expression" dxfId="3522" priority="419">
      <formula>B70=""</formula>
    </cfRule>
  </conditionalFormatting>
  <conditionalFormatting sqref="C71">
    <cfRule type="expression" dxfId="3521" priority="418">
      <formula>B71=""</formula>
    </cfRule>
  </conditionalFormatting>
  <conditionalFormatting sqref="C72">
    <cfRule type="expression" dxfId="3520" priority="417">
      <formula>B72=""</formula>
    </cfRule>
  </conditionalFormatting>
  <conditionalFormatting sqref="C74:C94">
    <cfRule type="expression" dxfId="3519" priority="416">
      <formula>B74=""</formula>
    </cfRule>
  </conditionalFormatting>
  <conditionalFormatting sqref="C75 C77 C79 C81 C83 C85 C87 C89 C91 C93">
    <cfRule type="expression" dxfId="3518" priority="415">
      <formula>B75=""</formula>
    </cfRule>
  </conditionalFormatting>
  <conditionalFormatting sqref="C76:C86">
    <cfRule type="expression" dxfId="3517" priority="414">
      <formula>B76=""</formula>
    </cfRule>
  </conditionalFormatting>
  <conditionalFormatting sqref="C87">
    <cfRule type="expression" dxfId="3516" priority="413">
      <formula>B87=""</formula>
    </cfRule>
  </conditionalFormatting>
  <conditionalFormatting sqref="C88">
    <cfRule type="expression" dxfId="3515" priority="412">
      <formula>B88=""</formula>
    </cfRule>
  </conditionalFormatting>
  <conditionalFormatting sqref="C89">
    <cfRule type="expression" dxfId="3514" priority="411">
      <formula>B89=""</formula>
    </cfRule>
  </conditionalFormatting>
  <conditionalFormatting sqref="C90">
    <cfRule type="expression" dxfId="3513" priority="410">
      <formula>B90=""</formula>
    </cfRule>
  </conditionalFormatting>
  <conditionalFormatting sqref="C91">
    <cfRule type="expression" dxfId="3512" priority="409">
      <formula>B91=""</formula>
    </cfRule>
  </conditionalFormatting>
  <conditionalFormatting sqref="C92">
    <cfRule type="expression" dxfId="3511" priority="408">
      <formula>B92=""</formula>
    </cfRule>
  </conditionalFormatting>
  <conditionalFormatting sqref="C93">
    <cfRule type="expression" dxfId="3510" priority="407">
      <formula>B93=""</formula>
    </cfRule>
  </conditionalFormatting>
  <conditionalFormatting sqref="C94">
    <cfRule type="expression" dxfId="3509" priority="406">
      <formula>B94=""</formula>
    </cfRule>
  </conditionalFormatting>
  <conditionalFormatting sqref="C8 C10 C12 C14 C16 C18 C20 C22 C24 C26">
    <cfRule type="expression" dxfId="3508" priority="405">
      <formula>B8=""</formula>
    </cfRule>
  </conditionalFormatting>
  <conditionalFormatting sqref="C9 C11 C13 C15 C17 C19 C21 C23 C25 C27">
    <cfRule type="expression" dxfId="3507" priority="404">
      <formula>B9=""</formula>
    </cfRule>
  </conditionalFormatting>
  <conditionalFormatting sqref="C10:C20">
    <cfRule type="expression" dxfId="3506" priority="403">
      <formula>B10=""</formula>
    </cfRule>
  </conditionalFormatting>
  <conditionalFormatting sqref="C21">
    <cfRule type="expression" dxfId="3505" priority="402">
      <formula>B21=""</formula>
    </cfRule>
  </conditionalFormatting>
  <conditionalFormatting sqref="C22">
    <cfRule type="expression" dxfId="3504" priority="401">
      <formula>B22=""</formula>
    </cfRule>
  </conditionalFormatting>
  <conditionalFormatting sqref="C23">
    <cfRule type="expression" dxfId="3503" priority="400">
      <formula>B23=""</formula>
    </cfRule>
  </conditionalFormatting>
  <conditionalFormatting sqref="C24">
    <cfRule type="expression" dxfId="3502" priority="399">
      <formula>B24=""</formula>
    </cfRule>
  </conditionalFormatting>
  <conditionalFormatting sqref="C25">
    <cfRule type="expression" dxfId="3501" priority="398">
      <formula>B25=""</formula>
    </cfRule>
  </conditionalFormatting>
  <conditionalFormatting sqref="C26">
    <cfRule type="expression" dxfId="3500" priority="397">
      <formula>B26=""</formula>
    </cfRule>
  </conditionalFormatting>
  <conditionalFormatting sqref="C27">
    <cfRule type="expression" dxfId="3499" priority="396">
      <formula>B27=""</formula>
    </cfRule>
  </conditionalFormatting>
  <conditionalFormatting sqref="D8 D10 D12 D14 D16 D18 D20 D22 D24 D26">
    <cfRule type="expression" dxfId="3498" priority="395">
      <formula>B8=""</formula>
    </cfRule>
  </conditionalFormatting>
  <conditionalFormatting sqref="D9 D11 D13 D15 D17 D19 D21 D23 D25 D27">
    <cfRule type="expression" dxfId="3497" priority="394">
      <formula>B9=""</formula>
    </cfRule>
  </conditionalFormatting>
  <conditionalFormatting sqref="D10:D20">
    <cfRule type="expression" dxfId="3496" priority="393">
      <formula>B10=""</formula>
    </cfRule>
  </conditionalFormatting>
  <conditionalFormatting sqref="D21">
    <cfRule type="expression" dxfId="3495" priority="392">
      <formula>B21=""</formula>
    </cfRule>
  </conditionalFormatting>
  <conditionalFormatting sqref="D22">
    <cfRule type="expression" dxfId="3494" priority="391">
      <formula>B22=""</formula>
    </cfRule>
  </conditionalFormatting>
  <conditionalFormatting sqref="D23">
    <cfRule type="expression" dxfId="3493" priority="390">
      <formula>B23=""</formula>
    </cfRule>
  </conditionalFormatting>
  <conditionalFormatting sqref="D24">
    <cfRule type="expression" dxfId="3492" priority="389">
      <formula>B24=""</formula>
    </cfRule>
  </conditionalFormatting>
  <conditionalFormatting sqref="D25">
    <cfRule type="expression" dxfId="3491" priority="388">
      <formula>B25=""</formula>
    </cfRule>
  </conditionalFormatting>
  <conditionalFormatting sqref="D26">
    <cfRule type="expression" dxfId="3490" priority="387">
      <formula>B26=""</formula>
    </cfRule>
  </conditionalFormatting>
  <conditionalFormatting sqref="D27">
    <cfRule type="expression" dxfId="3489" priority="386">
      <formula>B27=""</formula>
    </cfRule>
  </conditionalFormatting>
  <conditionalFormatting sqref="E8:E27">
    <cfRule type="expression" dxfId="3488" priority="385">
      <formula>B8=""</formula>
    </cfRule>
  </conditionalFormatting>
  <conditionalFormatting sqref="E9 E11 E13 E15 E17 E19 E21 E23 E25 E27">
    <cfRule type="expression" dxfId="3487" priority="384">
      <formula>B9=""</formula>
    </cfRule>
  </conditionalFormatting>
  <conditionalFormatting sqref="E10:E20">
    <cfRule type="expression" dxfId="3486" priority="383">
      <formula>B10=""</formula>
    </cfRule>
  </conditionalFormatting>
  <conditionalFormatting sqref="E21">
    <cfRule type="expression" dxfId="3485" priority="382">
      <formula>B21=""</formula>
    </cfRule>
  </conditionalFormatting>
  <conditionalFormatting sqref="E22:E23">
    <cfRule type="expression" dxfId="3484" priority="381">
      <formula>B22=""</formula>
    </cfRule>
  </conditionalFormatting>
  <conditionalFormatting sqref="E23">
    <cfRule type="expression" dxfId="3483" priority="380">
      <formula>B23=""</formula>
    </cfRule>
  </conditionalFormatting>
  <conditionalFormatting sqref="E24">
    <cfRule type="expression" dxfId="3482" priority="379">
      <formula>B24=""</formula>
    </cfRule>
  </conditionalFormatting>
  <conditionalFormatting sqref="E25">
    <cfRule type="expression" dxfId="3481" priority="378">
      <formula>B25=""</formula>
    </cfRule>
  </conditionalFormatting>
  <conditionalFormatting sqref="E26">
    <cfRule type="expression" dxfId="3480" priority="377">
      <formula>B26=""</formula>
    </cfRule>
  </conditionalFormatting>
  <conditionalFormatting sqref="E27">
    <cfRule type="expression" dxfId="3479" priority="376">
      <formula>B27=""</formula>
    </cfRule>
  </conditionalFormatting>
  <conditionalFormatting sqref="F8:F27">
    <cfRule type="expression" dxfId="3478" priority="375">
      <formula>B8=""</formula>
    </cfRule>
  </conditionalFormatting>
  <conditionalFormatting sqref="F9 F11 F13 F15 F17 F19 F21 F23 F25 F27">
    <cfRule type="expression" dxfId="3477" priority="374">
      <formula>B9=""</formula>
    </cfRule>
  </conditionalFormatting>
  <conditionalFormatting sqref="F10:F20">
    <cfRule type="expression" dxfId="3476" priority="373">
      <formula>B10=""</formula>
    </cfRule>
  </conditionalFormatting>
  <conditionalFormatting sqref="F21">
    <cfRule type="expression" dxfId="3475" priority="372">
      <formula>B21=""</formula>
    </cfRule>
  </conditionalFormatting>
  <conditionalFormatting sqref="F22">
    <cfRule type="expression" dxfId="3474" priority="371">
      <formula>B22=""</formula>
    </cfRule>
  </conditionalFormatting>
  <conditionalFormatting sqref="F23">
    <cfRule type="expression" dxfId="3473" priority="370">
      <formula>B23=""</formula>
    </cfRule>
  </conditionalFormatting>
  <conditionalFormatting sqref="F24">
    <cfRule type="expression" dxfId="3472" priority="369">
      <formula>B24=""</formula>
    </cfRule>
  </conditionalFormatting>
  <conditionalFormatting sqref="F25">
    <cfRule type="expression" dxfId="3471" priority="368">
      <formula>B25=""</formula>
    </cfRule>
  </conditionalFormatting>
  <conditionalFormatting sqref="F26">
    <cfRule type="expression" dxfId="3470" priority="367">
      <formula>B26=""</formula>
    </cfRule>
  </conditionalFormatting>
  <conditionalFormatting sqref="F27">
    <cfRule type="expression" dxfId="3469" priority="366">
      <formula>B27=""</formula>
    </cfRule>
  </conditionalFormatting>
  <conditionalFormatting sqref="E9 E11 E13 E15 E17 E19 E21 E23 E25 E27">
    <cfRule type="expression" dxfId="3468" priority="365">
      <formula>B9=""</formula>
    </cfRule>
  </conditionalFormatting>
  <conditionalFormatting sqref="E10:E20">
    <cfRule type="expression" dxfId="3467" priority="364">
      <formula>B10=""</formula>
    </cfRule>
  </conditionalFormatting>
  <conditionalFormatting sqref="E21">
    <cfRule type="expression" dxfId="3466" priority="363">
      <formula>B21=""</formula>
    </cfRule>
  </conditionalFormatting>
  <conditionalFormatting sqref="E22:E23">
    <cfRule type="expression" dxfId="3465" priority="362">
      <formula>B22=""</formula>
    </cfRule>
  </conditionalFormatting>
  <conditionalFormatting sqref="E23">
    <cfRule type="expression" dxfId="3464" priority="361">
      <formula>B23=""</formula>
    </cfRule>
  </conditionalFormatting>
  <conditionalFormatting sqref="E24">
    <cfRule type="expression" dxfId="3463" priority="360">
      <formula>B24=""</formula>
    </cfRule>
  </conditionalFormatting>
  <conditionalFormatting sqref="E25">
    <cfRule type="expression" dxfId="3462" priority="359">
      <formula>B25=""</formula>
    </cfRule>
  </conditionalFormatting>
  <conditionalFormatting sqref="E26">
    <cfRule type="expression" dxfId="3461" priority="358">
      <formula>B26=""</formula>
    </cfRule>
  </conditionalFormatting>
  <conditionalFormatting sqref="E27">
    <cfRule type="expression" dxfId="3460" priority="357">
      <formula>B27=""</formula>
    </cfRule>
  </conditionalFormatting>
  <conditionalFormatting sqref="G8:G27">
    <cfRule type="expression" dxfId="3459" priority="356">
      <formula>B8=""</formula>
    </cfRule>
  </conditionalFormatting>
  <conditionalFormatting sqref="G9 G11 G13 G15 G17 G19 G21 G23 G25 G27">
    <cfRule type="expression" dxfId="3458" priority="355">
      <formula>B9=""</formula>
    </cfRule>
  </conditionalFormatting>
  <conditionalFormatting sqref="G10:G20">
    <cfRule type="expression" dxfId="3457" priority="354">
      <formula>B10=""</formula>
    </cfRule>
  </conditionalFormatting>
  <conditionalFormatting sqref="G21">
    <cfRule type="expression" dxfId="3456" priority="353">
      <formula>B21=""</formula>
    </cfRule>
  </conditionalFormatting>
  <conditionalFormatting sqref="G22">
    <cfRule type="expression" dxfId="3455" priority="352">
      <formula>B22=""</formula>
    </cfRule>
  </conditionalFormatting>
  <conditionalFormatting sqref="G23">
    <cfRule type="expression" dxfId="3454" priority="351">
      <formula>B23=""</formula>
    </cfRule>
  </conditionalFormatting>
  <conditionalFormatting sqref="G24">
    <cfRule type="expression" dxfId="3453" priority="350">
      <formula>B24=""</formula>
    </cfRule>
  </conditionalFormatting>
  <conditionalFormatting sqref="G25">
    <cfRule type="expression" dxfId="3452" priority="349">
      <formula>B25=""</formula>
    </cfRule>
  </conditionalFormatting>
  <conditionalFormatting sqref="G26">
    <cfRule type="expression" dxfId="3451" priority="348">
      <formula>B26=""</formula>
    </cfRule>
  </conditionalFormatting>
  <conditionalFormatting sqref="G27">
    <cfRule type="expression" dxfId="3450" priority="347">
      <formula>B27=""</formula>
    </cfRule>
  </conditionalFormatting>
  <conditionalFormatting sqref="H8 H10 H12 H14 H16 H18 H20 H22 H24 H26">
    <cfRule type="expression" dxfId="3449" priority="346">
      <formula>B8=""</formula>
    </cfRule>
  </conditionalFormatting>
  <conditionalFormatting sqref="H9 H11 H13 H15 H17 H19 H21 H23 H25 H27">
    <cfRule type="expression" dxfId="3448" priority="345">
      <formula>B9=""</formula>
    </cfRule>
  </conditionalFormatting>
  <conditionalFormatting sqref="H10:H20">
    <cfRule type="expression" dxfId="3447" priority="344">
      <formula>B10=""</formula>
    </cfRule>
  </conditionalFormatting>
  <conditionalFormatting sqref="H21">
    <cfRule type="expression" dxfId="3446" priority="343">
      <formula>B21=""</formula>
    </cfRule>
  </conditionalFormatting>
  <conditionalFormatting sqref="H22">
    <cfRule type="expression" dxfId="3445" priority="342">
      <formula>B22=""</formula>
    </cfRule>
  </conditionalFormatting>
  <conditionalFormatting sqref="H23">
    <cfRule type="expression" dxfId="3444" priority="341">
      <formula>B23=""</formula>
    </cfRule>
  </conditionalFormatting>
  <conditionalFormatting sqref="H24">
    <cfRule type="expression" dxfId="3443" priority="340">
      <formula>B24=""</formula>
    </cfRule>
  </conditionalFormatting>
  <conditionalFormatting sqref="H25">
    <cfRule type="expression" dxfId="3442" priority="339">
      <formula>B25=""</formula>
    </cfRule>
  </conditionalFormatting>
  <conditionalFormatting sqref="H26">
    <cfRule type="expression" dxfId="3441" priority="338">
      <formula>B26=""</formula>
    </cfRule>
  </conditionalFormatting>
  <conditionalFormatting sqref="H27">
    <cfRule type="expression" dxfId="3440" priority="337">
      <formula>B27=""</formula>
    </cfRule>
  </conditionalFormatting>
  <conditionalFormatting sqref="F8 F10 F12 F14 F16 F18 F20 F22 F24 F26">
    <cfRule type="expression" dxfId="3439" priority="336">
      <formula>B8=""</formula>
    </cfRule>
  </conditionalFormatting>
  <conditionalFormatting sqref="F9 F11 F13 F15 F17 F19 F21 F23 F25 F27">
    <cfRule type="expression" dxfId="3438" priority="335">
      <formula>B9=""</formula>
    </cfRule>
  </conditionalFormatting>
  <conditionalFormatting sqref="F10:F20">
    <cfRule type="expression" dxfId="3437" priority="334">
      <formula>B10=""</formula>
    </cfRule>
  </conditionalFormatting>
  <conditionalFormatting sqref="F21">
    <cfRule type="expression" dxfId="3436" priority="333">
      <formula>B21=""</formula>
    </cfRule>
  </conditionalFormatting>
  <conditionalFormatting sqref="F22">
    <cfRule type="expression" dxfId="3435" priority="332">
      <formula>B22=""</formula>
    </cfRule>
  </conditionalFormatting>
  <conditionalFormatting sqref="F23">
    <cfRule type="expression" dxfId="3434" priority="331">
      <formula>B23=""</formula>
    </cfRule>
  </conditionalFormatting>
  <conditionalFormatting sqref="F24">
    <cfRule type="expression" dxfId="3433" priority="330">
      <formula>B24=""</formula>
    </cfRule>
  </conditionalFormatting>
  <conditionalFormatting sqref="F25">
    <cfRule type="expression" dxfId="3432" priority="329">
      <formula>B25=""</formula>
    </cfRule>
  </conditionalFormatting>
  <conditionalFormatting sqref="F26">
    <cfRule type="expression" dxfId="3431" priority="328">
      <formula>B26=""</formula>
    </cfRule>
  </conditionalFormatting>
  <conditionalFormatting sqref="F27">
    <cfRule type="expression" dxfId="3430" priority="327">
      <formula>B27=""</formula>
    </cfRule>
  </conditionalFormatting>
  <conditionalFormatting sqref="C30:C49">
    <cfRule type="expression" dxfId="3429" priority="326">
      <formula>B30=""</formula>
    </cfRule>
  </conditionalFormatting>
  <conditionalFormatting sqref="C31 C33 C35 C37 C39 C41 C43 C45 C47 C49">
    <cfRule type="expression" dxfId="3428" priority="325">
      <formula>B31=""</formula>
    </cfRule>
  </conditionalFormatting>
  <conditionalFormatting sqref="C32:C42">
    <cfRule type="expression" dxfId="3427" priority="324">
      <formula>B32=""</formula>
    </cfRule>
  </conditionalFormatting>
  <conditionalFormatting sqref="C43">
    <cfRule type="expression" dxfId="3426" priority="323">
      <formula>B43=""</formula>
    </cfRule>
  </conditionalFormatting>
  <conditionalFormatting sqref="C44">
    <cfRule type="expression" dxfId="3425" priority="322">
      <formula>B44=""</formula>
    </cfRule>
  </conditionalFormatting>
  <conditionalFormatting sqref="C45">
    <cfRule type="expression" dxfId="3424" priority="321">
      <formula>B45=""</formula>
    </cfRule>
  </conditionalFormatting>
  <conditionalFormatting sqref="C46">
    <cfRule type="expression" dxfId="3423" priority="320">
      <formula>B46=""</formula>
    </cfRule>
  </conditionalFormatting>
  <conditionalFormatting sqref="C47">
    <cfRule type="expression" dxfId="3422" priority="319">
      <formula>B47=""</formula>
    </cfRule>
  </conditionalFormatting>
  <conditionalFormatting sqref="C48">
    <cfRule type="expression" dxfId="3421" priority="318">
      <formula>B48=""</formula>
    </cfRule>
  </conditionalFormatting>
  <conditionalFormatting sqref="C49">
    <cfRule type="expression" dxfId="3420" priority="317">
      <formula>B49=""</formula>
    </cfRule>
  </conditionalFormatting>
  <conditionalFormatting sqref="D30 D32 D34 D36 D38 D40 D42 D44 D46 D48">
    <cfRule type="expression" dxfId="3419" priority="316">
      <formula>B30=""</formula>
    </cfRule>
  </conditionalFormatting>
  <conditionalFormatting sqref="D31 D33 D35 D37 D39 D41 D43 D45 D47 D49">
    <cfRule type="expression" dxfId="3418" priority="315">
      <formula>B31=""</formula>
    </cfRule>
  </conditionalFormatting>
  <conditionalFormatting sqref="D32:D42">
    <cfRule type="expression" dxfId="3417" priority="314">
      <formula>B32=""</formula>
    </cfRule>
  </conditionalFormatting>
  <conditionalFormatting sqref="D43">
    <cfRule type="expression" dxfId="3416" priority="313">
      <formula>B43=""</formula>
    </cfRule>
  </conditionalFormatting>
  <conditionalFormatting sqref="D44">
    <cfRule type="expression" dxfId="3415" priority="312">
      <formula>B44=""</formula>
    </cfRule>
  </conditionalFormatting>
  <conditionalFormatting sqref="D45">
    <cfRule type="expression" dxfId="3414" priority="311">
      <formula>B45=""</formula>
    </cfRule>
  </conditionalFormatting>
  <conditionalFormatting sqref="D46">
    <cfRule type="expression" dxfId="3413" priority="310">
      <formula>B46=""</formula>
    </cfRule>
  </conditionalFormatting>
  <conditionalFormatting sqref="D47">
    <cfRule type="expression" dxfId="3412" priority="309">
      <formula>B47=""</formula>
    </cfRule>
  </conditionalFormatting>
  <conditionalFormatting sqref="D48">
    <cfRule type="expression" dxfId="3411" priority="308">
      <formula>B48=""</formula>
    </cfRule>
  </conditionalFormatting>
  <conditionalFormatting sqref="D49">
    <cfRule type="expression" dxfId="3410" priority="307">
      <formula>B49=""</formula>
    </cfRule>
  </conditionalFormatting>
  <conditionalFormatting sqref="E30 E32 E34 E36 E38 E40 E42 E44 E46 E48">
    <cfRule type="expression" dxfId="3409" priority="306">
      <formula>B30=""</formula>
    </cfRule>
  </conditionalFormatting>
  <conditionalFormatting sqref="E31 E33 E35 E37 E39 E41 E43 E45 E47 E49">
    <cfRule type="expression" dxfId="3408" priority="305">
      <formula>B31=""</formula>
    </cfRule>
  </conditionalFormatting>
  <conditionalFormatting sqref="E32:E42">
    <cfRule type="expression" dxfId="3407" priority="304">
      <formula>B32=""</formula>
    </cfRule>
  </conditionalFormatting>
  <conditionalFormatting sqref="E43">
    <cfRule type="expression" dxfId="3406" priority="303">
      <formula>B43=""</formula>
    </cfRule>
  </conditionalFormatting>
  <conditionalFormatting sqref="E44">
    <cfRule type="expression" dxfId="3405" priority="302">
      <formula>B44=""</formula>
    </cfRule>
  </conditionalFormatting>
  <conditionalFormatting sqref="E45">
    <cfRule type="expression" dxfId="3404" priority="301">
      <formula>B45=""</formula>
    </cfRule>
  </conditionalFormatting>
  <conditionalFormatting sqref="E46">
    <cfRule type="expression" dxfId="3403" priority="300">
      <formula>B46=""</formula>
    </cfRule>
  </conditionalFormatting>
  <conditionalFormatting sqref="E47">
    <cfRule type="expression" dxfId="3402" priority="299">
      <formula>B47=""</formula>
    </cfRule>
  </conditionalFormatting>
  <conditionalFormatting sqref="E48">
    <cfRule type="expression" dxfId="3401" priority="298">
      <formula>B48=""</formula>
    </cfRule>
  </conditionalFormatting>
  <conditionalFormatting sqref="E49">
    <cfRule type="expression" dxfId="3400" priority="297">
      <formula>B49=""</formula>
    </cfRule>
  </conditionalFormatting>
  <conditionalFormatting sqref="F30 F32 F34 F36 F38 F40 F42 F44 F46 F48">
    <cfRule type="expression" dxfId="3399" priority="296">
      <formula>B30=""</formula>
    </cfRule>
  </conditionalFormatting>
  <conditionalFormatting sqref="F31 F33 F35 F37 F39 F41 F43 F45 F47 F49">
    <cfRule type="expression" dxfId="3398" priority="295">
      <formula>B31=""</formula>
    </cfRule>
  </conditionalFormatting>
  <conditionalFormatting sqref="F32:F42">
    <cfRule type="expression" dxfId="3397" priority="294">
      <formula>B32=""</formula>
    </cfRule>
  </conditionalFormatting>
  <conditionalFormatting sqref="F43">
    <cfRule type="expression" dxfId="3396" priority="293">
      <formula>B43=""</formula>
    </cfRule>
  </conditionalFormatting>
  <conditionalFormatting sqref="F44">
    <cfRule type="expression" dxfId="3395" priority="292">
      <formula>B44=""</formula>
    </cfRule>
  </conditionalFormatting>
  <conditionalFormatting sqref="F45">
    <cfRule type="expression" dxfId="3394" priority="291">
      <formula>B45=""</formula>
    </cfRule>
  </conditionalFormatting>
  <conditionalFormatting sqref="F46">
    <cfRule type="expression" dxfId="3393" priority="290">
      <formula>B46=""</formula>
    </cfRule>
  </conditionalFormatting>
  <conditionalFormatting sqref="F47">
    <cfRule type="expression" dxfId="3392" priority="289">
      <formula>B47=""</formula>
    </cfRule>
  </conditionalFormatting>
  <conditionalFormatting sqref="F48">
    <cfRule type="expression" dxfId="3391" priority="288">
      <formula>B48=""</formula>
    </cfRule>
  </conditionalFormatting>
  <conditionalFormatting sqref="F49">
    <cfRule type="expression" dxfId="3390" priority="287">
      <formula>B49=""</formula>
    </cfRule>
  </conditionalFormatting>
  <conditionalFormatting sqref="E31 E33 E35 E37 E39 E41 E43 E45 E47 E49">
    <cfRule type="expression" dxfId="3389" priority="286">
      <formula>B31=""</formula>
    </cfRule>
  </conditionalFormatting>
  <conditionalFormatting sqref="E32:E42">
    <cfRule type="expression" dxfId="3388" priority="285">
      <formula>B32=""</formula>
    </cfRule>
  </conditionalFormatting>
  <conditionalFormatting sqref="E43">
    <cfRule type="expression" dxfId="3387" priority="284">
      <formula>B43=""</formula>
    </cfRule>
  </conditionalFormatting>
  <conditionalFormatting sqref="E44">
    <cfRule type="expression" dxfId="3386" priority="283">
      <formula>B44=""</formula>
    </cfRule>
  </conditionalFormatting>
  <conditionalFormatting sqref="E45">
    <cfRule type="expression" dxfId="3385" priority="282">
      <formula>B45=""</formula>
    </cfRule>
  </conditionalFormatting>
  <conditionalFormatting sqref="E46">
    <cfRule type="expression" dxfId="3384" priority="281">
      <formula>B46=""</formula>
    </cfRule>
  </conditionalFormatting>
  <conditionalFormatting sqref="E47">
    <cfRule type="expression" dxfId="3383" priority="280">
      <formula>B47=""</formula>
    </cfRule>
  </conditionalFormatting>
  <conditionalFormatting sqref="E48">
    <cfRule type="expression" dxfId="3382" priority="279">
      <formula>B48=""</formula>
    </cfRule>
  </conditionalFormatting>
  <conditionalFormatting sqref="E49">
    <cfRule type="expression" dxfId="3381" priority="278">
      <formula>B49=""</formula>
    </cfRule>
  </conditionalFormatting>
  <conditionalFormatting sqref="G30 G32 G34 G36 G38 G40 G42 G44 G46 G48">
    <cfRule type="expression" dxfId="3380" priority="277">
      <formula>B30=""</formula>
    </cfRule>
  </conditionalFormatting>
  <conditionalFormatting sqref="G31 G33 G35 G37 G39 G41 G43 G45 G47 G49">
    <cfRule type="expression" dxfId="3379" priority="276">
      <formula>B31=""</formula>
    </cfRule>
  </conditionalFormatting>
  <conditionalFormatting sqref="G32:G42">
    <cfRule type="expression" dxfId="3378" priority="275">
      <formula>B32=""</formula>
    </cfRule>
  </conditionalFormatting>
  <conditionalFormatting sqref="G43">
    <cfRule type="expression" dxfId="3377" priority="274">
      <formula>B43=""</formula>
    </cfRule>
  </conditionalFormatting>
  <conditionalFormatting sqref="G44">
    <cfRule type="expression" dxfId="3376" priority="273">
      <formula>B44=""</formula>
    </cfRule>
  </conditionalFormatting>
  <conditionalFormatting sqref="G45">
    <cfRule type="expression" dxfId="3375" priority="272">
      <formula>B45=""</formula>
    </cfRule>
  </conditionalFormatting>
  <conditionalFormatting sqref="G46">
    <cfRule type="expression" dxfId="3374" priority="271">
      <formula>B46=""</formula>
    </cfRule>
  </conditionalFormatting>
  <conditionalFormatting sqref="G47">
    <cfRule type="expression" dxfId="3373" priority="270">
      <formula>B47=""</formula>
    </cfRule>
  </conditionalFormatting>
  <conditionalFormatting sqref="G48">
    <cfRule type="expression" dxfId="3372" priority="269">
      <formula>B48=""</formula>
    </cfRule>
  </conditionalFormatting>
  <conditionalFormatting sqref="G49">
    <cfRule type="expression" dxfId="3371" priority="268">
      <formula>B49=""</formula>
    </cfRule>
  </conditionalFormatting>
  <conditionalFormatting sqref="H30 H32 H34 H36 H38 H40 H42 H44 H46 H48">
    <cfRule type="expression" dxfId="3370" priority="267">
      <formula>B30=""</formula>
    </cfRule>
  </conditionalFormatting>
  <conditionalFormatting sqref="H31 H33 H35 H37 H39 H41 H43 H45 H47 H49">
    <cfRule type="expression" dxfId="3369" priority="266">
      <formula>B31=""</formula>
    </cfRule>
  </conditionalFormatting>
  <conditionalFormatting sqref="H32:H42">
    <cfRule type="expression" dxfId="3368" priority="265">
      <formula>B32=""</formula>
    </cfRule>
  </conditionalFormatting>
  <conditionalFormatting sqref="H43">
    <cfRule type="expression" dxfId="3367" priority="264">
      <formula>B43=""</formula>
    </cfRule>
  </conditionalFormatting>
  <conditionalFormatting sqref="H44">
    <cfRule type="expression" dxfId="3366" priority="263">
      <formula>B44=""</formula>
    </cfRule>
  </conditionalFormatting>
  <conditionalFormatting sqref="H45">
    <cfRule type="expression" dxfId="3365" priority="262">
      <formula>B45=""</formula>
    </cfRule>
  </conditionalFormatting>
  <conditionalFormatting sqref="H46">
    <cfRule type="expression" dxfId="3364" priority="261">
      <formula>B46=""</formula>
    </cfRule>
  </conditionalFormatting>
  <conditionalFormatting sqref="H47">
    <cfRule type="expression" dxfId="3363" priority="260">
      <formula>B47=""</formula>
    </cfRule>
  </conditionalFormatting>
  <conditionalFormatting sqref="H48">
    <cfRule type="expression" dxfId="3362" priority="259">
      <formula>B48=""</formula>
    </cfRule>
  </conditionalFormatting>
  <conditionalFormatting sqref="H49">
    <cfRule type="expression" dxfId="3361" priority="258">
      <formula>B49=""</formula>
    </cfRule>
  </conditionalFormatting>
  <conditionalFormatting sqref="C30:C49">
    <cfRule type="expression" dxfId="3360" priority="257">
      <formula>B30=""</formula>
    </cfRule>
  </conditionalFormatting>
  <conditionalFormatting sqref="C31 C33 C35 C37 C39 C41 C43 C45 C47 C49">
    <cfRule type="expression" dxfId="3359" priority="256">
      <formula>B31=""</formula>
    </cfRule>
  </conditionalFormatting>
  <conditionalFormatting sqref="C32:C42">
    <cfRule type="expression" dxfId="3358" priority="255">
      <formula>B32=""</formula>
    </cfRule>
  </conditionalFormatting>
  <conditionalFormatting sqref="C43">
    <cfRule type="expression" dxfId="3357" priority="254">
      <formula>B43=""</formula>
    </cfRule>
  </conditionalFormatting>
  <conditionalFormatting sqref="C44">
    <cfRule type="expression" dxfId="3356" priority="253">
      <formula>B44=""</formula>
    </cfRule>
  </conditionalFormatting>
  <conditionalFormatting sqref="C45">
    <cfRule type="expression" dxfId="3355" priority="252">
      <formula>B45=""</formula>
    </cfRule>
  </conditionalFormatting>
  <conditionalFormatting sqref="C46">
    <cfRule type="expression" dxfId="3354" priority="251">
      <formula>B46=""</formula>
    </cfRule>
  </conditionalFormatting>
  <conditionalFormatting sqref="C47">
    <cfRule type="expression" dxfId="3353" priority="250">
      <formula>B47=""</formula>
    </cfRule>
  </conditionalFormatting>
  <conditionalFormatting sqref="C48">
    <cfRule type="expression" dxfId="3352" priority="249">
      <formula>B48=""</formula>
    </cfRule>
  </conditionalFormatting>
  <conditionalFormatting sqref="C49">
    <cfRule type="expression" dxfId="3351" priority="248">
      <formula>B49=""</formula>
    </cfRule>
  </conditionalFormatting>
  <conditionalFormatting sqref="C30 C32 C34 C36 C38 C40 C42 C44 C46 C48">
    <cfRule type="expression" dxfId="3350" priority="247">
      <formula>B30=""</formula>
    </cfRule>
  </conditionalFormatting>
  <conditionalFormatting sqref="C31 C33 C35 C37 C39 C41 C43 C45 C47 C49">
    <cfRule type="expression" dxfId="3349" priority="246">
      <formula>B31=""</formula>
    </cfRule>
  </conditionalFormatting>
  <conditionalFormatting sqref="C32:C42">
    <cfRule type="expression" dxfId="3348" priority="245">
      <formula>B32=""</formula>
    </cfRule>
  </conditionalFormatting>
  <conditionalFormatting sqref="C43">
    <cfRule type="expression" dxfId="3347" priority="244">
      <formula>B43=""</formula>
    </cfRule>
  </conditionalFormatting>
  <conditionalFormatting sqref="C44">
    <cfRule type="expression" dxfId="3346" priority="243">
      <formula>B44=""</formula>
    </cfRule>
  </conditionalFormatting>
  <conditionalFormatting sqref="C45">
    <cfRule type="expression" dxfId="3345" priority="242">
      <formula>B45=""</formula>
    </cfRule>
  </conditionalFormatting>
  <conditionalFormatting sqref="C46">
    <cfRule type="expression" dxfId="3344" priority="241">
      <formula>B46=""</formula>
    </cfRule>
  </conditionalFormatting>
  <conditionalFormatting sqref="C47">
    <cfRule type="expression" dxfId="3343" priority="240">
      <formula>B47=""</formula>
    </cfRule>
  </conditionalFormatting>
  <conditionalFormatting sqref="C48">
    <cfRule type="expression" dxfId="3342" priority="239">
      <formula>B48=""</formula>
    </cfRule>
  </conditionalFormatting>
  <conditionalFormatting sqref="C49">
    <cfRule type="expression" dxfId="3341" priority="238">
      <formula>B49=""</formula>
    </cfRule>
  </conditionalFormatting>
  <conditionalFormatting sqref="D30 D32 D34 D36 D38 D40 D42 D44 D46 D48">
    <cfRule type="expression" dxfId="3340" priority="237">
      <formula>B30=""</formula>
    </cfRule>
  </conditionalFormatting>
  <conditionalFormatting sqref="D31 D33 D35 D37 D39 D41 D43 D45 D47 D49">
    <cfRule type="expression" dxfId="3339" priority="236">
      <formula>B31=""</formula>
    </cfRule>
  </conditionalFormatting>
  <conditionalFormatting sqref="D32:D42">
    <cfRule type="expression" dxfId="3338" priority="235">
      <formula>B32=""</formula>
    </cfRule>
  </conditionalFormatting>
  <conditionalFormatting sqref="D43">
    <cfRule type="expression" dxfId="3337" priority="234">
      <formula>B43=""</formula>
    </cfRule>
  </conditionalFormatting>
  <conditionalFormatting sqref="D44">
    <cfRule type="expression" dxfId="3336" priority="233">
      <formula>B44=""</formula>
    </cfRule>
  </conditionalFormatting>
  <conditionalFormatting sqref="D45">
    <cfRule type="expression" dxfId="3335" priority="232">
      <formula>B45=""</formula>
    </cfRule>
  </conditionalFormatting>
  <conditionalFormatting sqref="D46">
    <cfRule type="expression" dxfId="3334" priority="231">
      <formula>B46=""</formula>
    </cfRule>
  </conditionalFormatting>
  <conditionalFormatting sqref="D47">
    <cfRule type="expression" dxfId="3333" priority="230">
      <formula>B47=""</formula>
    </cfRule>
  </conditionalFormatting>
  <conditionalFormatting sqref="D48">
    <cfRule type="expression" dxfId="3332" priority="229">
      <formula>B48=""</formula>
    </cfRule>
  </conditionalFormatting>
  <conditionalFormatting sqref="D49">
    <cfRule type="expression" dxfId="3331" priority="228">
      <formula>B49=""</formula>
    </cfRule>
  </conditionalFormatting>
  <conditionalFormatting sqref="E30:E49">
    <cfRule type="expression" dxfId="3330" priority="227">
      <formula>B30=""</formula>
    </cfRule>
  </conditionalFormatting>
  <conditionalFormatting sqref="E31 E33 E35 E37 E39 E41 E43 E45 E47 E49">
    <cfRule type="expression" dxfId="3329" priority="226">
      <formula>B31=""</formula>
    </cfRule>
  </conditionalFormatting>
  <conditionalFormatting sqref="E32:E42">
    <cfRule type="expression" dxfId="3328" priority="225">
      <formula>B32=""</formula>
    </cfRule>
  </conditionalFormatting>
  <conditionalFormatting sqref="E43">
    <cfRule type="expression" dxfId="3327" priority="224">
      <formula>B43=""</formula>
    </cfRule>
  </conditionalFormatting>
  <conditionalFormatting sqref="E44">
    <cfRule type="expression" dxfId="3326" priority="223">
      <formula>B44=""</formula>
    </cfRule>
  </conditionalFormatting>
  <conditionalFormatting sqref="E45">
    <cfRule type="expression" dxfId="3325" priority="222">
      <formula>B45=""</formula>
    </cfRule>
  </conditionalFormatting>
  <conditionalFormatting sqref="E46">
    <cfRule type="expression" dxfId="3324" priority="221">
      <formula>B46=""</formula>
    </cfRule>
  </conditionalFormatting>
  <conditionalFormatting sqref="E47">
    <cfRule type="expression" dxfId="3323" priority="220">
      <formula>B47=""</formula>
    </cfRule>
  </conditionalFormatting>
  <conditionalFormatting sqref="E48">
    <cfRule type="expression" dxfId="3322" priority="219">
      <formula>B48=""</formula>
    </cfRule>
  </conditionalFormatting>
  <conditionalFormatting sqref="E49">
    <cfRule type="expression" dxfId="3321" priority="218">
      <formula>B49=""</formula>
    </cfRule>
  </conditionalFormatting>
  <conditionalFormatting sqref="F30:F49">
    <cfRule type="expression" dxfId="3320" priority="217">
      <formula>B30=""</formula>
    </cfRule>
  </conditionalFormatting>
  <conditionalFormatting sqref="F31 F33 F35 F37 F39 F41 F43 F45 F47 F49">
    <cfRule type="expression" dxfId="3319" priority="216">
      <formula>B31=""</formula>
    </cfRule>
  </conditionalFormatting>
  <conditionalFormatting sqref="F32:F42">
    <cfRule type="expression" dxfId="3318" priority="215">
      <formula>B32=""</formula>
    </cfRule>
  </conditionalFormatting>
  <conditionalFormatting sqref="F43">
    <cfRule type="expression" dxfId="3317" priority="214">
      <formula>B43=""</formula>
    </cfRule>
  </conditionalFormatting>
  <conditionalFormatting sqref="F44">
    <cfRule type="expression" dxfId="3316" priority="213">
      <formula>B44=""</formula>
    </cfRule>
  </conditionalFormatting>
  <conditionalFormatting sqref="F45">
    <cfRule type="expression" dxfId="3315" priority="212">
      <formula>B45=""</formula>
    </cfRule>
  </conditionalFormatting>
  <conditionalFormatting sqref="F46">
    <cfRule type="expression" dxfId="3314" priority="211">
      <formula>B46=""</formula>
    </cfRule>
  </conditionalFormatting>
  <conditionalFormatting sqref="F47">
    <cfRule type="expression" dxfId="3313" priority="210">
      <formula>B47=""</formula>
    </cfRule>
  </conditionalFormatting>
  <conditionalFormatting sqref="F48">
    <cfRule type="expression" dxfId="3312" priority="209">
      <formula>B48=""</formula>
    </cfRule>
  </conditionalFormatting>
  <conditionalFormatting sqref="F49">
    <cfRule type="expression" dxfId="3311" priority="208">
      <formula>B49=""</formula>
    </cfRule>
  </conditionalFormatting>
  <conditionalFormatting sqref="E31 E33 E35 E37 E39 E41 E43 E45 E47 E49">
    <cfRule type="expression" dxfId="3310" priority="207">
      <formula>B31=""</formula>
    </cfRule>
  </conditionalFormatting>
  <conditionalFormatting sqref="E32:E42">
    <cfRule type="expression" dxfId="3309" priority="206">
      <formula>B32=""</formula>
    </cfRule>
  </conditionalFormatting>
  <conditionalFormatting sqref="E43">
    <cfRule type="expression" dxfId="3308" priority="205">
      <formula>B43=""</formula>
    </cfRule>
  </conditionalFormatting>
  <conditionalFormatting sqref="E44">
    <cfRule type="expression" dxfId="3307" priority="204">
      <formula>B44=""</formula>
    </cfRule>
  </conditionalFormatting>
  <conditionalFormatting sqref="E45">
    <cfRule type="expression" dxfId="3306" priority="203">
      <formula>B45=""</formula>
    </cfRule>
  </conditionalFormatting>
  <conditionalFormatting sqref="E46">
    <cfRule type="expression" dxfId="3305" priority="202">
      <formula>B46=""</formula>
    </cfRule>
  </conditionalFormatting>
  <conditionalFormatting sqref="E47">
    <cfRule type="expression" dxfId="3304" priority="201">
      <formula>B47=""</formula>
    </cfRule>
  </conditionalFormatting>
  <conditionalFormatting sqref="E48">
    <cfRule type="expression" dxfId="3303" priority="200">
      <formula>B48=""</formula>
    </cfRule>
  </conditionalFormatting>
  <conditionalFormatting sqref="E49">
    <cfRule type="expression" dxfId="3302" priority="199">
      <formula>B49=""</formula>
    </cfRule>
  </conditionalFormatting>
  <conditionalFormatting sqref="G30:G49">
    <cfRule type="expression" dxfId="3301" priority="198">
      <formula>B30=""</formula>
    </cfRule>
  </conditionalFormatting>
  <conditionalFormatting sqref="G31 G33 G35 G37 G39 G41 G43 G45 G47 G49">
    <cfRule type="expression" dxfId="3300" priority="197">
      <formula>B31=""</formula>
    </cfRule>
  </conditionalFormatting>
  <conditionalFormatting sqref="G32:G42">
    <cfRule type="expression" dxfId="3299" priority="196">
      <formula>B32=""</formula>
    </cfRule>
  </conditionalFormatting>
  <conditionalFormatting sqref="G43">
    <cfRule type="expression" dxfId="3298" priority="195">
      <formula>B43=""</formula>
    </cfRule>
  </conditionalFormatting>
  <conditionalFormatting sqref="G44">
    <cfRule type="expression" dxfId="3297" priority="194">
      <formula>B44=""</formula>
    </cfRule>
  </conditionalFormatting>
  <conditionalFormatting sqref="G45">
    <cfRule type="expression" dxfId="3296" priority="193">
      <formula>B45=""</formula>
    </cfRule>
  </conditionalFormatting>
  <conditionalFormatting sqref="G46">
    <cfRule type="expression" dxfId="3295" priority="192">
      <formula>B46=""</formula>
    </cfRule>
  </conditionalFormatting>
  <conditionalFormatting sqref="G47">
    <cfRule type="expression" dxfId="3294" priority="191">
      <formula>B47=""</formula>
    </cfRule>
  </conditionalFormatting>
  <conditionalFormatting sqref="G48">
    <cfRule type="expression" dxfId="3293" priority="190">
      <formula>B48=""</formula>
    </cfRule>
  </conditionalFormatting>
  <conditionalFormatting sqref="G49">
    <cfRule type="expression" dxfId="3292" priority="189">
      <formula>B49=""</formula>
    </cfRule>
  </conditionalFormatting>
  <conditionalFormatting sqref="H30 H32 H34 H36 H38 H40 H42 H44 H46 H48">
    <cfRule type="expression" dxfId="3291" priority="188">
      <formula>B30=""</formula>
    </cfRule>
  </conditionalFormatting>
  <conditionalFormatting sqref="H31 H33 H35 H37 H39 H41 H43 H45 H47 H49">
    <cfRule type="expression" dxfId="3290" priority="187">
      <formula>B31=""</formula>
    </cfRule>
  </conditionalFormatting>
  <conditionalFormatting sqref="H32:H42">
    <cfRule type="expression" dxfId="3289" priority="186">
      <formula>B32=""</formula>
    </cfRule>
  </conditionalFormatting>
  <conditionalFormatting sqref="H43">
    <cfRule type="expression" dxfId="3288" priority="185">
      <formula>B43=""</formula>
    </cfRule>
  </conditionalFormatting>
  <conditionalFormatting sqref="H44">
    <cfRule type="expression" dxfId="3287" priority="184">
      <formula>B44=""</formula>
    </cfRule>
  </conditionalFormatting>
  <conditionalFormatting sqref="H45">
    <cfRule type="expression" dxfId="3286" priority="183">
      <formula>B45=""</formula>
    </cfRule>
  </conditionalFormatting>
  <conditionalFormatting sqref="H46">
    <cfRule type="expression" dxfId="3285" priority="182">
      <formula>B46=""</formula>
    </cfRule>
  </conditionalFormatting>
  <conditionalFormatting sqref="H47">
    <cfRule type="expression" dxfId="3284" priority="181">
      <formula>B47=""</formula>
    </cfRule>
  </conditionalFormatting>
  <conditionalFormatting sqref="H48">
    <cfRule type="expression" dxfId="3283" priority="180">
      <formula>B48=""</formula>
    </cfRule>
  </conditionalFormatting>
  <conditionalFormatting sqref="H49">
    <cfRule type="expression" dxfId="3282" priority="179">
      <formula>B49=""</formula>
    </cfRule>
  </conditionalFormatting>
  <conditionalFormatting sqref="F30 F32 F34 F36 F38 F40 F42 F44 F46 F48">
    <cfRule type="expression" dxfId="3281" priority="178">
      <formula>B30=""</formula>
    </cfRule>
  </conditionalFormatting>
  <conditionalFormatting sqref="F31 F33 F35 F37 F39 F41 F43 F45 F47 F49">
    <cfRule type="expression" dxfId="3280" priority="177">
      <formula>B31=""</formula>
    </cfRule>
  </conditionalFormatting>
  <conditionalFormatting sqref="F32:F42">
    <cfRule type="expression" dxfId="3279" priority="176">
      <formula>B32=""</formula>
    </cfRule>
  </conditionalFormatting>
  <conditionalFormatting sqref="F43">
    <cfRule type="expression" dxfId="3278" priority="175">
      <formula>B43=""</formula>
    </cfRule>
  </conditionalFormatting>
  <conditionalFormatting sqref="F44">
    <cfRule type="expression" dxfId="3277" priority="174">
      <formula>B44=""</formula>
    </cfRule>
  </conditionalFormatting>
  <conditionalFormatting sqref="F45">
    <cfRule type="expression" dxfId="3276" priority="173">
      <formula>B45=""</formula>
    </cfRule>
  </conditionalFormatting>
  <conditionalFormatting sqref="F46">
    <cfRule type="expression" dxfId="3275" priority="172">
      <formula>B46=""</formula>
    </cfRule>
  </conditionalFormatting>
  <conditionalFormatting sqref="F47">
    <cfRule type="expression" dxfId="3274" priority="171">
      <formula>B47=""</formula>
    </cfRule>
  </conditionalFormatting>
  <conditionalFormatting sqref="F48">
    <cfRule type="expression" dxfId="3273" priority="170">
      <formula>B48=""</formula>
    </cfRule>
  </conditionalFormatting>
  <conditionalFormatting sqref="F49">
    <cfRule type="expression" dxfId="3272" priority="169">
      <formula>B49=""</formula>
    </cfRule>
  </conditionalFormatting>
  <conditionalFormatting sqref="C52:C71">
    <cfRule type="expression" dxfId="3271" priority="168">
      <formula>B52=""</formula>
    </cfRule>
  </conditionalFormatting>
  <conditionalFormatting sqref="C53 C55 C57 C59 C61 C63 C65 C67 C69 C71">
    <cfRule type="expression" dxfId="3270" priority="167">
      <formula>B53=""</formula>
    </cfRule>
  </conditionalFormatting>
  <conditionalFormatting sqref="C54:C64">
    <cfRule type="expression" dxfId="3269" priority="166">
      <formula>B54=""</formula>
    </cfRule>
  </conditionalFormatting>
  <conditionalFormatting sqref="C65">
    <cfRule type="expression" dxfId="3268" priority="165">
      <formula>B65=""</formula>
    </cfRule>
  </conditionalFormatting>
  <conditionalFormatting sqref="C66">
    <cfRule type="expression" dxfId="3267" priority="164">
      <formula>B66=""</formula>
    </cfRule>
  </conditionalFormatting>
  <conditionalFormatting sqref="C67">
    <cfRule type="expression" dxfId="3266" priority="163">
      <formula>B67=""</formula>
    </cfRule>
  </conditionalFormatting>
  <conditionalFormatting sqref="C68">
    <cfRule type="expression" dxfId="3265" priority="162">
      <formula>B68=""</formula>
    </cfRule>
  </conditionalFormatting>
  <conditionalFormatting sqref="C69">
    <cfRule type="expression" dxfId="3264" priority="161">
      <formula>B69=""</formula>
    </cfRule>
  </conditionalFormatting>
  <conditionalFormatting sqref="C70">
    <cfRule type="expression" dxfId="3263" priority="160">
      <formula>B70=""</formula>
    </cfRule>
  </conditionalFormatting>
  <conditionalFormatting sqref="C71">
    <cfRule type="expression" dxfId="3262" priority="159">
      <formula>B71=""</formula>
    </cfRule>
  </conditionalFormatting>
  <conditionalFormatting sqref="C71">
    <cfRule type="expression" dxfId="3261" priority="158">
      <formula>B71=""</formula>
    </cfRule>
  </conditionalFormatting>
  <conditionalFormatting sqref="C52:C71">
    <cfRule type="expression" dxfId="3260" priority="157">
      <formula>B52=""</formula>
    </cfRule>
  </conditionalFormatting>
  <conditionalFormatting sqref="C53 C55 C57 C59 C61 C63 C65 C67 C69 C71">
    <cfRule type="expression" dxfId="3259" priority="156">
      <formula>B53=""</formula>
    </cfRule>
  </conditionalFormatting>
  <conditionalFormatting sqref="C54:C64">
    <cfRule type="expression" dxfId="3258" priority="155">
      <formula>B54=""</formula>
    </cfRule>
  </conditionalFormatting>
  <conditionalFormatting sqref="C65">
    <cfRule type="expression" dxfId="3257" priority="154">
      <formula>B65=""</formula>
    </cfRule>
  </conditionalFormatting>
  <conditionalFormatting sqref="C66">
    <cfRule type="expression" dxfId="3256" priority="153">
      <formula>B66=""</formula>
    </cfRule>
  </conditionalFormatting>
  <conditionalFormatting sqref="C67">
    <cfRule type="expression" dxfId="3255" priority="152">
      <formula>B67=""</formula>
    </cfRule>
  </conditionalFormatting>
  <conditionalFormatting sqref="C68">
    <cfRule type="expression" dxfId="3254" priority="151">
      <formula>B68=""</formula>
    </cfRule>
  </conditionalFormatting>
  <conditionalFormatting sqref="C69">
    <cfRule type="expression" dxfId="3253" priority="150">
      <formula>B69=""</formula>
    </cfRule>
  </conditionalFormatting>
  <conditionalFormatting sqref="C70">
    <cfRule type="expression" dxfId="3252" priority="149">
      <formula>B70=""</formula>
    </cfRule>
  </conditionalFormatting>
  <conditionalFormatting sqref="C71">
    <cfRule type="expression" dxfId="3251" priority="148">
      <formula>B71=""</formula>
    </cfRule>
  </conditionalFormatting>
  <conditionalFormatting sqref="C52:C71">
    <cfRule type="expression" dxfId="3250" priority="147">
      <formula>B52=""</formula>
    </cfRule>
  </conditionalFormatting>
  <conditionalFormatting sqref="C53 C55 C57 C59 C61 C63 C65 C67 C69 C71">
    <cfRule type="expression" dxfId="3249" priority="146">
      <formula>B53=""</formula>
    </cfRule>
  </conditionalFormatting>
  <conditionalFormatting sqref="C54:C64">
    <cfRule type="expression" dxfId="3248" priority="145">
      <formula>B54=""</formula>
    </cfRule>
  </conditionalFormatting>
  <conditionalFormatting sqref="C65">
    <cfRule type="expression" dxfId="3247" priority="144">
      <formula>B65=""</formula>
    </cfRule>
  </conditionalFormatting>
  <conditionalFormatting sqref="C66">
    <cfRule type="expression" dxfId="3246" priority="143">
      <formula>B66=""</formula>
    </cfRule>
  </conditionalFormatting>
  <conditionalFormatting sqref="C67">
    <cfRule type="expression" dxfId="3245" priority="142">
      <formula>B67=""</formula>
    </cfRule>
  </conditionalFormatting>
  <conditionalFormatting sqref="C68">
    <cfRule type="expression" dxfId="3244" priority="141">
      <formula>B68=""</formula>
    </cfRule>
  </conditionalFormatting>
  <conditionalFormatting sqref="C69">
    <cfRule type="expression" dxfId="3243" priority="140">
      <formula>B69=""</formula>
    </cfRule>
  </conditionalFormatting>
  <conditionalFormatting sqref="C70">
    <cfRule type="expression" dxfId="3242" priority="139">
      <formula>B70=""</formula>
    </cfRule>
  </conditionalFormatting>
  <conditionalFormatting sqref="C71">
    <cfRule type="expression" dxfId="3241" priority="138">
      <formula>B71=""</formula>
    </cfRule>
  </conditionalFormatting>
  <conditionalFormatting sqref="C52:C71">
    <cfRule type="expression" dxfId="3240" priority="137">
      <formula>B52=""</formula>
    </cfRule>
  </conditionalFormatting>
  <conditionalFormatting sqref="C53 C55 C57 C59 C61 C63 C65 C67 C69 C71">
    <cfRule type="expression" dxfId="3239" priority="136">
      <formula>B53=""</formula>
    </cfRule>
  </conditionalFormatting>
  <conditionalFormatting sqref="C54:C64">
    <cfRule type="expression" dxfId="3238" priority="135">
      <formula>B54=""</formula>
    </cfRule>
  </conditionalFormatting>
  <conditionalFormatting sqref="C65">
    <cfRule type="expression" dxfId="3237" priority="134">
      <formula>B65=""</formula>
    </cfRule>
  </conditionalFormatting>
  <conditionalFormatting sqref="C66">
    <cfRule type="expression" dxfId="3236" priority="133">
      <formula>B66=""</formula>
    </cfRule>
  </conditionalFormatting>
  <conditionalFormatting sqref="C67">
    <cfRule type="expression" dxfId="3235" priority="132">
      <formula>B67=""</formula>
    </cfRule>
  </conditionalFormatting>
  <conditionalFormatting sqref="C68">
    <cfRule type="expression" dxfId="3234" priority="131">
      <formula>B68=""</formula>
    </cfRule>
  </conditionalFormatting>
  <conditionalFormatting sqref="C69">
    <cfRule type="expression" dxfId="3233" priority="130">
      <formula>B69=""</formula>
    </cfRule>
  </conditionalFormatting>
  <conditionalFormatting sqref="C70">
    <cfRule type="expression" dxfId="3232" priority="129">
      <formula>B70=""</formula>
    </cfRule>
  </conditionalFormatting>
  <conditionalFormatting sqref="C71">
    <cfRule type="expression" dxfId="3231" priority="128">
      <formula>B71=""</formula>
    </cfRule>
  </conditionalFormatting>
  <conditionalFormatting sqref="C52 C54 C56 C58 C60 C62 C64 C66 C68 C70">
    <cfRule type="expression" dxfId="3230" priority="127">
      <formula>B52=""</formula>
    </cfRule>
  </conditionalFormatting>
  <conditionalFormatting sqref="C53 C55 C57 C59 C61 C63 C65 C67 C69 C71">
    <cfRule type="expression" dxfId="3229" priority="126">
      <formula>B53=""</formula>
    </cfRule>
  </conditionalFormatting>
  <conditionalFormatting sqref="C54:C64">
    <cfRule type="expression" dxfId="3228" priority="125">
      <formula>B54=""</formula>
    </cfRule>
  </conditionalFormatting>
  <conditionalFormatting sqref="C65">
    <cfRule type="expression" dxfId="3227" priority="124">
      <formula>B65=""</formula>
    </cfRule>
  </conditionalFormatting>
  <conditionalFormatting sqref="C66">
    <cfRule type="expression" dxfId="3226" priority="123">
      <formula>B66=""</formula>
    </cfRule>
  </conditionalFormatting>
  <conditionalFormatting sqref="C67">
    <cfRule type="expression" dxfId="3225" priority="122">
      <formula>B67=""</formula>
    </cfRule>
  </conditionalFormatting>
  <conditionalFormatting sqref="C68">
    <cfRule type="expression" dxfId="3224" priority="121">
      <formula>B68=""</formula>
    </cfRule>
  </conditionalFormatting>
  <conditionalFormatting sqref="C69">
    <cfRule type="expression" dxfId="3223" priority="120">
      <formula>B69=""</formula>
    </cfRule>
  </conditionalFormatting>
  <conditionalFormatting sqref="C70">
    <cfRule type="expression" dxfId="3222" priority="119">
      <formula>B70=""</formula>
    </cfRule>
  </conditionalFormatting>
  <conditionalFormatting sqref="C71">
    <cfRule type="expression" dxfId="3221" priority="118">
      <formula>B71=""</formula>
    </cfRule>
  </conditionalFormatting>
  <conditionalFormatting sqref="C74:C93">
    <cfRule type="expression" dxfId="3220" priority="117">
      <formula>B74=""</formula>
    </cfRule>
  </conditionalFormatting>
  <conditionalFormatting sqref="C75 C77 C79 C81 C83 C85 C87 C89 C91 C93">
    <cfRule type="expression" dxfId="3219" priority="116">
      <formula>B75=""</formula>
    </cfRule>
  </conditionalFormatting>
  <conditionalFormatting sqref="C76:C86">
    <cfRule type="expression" dxfId="3218" priority="115">
      <formula>B76=""</formula>
    </cfRule>
  </conditionalFormatting>
  <conditionalFormatting sqref="C87">
    <cfRule type="expression" dxfId="3217" priority="114">
      <formula>B87=""</formula>
    </cfRule>
  </conditionalFormatting>
  <conditionalFormatting sqref="C88">
    <cfRule type="expression" dxfId="3216" priority="113">
      <formula>B88=""</formula>
    </cfRule>
  </conditionalFormatting>
  <conditionalFormatting sqref="C89">
    <cfRule type="expression" dxfId="3215" priority="112">
      <formula>B89=""</formula>
    </cfRule>
  </conditionalFormatting>
  <conditionalFormatting sqref="C90">
    <cfRule type="expression" dxfId="3214" priority="111">
      <formula>B90=""</formula>
    </cfRule>
  </conditionalFormatting>
  <conditionalFormatting sqref="C91">
    <cfRule type="expression" dxfId="3213" priority="110">
      <formula>B91=""</formula>
    </cfRule>
  </conditionalFormatting>
  <conditionalFormatting sqref="C92">
    <cfRule type="expression" dxfId="3212" priority="109">
      <formula>B92=""</formula>
    </cfRule>
  </conditionalFormatting>
  <conditionalFormatting sqref="C93">
    <cfRule type="expression" dxfId="3211" priority="108">
      <formula>B93=""</formula>
    </cfRule>
  </conditionalFormatting>
  <conditionalFormatting sqref="C93">
    <cfRule type="expression" dxfId="3210" priority="107">
      <formula>B93=""</formula>
    </cfRule>
  </conditionalFormatting>
  <conditionalFormatting sqref="C74:C93">
    <cfRule type="expression" dxfId="3209" priority="106">
      <formula>B74=""</formula>
    </cfRule>
  </conditionalFormatting>
  <conditionalFormatting sqref="C75 C77 C79 C81 C83 C85 C87 C89 C91 C93">
    <cfRule type="expression" dxfId="3208" priority="105">
      <formula>B75=""</formula>
    </cfRule>
  </conditionalFormatting>
  <conditionalFormatting sqref="C76:C86">
    <cfRule type="expression" dxfId="3207" priority="104">
      <formula>B76=""</formula>
    </cfRule>
  </conditionalFormatting>
  <conditionalFormatting sqref="C87">
    <cfRule type="expression" dxfId="3206" priority="103">
      <formula>B87=""</formula>
    </cfRule>
  </conditionalFormatting>
  <conditionalFormatting sqref="C88">
    <cfRule type="expression" dxfId="3205" priority="102">
      <formula>B88=""</formula>
    </cfRule>
  </conditionalFormatting>
  <conditionalFormatting sqref="C89">
    <cfRule type="expression" dxfId="3204" priority="101">
      <formula>B89=""</formula>
    </cfRule>
  </conditionalFormatting>
  <conditionalFormatting sqref="C90">
    <cfRule type="expression" dxfId="3203" priority="100">
      <formula>B90=""</formula>
    </cfRule>
  </conditionalFormatting>
  <conditionalFormatting sqref="C91">
    <cfRule type="expression" dxfId="3202" priority="99">
      <formula>B91=""</formula>
    </cfRule>
  </conditionalFormatting>
  <conditionalFormatting sqref="C92">
    <cfRule type="expression" dxfId="3201" priority="98">
      <formula>B92=""</formula>
    </cfRule>
  </conditionalFormatting>
  <conditionalFormatting sqref="C93">
    <cfRule type="expression" dxfId="3200" priority="97">
      <formula>B93=""</formula>
    </cfRule>
  </conditionalFormatting>
  <conditionalFormatting sqref="C74:C93">
    <cfRule type="expression" dxfId="3199" priority="96">
      <formula>B74=""</formula>
    </cfRule>
  </conditionalFormatting>
  <conditionalFormatting sqref="C75 C77 C79 C81 C83 C85 C87 C89 C91 C93">
    <cfRule type="expression" dxfId="3198" priority="95">
      <formula>B75=""</formula>
    </cfRule>
  </conditionalFormatting>
  <conditionalFormatting sqref="C76:C86">
    <cfRule type="expression" dxfId="3197" priority="94">
      <formula>B76=""</formula>
    </cfRule>
  </conditionalFormatting>
  <conditionalFormatting sqref="C87">
    <cfRule type="expression" dxfId="3196" priority="93">
      <formula>B87=""</formula>
    </cfRule>
  </conditionalFormatting>
  <conditionalFormatting sqref="C88">
    <cfRule type="expression" dxfId="3195" priority="92">
      <formula>B88=""</formula>
    </cfRule>
  </conditionalFormatting>
  <conditionalFormatting sqref="C89">
    <cfRule type="expression" dxfId="3194" priority="91">
      <formula>B89=""</formula>
    </cfRule>
  </conditionalFormatting>
  <conditionalFormatting sqref="C90">
    <cfRule type="expression" dxfId="3193" priority="90">
      <formula>B90=""</formula>
    </cfRule>
  </conditionalFormatting>
  <conditionalFormatting sqref="C91">
    <cfRule type="expression" dxfId="3192" priority="89">
      <formula>B91=""</formula>
    </cfRule>
  </conditionalFormatting>
  <conditionalFormatting sqref="C92">
    <cfRule type="expression" dxfId="3191" priority="88">
      <formula>B92=""</formula>
    </cfRule>
  </conditionalFormatting>
  <conditionalFormatting sqref="C93">
    <cfRule type="expression" dxfId="3190" priority="87">
      <formula>B93=""</formula>
    </cfRule>
  </conditionalFormatting>
  <conditionalFormatting sqref="C93">
    <cfRule type="expression" dxfId="3189" priority="86">
      <formula>B93=""</formula>
    </cfRule>
  </conditionalFormatting>
  <conditionalFormatting sqref="C74:C93">
    <cfRule type="expression" dxfId="3188" priority="85">
      <formula>B74=""</formula>
    </cfRule>
  </conditionalFormatting>
  <conditionalFormatting sqref="C75 C77 C79 C81 C83 C85 C87 C89 C91 C93">
    <cfRule type="expression" dxfId="3187" priority="84">
      <formula>B75=""</formula>
    </cfRule>
  </conditionalFormatting>
  <conditionalFormatting sqref="C76:C86">
    <cfRule type="expression" dxfId="3186" priority="83">
      <formula>B76=""</formula>
    </cfRule>
  </conditionalFormatting>
  <conditionalFormatting sqref="C87">
    <cfRule type="expression" dxfId="3185" priority="82">
      <formula>B87=""</formula>
    </cfRule>
  </conditionalFormatting>
  <conditionalFormatting sqref="C88">
    <cfRule type="expression" dxfId="3184" priority="81">
      <formula>B88=""</formula>
    </cfRule>
  </conditionalFormatting>
  <conditionalFormatting sqref="C89">
    <cfRule type="expression" dxfId="3183" priority="80">
      <formula>B89=""</formula>
    </cfRule>
  </conditionalFormatting>
  <conditionalFormatting sqref="C90">
    <cfRule type="expression" dxfId="3182" priority="79">
      <formula>B90=""</formula>
    </cfRule>
  </conditionalFormatting>
  <conditionalFormatting sqref="C91">
    <cfRule type="expression" dxfId="3181" priority="78">
      <formula>B91=""</formula>
    </cfRule>
  </conditionalFormatting>
  <conditionalFormatting sqref="C92">
    <cfRule type="expression" dxfId="3180" priority="77">
      <formula>B92=""</formula>
    </cfRule>
  </conditionalFormatting>
  <conditionalFormatting sqref="C93">
    <cfRule type="expression" dxfId="3179" priority="76">
      <formula>B93=""</formula>
    </cfRule>
  </conditionalFormatting>
  <conditionalFormatting sqref="C74:C93">
    <cfRule type="expression" dxfId="3178" priority="75">
      <formula>B74=""</formula>
    </cfRule>
  </conditionalFormatting>
  <conditionalFormatting sqref="C75 C77 C79 C81 C83 C85 C87 C89 C91 C93">
    <cfRule type="expression" dxfId="3177" priority="74">
      <formula>B75=""</formula>
    </cfRule>
  </conditionalFormatting>
  <conditionalFormatting sqref="C76:C86">
    <cfRule type="expression" dxfId="3176" priority="73">
      <formula>B76=""</formula>
    </cfRule>
  </conditionalFormatting>
  <conditionalFormatting sqref="C87">
    <cfRule type="expression" dxfId="3175" priority="72">
      <formula>B87=""</formula>
    </cfRule>
  </conditionalFormatting>
  <conditionalFormatting sqref="C88">
    <cfRule type="expression" dxfId="3174" priority="71">
      <formula>B88=""</formula>
    </cfRule>
  </conditionalFormatting>
  <conditionalFormatting sqref="C89">
    <cfRule type="expression" dxfId="3173" priority="70">
      <formula>B89=""</formula>
    </cfRule>
  </conditionalFormatting>
  <conditionalFormatting sqref="C90">
    <cfRule type="expression" dxfId="3172" priority="69">
      <formula>B90=""</formula>
    </cfRule>
  </conditionalFormatting>
  <conditionalFormatting sqref="C91">
    <cfRule type="expression" dxfId="3171" priority="68">
      <formula>B91=""</formula>
    </cfRule>
  </conditionalFormatting>
  <conditionalFormatting sqref="C92">
    <cfRule type="expression" dxfId="3170" priority="67">
      <formula>B92=""</formula>
    </cfRule>
  </conditionalFormatting>
  <conditionalFormatting sqref="C93">
    <cfRule type="expression" dxfId="3169" priority="66">
      <formula>B93=""</formula>
    </cfRule>
  </conditionalFormatting>
  <conditionalFormatting sqref="C74:C93">
    <cfRule type="expression" dxfId="3168" priority="65">
      <formula>B74=""</formula>
    </cfRule>
  </conditionalFormatting>
  <conditionalFormatting sqref="C75 C77 C79 C81 C83 C85 C87 C89 C91 C93">
    <cfRule type="expression" dxfId="3167" priority="64">
      <formula>B75=""</formula>
    </cfRule>
  </conditionalFormatting>
  <conditionalFormatting sqref="C76:C86">
    <cfRule type="expression" dxfId="3166" priority="63">
      <formula>B76=""</formula>
    </cfRule>
  </conditionalFormatting>
  <conditionalFormatting sqref="C87">
    <cfRule type="expression" dxfId="3165" priority="62">
      <formula>B87=""</formula>
    </cfRule>
  </conditionalFormatting>
  <conditionalFormatting sqref="C88">
    <cfRule type="expression" dxfId="3164" priority="61">
      <formula>B88=""</formula>
    </cfRule>
  </conditionalFormatting>
  <conditionalFormatting sqref="C89">
    <cfRule type="expression" dxfId="3163" priority="60">
      <formula>B89=""</formula>
    </cfRule>
  </conditionalFormatting>
  <conditionalFormatting sqref="C90">
    <cfRule type="expression" dxfId="3162" priority="59">
      <formula>B90=""</formula>
    </cfRule>
  </conditionalFormatting>
  <conditionalFormatting sqref="C91">
    <cfRule type="expression" dxfId="3161" priority="58">
      <formula>B91=""</formula>
    </cfRule>
  </conditionalFormatting>
  <conditionalFormatting sqref="C92">
    <cfRule type="expression" dxfId="3160" priority="57">
      <formula>B92=""</formula>
    </cfRule>
  </conditionalFormatting>
  <conditionalFormatting sqref="C93">
    <cfRule type="expression" dxfId="3159" priority="56">
      <formula>B93=""</formula>
    </cfRule>
  </conditionalFormatting>
  <conditionalFormatting sqref="C74 C76 C78 C80 C82 C84 C86 C88 C90 C92">
    <cfRule type="expression" dxfId="3158" priority="55">
      <formula>B74=""</formula>
    </cfRule>
  </conditionalFormatting>
  <conditionalFormatting sqref="C75 C77 C79 C81 C83 C85 C87 C89 C91 C93">
    <cfRule type="expression" dxfId="3157" priority="54">
      <formula>B75=""</formula>
    </cfRule>
  </conditionalFormatting>
  <conditionalFormatting sqref="C76:C86">
    <cfRule type="expression" dxfId="3156" priority="53">
      <formula>B76=""</formula>
    </cfRule>
  </conditionalFormatting>
  <conditionalFormatting sqref="C87">
    <cfRule type="expression" dxfId="3155" priority="52">
      <formula>B87=""</formula>
    </cfRule>
  </conditionalFormatting>
  <conditionalFormatting sqref="C88">
    <cfRule type="expression" dxfId="3154" priority="51">
      <formula>B88=""</formula>
    </cfRule>
  </conditionalFormatting>
  <conditionalFormatting sqref="C89">
    <cfRule type="expression" dxfId="3153" priority="50">
      <formula>B89=""</formula>
    </cfRule>
  </conditionalFormatting>
  <conditionalFormatting sqref="C90">
    <cfRule type="expression" dxfId="3152" priority="49">
      <formula>B90=""</formula>
    </cfRule>
  </conditionalFormatting>
  <conditionalFormatting sqref="C91">
    <cfRule type="expression" dxfId="3151" priority="48">
      <formula>B91=""</formula>
    </cfRule>
  </conditionalFormatting>
  <conditionalFormatting sqref="C92">
    <cfRule type="expression" dxfId="3150" priority="47">
      <formula>B92=""</formula>
    </cfRule>
  </conditionalFormatting>
  <conditionalFormatting sqref="C93">
    <cfRule type="expression" dxfId="3149" priority="46">
      <formula>B93=""</formula>
    </cfRule>
  </conditionalFormatting>
  <conditionalFormatting sqref="B8:B27">
    <cfRule type="containsBlanks" dxfId="3148" priority="45">
      <formula>LEN(TRIM(B8))=0</formula>
    </cfRule>
  </conditionalFormatting>
  <conditionalFormatting sqref="C8:C27">
    <cfRule type="expression" dxfId="3147" priority="44">
      <formula>B8=""</formula>
    </cfRule>
  </conditionalFormatting>
  <conditionalFormatting sqref="C9 C11 C13 C15 C17 C19 C21 C23 C25 C27">
    <cfRule type="expression" dxfId="3146" priority="43">
      <formula>B9=""</formula>
    </cfRule>
  </conditionalFormatting>
  <conditionalFormatting sqref="C8:C27">
    <cfRule type="expression" dxfId="3145" priority="42">
      <formula>B8=""</formula>
    </cfRule>
  </conditionalFormatting>
  <conditionalFormatting sqref="C9 C11 C13 C15 C17 C19 C21 C23 C25 C27">
    <cfRule type="expression" dxfId="3144" priority="41">
      <formula>B9=""</formula>
    </cfRule>
  </conditionalFormatting>
  <conditionalFormatting sqref="C8 C10 C12 C14 C16 C18 C20 C22 C24 C26">
    <cfRule type="expression" dxfId="3143" priority="40">
      <formula>B8=""</formula>
    </cfRule>
  </conditionalFormatting>
  <conditionalFormatting sqref="C9 C11 C13 C15 C17 C19 C21 C23 C25 C27">
    <cfRule type="expression" dxfId="3142" priority="39">
      <formula>B9=""</formula>
    </cfRule>
  </conditionalFormatting>
  <conditionalFormatting sqref="B8:B27">
    <cfRule type="containsBlanks" dxfId="3141" priority="38">
      <formula>LEN(TRIM(B8))=0</formula>
    </cfRule>
  </conditionalFormatting>
  <conditionalFormatting sqref="C8:C27">
    <cfRule type="expression" dxfId="3140" priority="37">
      <formula>B8=""</formula>
    </cfRule>
  </conditionalFormatting>
  <conditionalFormatting sqref="C9 C11 C13 C15 C17 C19 C21 C23 C25 C27">
    <cfRule type="expression" dxfId="3139" priority="36">
      <formula>B9=""</formula>
    </cfRule>
  </conditionalFormatting>
  <conditionalFormatting sqref="C8:C27">
    <cfRule type="expression" dxfId="3138" priority="35">
      <formula>B8=""</formula>
    </cfRule>
  </conditionalFormatting>
  <conditionalFormatting sqref="C9 C11 C13 C15 C17 C19 C21 C23 C25 C27">
    <cfRule type="expression" dxfId="3137" priority="34">
      <formula>B9=""</formula>
    </cfRule>
  </conditionalFormatting>
  <conditionalFormatting sqref="C8 C10 C12 C14 C16 C18 C20 C22 C24 C26">
    <cfRule type="expression" dxfId="3136" priority="33">
      <formula>B8=""</formula>
    </cfRule>
  </conditionalFormatting>
  <conditionalFormatting sqref="C9 C11 C13 C15 C17 C19 C21 C23 C25 C27">
    <cfRule type="expression" dxfId="3135" priority="32">
      <formula>B9=""</formula>
    </cfRule>
  </conditionalFormatting>
  <conditionalFormatting sqref="B8:B27">
    <cfRule type="containsBlanks" dxfId="3134" priority="31">
      <formula>LEN(TRIM(B8))=0</formula>
    </cfRule>
  </conditionalFormatting>
  <conditionalFormatting sqref="C8:C27">
    <cfRule type="expression" dxfId="3133" priority="30">
      <formula>B8=""</formula>
    </cfRule>
  </conditionalFormatting>
  <conditionalFormatting sqref="C9 C11 C13 C15 C17 C19 C21 C23 C25 C27">
    <cfRule type="expression" dxfId="3132" priority="29">
      <formula>B9=""</formula>
    </cfRule>
  </conditionalFormatting>
  <conditionalFormatting sqref="C8:C27">
    <cfRule type="expression" dxfId="3131" priority="28">
      <formula>B8=""</formula>
    </cfRule>
  </conditionalFormatting>
  <conditionalFormatting sqref="C9 C11 C13 C15 C17 C19 C21 C23 C25 C27">
    <cfRule type="expression" dxfId="3130" priority="27">
      <formula>B9=""</formula>
    </cfRule>
  </conditionalFormatting>
  <conditionalFormatting sqref="C8 C10 C12 C14 C16 C18 C20 C22 C24 C26">
    <cfRule type="expression" dxfId="3129" priority="26">
      <formula>B8=""</formula>
    </cfRule>
  </conditionalFormatting>
  <conditionalFormatting sqref="C9 C11 C13 C15 C17 C19 C21 C23 C25 C27">
    <cfRule type="expression" dxfId="3128" priority="25">
      <formula>B9=""</formula>
    </cfRule>
  </conditionalFormatting>
  <conditionalFormatting sqref="B8:B27">
    <cfRule type="containsBlanks" dxfId="3127" priority="24">
      <formula>LEN(TRIM(B8))=0</formula>
    </cfRule>
  </conditionalFormatting>
  <conditionalFormatting sqref="C8:C27">
    <cfRule type="expression" dxfId="3126" priority="23">
      <formula>B8=""</formula>
    </cfRule>
  </conditionalFormatting>
  <conditionalFormatting sqref="C9 C11 C13 C15 C17 C19 C21 C23 C25 C27">
    <cfRule type="expression" dxfId="3125" priority="22">
      <formula>B9=""</formula>
    </cfRule>
  </conditionalFormatting>
  <conditionalFormatting sqref="C8:C27">
    <cfRule type="expression" dxfId="3124" priority="21">
      <formula>B8=""</formula>
    </cfRule>
  </conditionalFormatting>
  <conditionalFormatting sqref="C9 C11 C13 C15 C17 C19 C21 C23 C25 C27">
    <cfRule type="expression" dxfId="3123" priority="20">
      <formula>B9=""</formula>
    </cfRule>
  </conditionalFormatting>
  <conditionalFormatting sqref="C8 C10 C12 C14 C16 C18 C20 C22 C24 C26">
    <cfRule type="expression" dxfId="3122" priority="19">
      <formula>B8=""</formula>
    </cfRule>
  </conditionalFormatting>
  <conditionalFormatting sqref="C9 C11 C13 C15 C17 C19 C21 C23 C25 C27">
    <cfRule type="expression" dxfId="3121" priority="18">
      <formula>B9=""</formula>
    </cfRule>
  </conditionalFormatting>
  <conditionalFormatting sqref="C8:C27">
    <cfRule type="expression" dxfId="3120" priority="17">
      <formula>B8=""</formula>
    </cfRule>
  </conditionalFormatting>
  <conditionalFormatting sqref="C9 C11 C13 C15 C17 C19 C21 C23 C25 C27">
    <cfRule type="expression" dxfId="3119" priority="16">
      <formula>B9=""</formula>
    </cfRule>
  </conditionalFormatting>
  <conditionalFormatting sqref="C8:C27">
    <cfRule type="expression" dxfId="3118" priority="15">
      <formula>B8=""</formula>
    </cfRule>
  </conditionalFormatting>
  <conditionalFormatting sqref="C9 C11 C13 C15 C17 C19 C21 C23 C25 C27">
    <cfRule type="expression" dxfId="3117" priority="14">
      <formula>B9=""</formula>
    </cfRule>
  </conditionalFormatting>
  <conditionalFormatting sqref="C8 C10 C12 C14 C16 C18 C20 C22 C24 C26">
    <cfRule type="expression" dxfId="3116" priority="13">
      <formula>B8=""</formula>
    </cfRule>
  </conditionalFormatting>
  <conditionalFormatting sqref="C9 C11 C13 C15 C17 C19 C21 C23 C25 C27">
    <cfRule type="expression" dxfId="3115" priority="12">
      <formula>B9=""</formula>
    </cfRule>
  </conditionalFormatting>
  <conditionalFormatting sqref="C8:C27">
    <cfRule type="expression" dxfId="3114" priority="11">
      <formula>B8=""</formula>
    </cfRule>
  </conditionalFormatting>
  <conditionalFormatting sqref="C9 C11 C13 C15 C17 C19 C21 C23 C25 C27">
    <cfRule type="expression" dxfId="3113" priority="10">
      <formula>B9=""</formula>
    </cfRule>
  </conditionalFormatting>
  <conditionalFormatting sqref="C9 C11 C13 C15 C17 C19 C21 C23 C25 C27">
    <cfRule type="expression" dxfId="3112" priority="9">
      <formula>B9=""</formula>
    </cfRule>
  </conditionalFormatting>
  <conditionalFormatting sqref="C8 C10 C12 C14 C16 C18 C20 C22 C24 C26">
    <cfRule type="expression" dxfId="3111" priority="8">
      <formula>B8=""</formula>
    </cfRule>
  </conditionalFormatting>
  <conditionalFormatting sqref="C9 C11 C13 C15 C17 C19 C21 C23 C25 C27">
    <cfRule type="expression" dxfId="3110" priority="7">
      <formula>B9=""</formula>
    </cfRule>
  </conditionalFormatting>
  <conditionalFormatting sqref="C8:C27">
    <cfRule type="expression" dxfId="3109" priority="6">
      <formula>B8=""</formula>
    </cfRule>
  </conditionalFormatting>
  <conditionalFormatting sqref="C9 C11 C13 C15 C17 C19 C21 C23 C25 C27">
    <cfRule type="expression" dxfId="3108" priority="5">
      <formula>B9=""</formula>
    </cfRule>
  </conditionalFormatting>
  <conditionalFormatting sqref="C8:C27">
    <cfRule type="expression" dxfId="3107" priority="4">
      <formula>B8=""</formula>
    </cfRule>
  </conditionalFormatting>
  <conditionalFormatting sqref="C9 C11 C13 C15 C17 C19 C21 C23 C25 C27">
    <cfRule type="expression" dxfId="3106" priority="3">
      <formula>B9=""</formula>
    </cfRule>
  </conditionalFormatting>
  <conditionalFormatting sqref="C8:C27">
    <cfRule type="expression" dxfId="3105" priority="2">
      <formula>B8=""</formula>
    </cfRule>
  </conditionalFormatting>
  <conditionalFormatting sqref="C9 C11 C13 C15 C17 C19 C21 C23 C25 C27">
    <cfRule type="expression" dxfId="310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4.4"/>
  <cols>
    <col min="1" max="1" width="1.5546875" customWidth="1"/>
    <col min="2" max="2" width="12" customWidth="1"/>
    <col min="3" max="3" width="48.88671875" customWidth="1"/>
    <col min="4" max="4" width="9.109375" style="13"/>
    <col min="5" max="5" width="13.5546875" style="13" customWidth="1"/>
    <col min="6" max="6" width="14.5546875" style="18" customWidth="1"/>
    <col min="7" max="7" width="14.5546875" customWidth="1"/>
    <col min="8" max="8" width="17.109375" customWidth="1"/>
    <col min="10" max="10" width="14.6640625" customWidth="1"/>
    <col min="11" max="11" width="15.109375" style="163" customWidth="1"/>
    <col min="12" max="12" width="14.88671875" customWidth="1"/>
    <col min="13" max="13" width="13.44140625" customWidth="1"/>
    <col min="14" max="14" width="13.33203125" customWidth="1"/>
  </cols>
  <sheetData>
    <row r="1" spans="1:12" ht="23.4">
      <c r="C1" s="276" t="s">
        <v>222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NRA.N.007-040-2024/1F</v>
      </c>
    </row>
    <row r="3" spans="1:12" ht="31.2">
      <c r="A3" s="36"/>
      <c r="B3" s="1115" t="s">
        <v>814</v>
      </c>
      <c r="C3" s="1115"/>
      <c r="D3" s="1115"/>
      <c r="E3" s="1115"/>
      <c r="F3" s="1115"/>
      <c r="G3" s="1115"/>
      <c r="H3" s="1115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" thickBot="1">
      <c r="A6" s="36"/>
      <c r="B6" s="39" t="s">
        <v>0</v>
      </c>
      <c r="C6" s="39"/>
      <c r="D6" s="40"/>
      <c r="E6" s="40" t="s">
        <v>2</v>
      </c>
      <c r="F6" s="41"/>
      <c r="G6" s="39"/>
      <c r="H6" s="39" t="s">
        <v>4</v>
      </c>
    </row>
    <row r="7" spans="1:12" ht="15" thickBot="1">
      <c r="A7" s="36"/>
      <c r="B7" s="42" t="s">
        <v>5</v>
      </c>
      <c r="C7" s="43"/>
      <c r="D7" s="44"/>
      <c r="E7" s="44"/>
      <c r="F7" s="45"/>
      <c r="G7" s="43"/>
      <c r="H7" s="46"/>
    </row>
    <row r="8" spans="1:12" ht="15" thickBot="1">
      <c r="A8" s="36"/>
      <c r="B8" s="47" t="s">
        <v>28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28.8">
      <c r="A9" s="36"/>
      <c r="B9" s="117" t="s">
        <v>29</v>
      </c>
      <c r="C9" s="113" t="s">
        <v>836</v>
      </c>
      <c r="D9" s="55" t="s">
        <v>8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/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 t="str">
        <f t="shared" ref="G12:G19" si="0">IF(B12="","",(E87*F87+E109*F109+E131*F131+E153*F153))</f>
        <v/>
      </c>
      <c r="H12" s="62"/>
      <c r="K12" s="228"/>
      <c r="L12" s="229"/>
    </row>
    <row r="13" spans="1:12">
      <c r="A13" s="36"/>
      <c r="B13" s="118" t="str">
        <f>IF(DATA!A1054="","",DATA!A1054)</f>
        <v/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 t="str">
        <f t="shared" si="0"/>
        <v/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" thickBot="1">
      <c r="A30" s="36"/>
      <c r="B30" s="119" t="s">
        <v>9</v>
      </c>
      <c r="C30" s="63" t="s">
        <v>25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" thickBot="1">
      <c r="A32" s="36"/>
      <c r="B32" s="39" t="s">
        <v>0</v>
      </c>
      <c r="C32" s="39"/>
      <c r="D32" s="40"/>
      <c r="E32" s="40" t="s">
        <v>2</v>
      </c>
      <c r="F32" s="41"/>
      <c r="G32" s="39"/>
      <c r="H32" s="39" t="s">
        <v>4</v>
      </c>
      <c r="K32" s="13"/>
    </row>
    <row r="33" spans="1:14" ht="15" thickBot="1">
      <c r="A33" s="36"/>
      <c r="B33" s="42" t="s">
        <v>5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31</v>
      </c>
      <c r="C34" s="76"/>
      <c r="D34" s="81" t="s">
        <v>34</v>
      </c>
      <c r="E34" s="77" t="s">
        <v>30</v>
      </c>
      <c r="F34" s="80" t="s">
        <v>33</v>
      </c>
      <c r="G34" s="78" t="s">
        <v>32</v>
      </c>
      <c r="H34" s="79"/>
      <c r="J34" s="13"/>
      <c r="K34" s="13"/>
      <c r="L34" s="13"/>
      <c r="M34" s="13"/>
    </row>
    <row r="35" spans="1:14">
      <c r="A35" s="36"/>
      <c r="B35" s="53" t="s">
        <v>29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/>
      </c>
      <c r="C38" s="59" t="str">
        <f t="shared" ref="C38:C45" si="4">IF(B12="","",C12)</f>
        <v/>
      </c>
      <c r="D38" s="59"/>
      <c r="E38" s="116">
        <f t="shared" si="1"/>
        <v>0</v>
      </c>
      <c r="F38" s="277" t="str">
        <f t="shared" si="2"/>
        <v/>
      </c>
      <c r="G38" s="278" t="str">
        <f t="shared" si="3"/>
        <v/>
      </c>
      <c r="H38" s="279" t="str">
        <f>G12</f>
        <v/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/>
      </c>
      <c r="C39" s="59" t="str">
        <f t="shared" si="4"/>
        <v/>
      </c>
      <c r="D39" s="59"/>
      <c r="E39" s="116">
        <f t="shared" si="1"/>
        <v>0</v>
      </c>
      <c r="F39" s="277" t="str">
        <f t="shared" ref="F39:F45" si="5">IF(B39="","",(E39/$E$35))</f>
        <v/>
      </c>
      <c r="G39" s="278" t="str">
        <f t="shared" ref="G39:G45" si="6">IF(B39="","",(E39/$D$35))</f>
        <v/>
      </c>
      <c r="H39" s="279" t="str">
        <f t="shared" ref="H39:H45" si="7">G13</f>
        <v/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124" t="s">
        <v>213</v>
      </c>
      <c r="C58" s="1124"/>
      <c r="D58" s="1124"/>
      <c r="E58" s="1124"/>
      <c r="F58" s="1124"/>
      <c r="G58" s="226"/>
      <c r="H58" s="227"/>
    </row>
    <row r="59" spans="1:14" ht="28.8">
      <c r="A59" s="36"/>
      <c r="B59" s="218" t="s">
        <v>214</v>
      </c>
      <c r="C59" s="1125" t="s">
        <v>0</v>
      </c>
      <c r="D59" s="1125"/>
      <c r="E59" s="212" t="s">
        <v>91</v>
      </c>
      <c r="F59" s="138" t="s">
        <v>205</v>
      </c>
      <c r="G59" s="226"/>
      <c r="H59" s="227"/>
    </row>
    <row r="60" spans="1:14">
      <c r="A60" s="36"/>
      <c r="B60" s="219">
        <f>'Non Fee Hours'!$B$6</f>
        <v>32.01</v>
      </c>
      <c r="C60" s="1126" t="str">
        <f>'Non Fee Hours'!$C$6</f>
        <v>INITIAL ASSESSMENT</v>
      </c>
      <c r="D60" s="1126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126" t="str">
        <f>'Non Fee Hours'!$C$106</f>
        <v>VISUAL SURVEY</v>
      </c>
      <c r="D61" s="1126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126" t="str">
        <f>'Non Fee Hours'!$C$206</f>
        <v>PROJECT ASSESSMENT REPORT</v>
      </c>
      <c r="D62" s="1126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126" t="str">
        <f>'Non Fee Hours'!$C$306</f>
        <v>PREPARATION OF THE TENDER DOCUMENT</v>
      </c>
      <c r="D63" s="1126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126" t="str">
        <f>'Non Fee Hours'!$C$406</f>
        <v>TENDER EVALUATION</v>
      </c>
      <c r="D64" s="1126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126"/>
      <c r="D65" s="1126"/>
      <c r="E65" s="213"/>
      <c r="F65" s="139"/>
      <c r="G65" s="226"/>
      <c r="H65" s="227"/>
    </row>
    <row r="66" spans="1:8">
      <c r="A66" s="36"/>
      <c r="B66" s="219"/>
      <c r="C66" s="1126"/>
      <c r="D66" s="1126"/>
      <c r="E66" s="213"/>
      <c r="F66" s="139"/>
      <c r="G66" s="226"/>
      <c r="H66" s="227"/>
    </row>
    <row r="67" spans="1:8">
      <c r="A67" s="36"/>
      <c r="B67" s="220"/>
      <c r="C67" s="1127" t="s">
        <v>206</v>
      </c>
      <c r="D67" s="1128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124" t="s">
        <v>212</v>
      </c>
      <c r="D69" s="1124"/>
      <c r="E69" s="1124"/>
      <c r="F69" s="1124"/>
      <c r="G69" s="226"/>
      <c r="H69" s="227"/>
    </row>
    <row r="70" spans="1:8" ht="28.8">
      <c r="A70" s="36"/>
      <c r="B70" s="37"/>
      <c r="C70" s="1129" t="s">
        <v>204</v>
      </c>
      <c r="D70" s="1129"/>
      <c r="E70" s="212" t="s">
        <v>91</v>
      </c>
      <c r="F70" s="138" t="s">
        <v>205</v>
      </c>
      <c r="G70" s="226"/>
      <c r="H70" s="227"/>
    </row>
    <row r="71" spans="1:8">
      <c r="A71" s="36"/>
      <c r="B71" s="37"/>
      <c r="C71" s="1126" t="str">
        <f>'Hours Roadworks'!$B$6</f>
        <v>Road works</v>
      </c>
      <c r="D71" s="1126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126" t="str">
        <f>'Hours Structures'!$B$6</f>
        <v>Structures</v>
      </c>
      <c r="D72" s="1126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126" t="str">
        <f>'Hours Electrical'!$B$6</f>
        <v>Electrical</v>
      </c>
      <c r="D73" s="1126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126" t="str">
        <f>'Hours Building'!$B$6</f>
        <v xml:space="preserve">Building </v>
      </c>
      <c r="D74" s="1126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126" t="str">
        <f>'Hours Mechanical'!$B$6</f>
        <v>Mechanical</v>
      </c>
      <c r="D75" s="1126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126" t="str">
        <f>'Hours Electronic'!$B$6</f>
        <v>Electronic</v>
      </c>
      <c r="D76" s="1126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126" t="str">
        <f>'Hours Other'!$B$6</f>
        <v>Other:</v>
      </c>
      <c r="D77" s="1126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130" t="s">
        <v>206</v>
      </c>
      <c r="D78" s="1130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" thickBot="1">
      <c r="B81" s="1" t="s">
        <v>0</v>
      </c>
      <c r="C81" s="1"/>
      <c r="D81" s="11" t="s">
        <v>1</v>
      </c>
      <c r="E81" s="11" t="s">
        <v>2</v>
      </c>
      <c r="F81" s="14" t="s">
        <v>3</v>
      </c>
      <c r="G81" s="1"/>
      <c r="H81" s="1" t="s">
        <v>4</v>
      </c>
    </row>
    <row r="82" spans="2:8" ht="15" thickBot="1">
      <c r="B82" s="2" t="s">
        <v>5</v>
      </c>
      <c r="C82" s="3"/>
      <c r="D82" s="12"/>
      <c r="E82" s="12"/>
      <c r="F82" s="15"/>
      <c r="G82" s="3"/>
      <c r="H82" s="4"/>
    </row>
    <row r="83" spans="2:8" ht="15" thickBot="1">
      <c r="B83" s="30" t="s">
        <v>27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7</v>
      </c>
      <c r="C84" s="20"/>
      <c r="D84" s="21" t="s">
        <v>8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/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18" t="str">
        <f>IF(DATA!A1054="","",DATA!A1054)</f>
        <v/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</v>
      </c>
      <c r="C106" s="20"/>
      <c r="D106" s="21" t="s">
        <v>8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/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18" t="str">
        <f>IF(DATA!A1054="","",DATA!A1054)</f>
        <v/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11</v>
      </c>
      <c r="C128" s="20"/>
      <c r="D128" s="21" t="s">
        <v>8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/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18" t="str">
        <f>IF(DATA!A1054="","",DATA!A1054)</f>
        <v/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12</v>
      </c>
      <c r="C150" s="20"/>
      <c r="D150" s="21" t="s">
        <v>8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/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18" t="str">
        <f>IF(DATA!A1054="","",DATA!A1054)</f>
        <v/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C74:D74"/>
    <mergeCell ref="C75:D75"/>
    <mergeCell ref="C76:D76"/>
    <mergeCell ref="C77:D77"/>
    <mergeCell ref="C78:D78"/>
    <mergeCell ref="C67:D67"/>
    <mergeCell ref="C71:D71"/>
    <mergeCell ref="C72:D72"/>
    <mergeCell ref="C73:D73"/>
    <mergeCell ref="C70:D70"/>
    <mergeCell ref="C69:F69"/>
    <mergeCell ref="C62:D62"/>
    <mergeCell ref="C63:D63"/>
    <mergeCell ref="C64:D64"/>
    <mergeCell ref="C65:D65"/>
    <mergeCell ref="C66:D66"/>
    <mergeCell ref="B3:H3"/>
    <mergeCell ref="B58:F58"/>
    <mergeCell ref="C59:D59"/>
    <mergeCell ref="C60:D60"/>
    <mergeCell ref="C61:D61"/>
  </mergeCells>
  <conditionalFormatting sqref="B10:B30 B36:B56 B85:B105 B107:B127 B129:B149 B151:B171">
    <cfRule type="containsBlanks" dxfId="3103" priority="1734">
      <formula>LEN(TRIM(B10))=0</formula>
    </cfRule>
  </conditionalFormatting>
  <conditionalFormatting sqref="C85 C87 C89 C91 C93 C95 C97 C99 C101 C103">
    <cfRule type="expression" dxfId="3102" priority="1095">
      <formula>B85=""</formula>
    </cfRule>
  </conditionalFormatting>
  <conditionalFormatting sqref="C86 C88 C90 C92 C94 C96 C98 C100 C102 C104">
    <cfRule type="expression" dxfId="3101" priority="1094">
      <formula>B86=""</formula>
    </cfRule>
  </conditionalFormatting>
  <conditionalFormatting sqref="C87">
    <cfRule type="expression" dxfId="3100" priority="1093">
      <formula>B87=""</formula>
    </cfRule>
  </conditionalFormatting>
  <conditionalFormatting sqref="C88:C98">
    <cfRule type="expression" dxfId="3099" priority="1092">
      <formula>B88=""</formula>
    </cfRule>
  </conditionalFormatting>
  <conditionalFormatting sqref="C99">
    <cfRule type="expression" dxfId="3098" priority="1091">
      <formula>B99=""</formula>
    </cfRule>
  </conditionalFormatting>
  <conditionalFormatting sqref="C100">
    <cfRule type="expression" dxfId="3097" priority="1090">
      <formula>B100=""</formula>
    </cfRule>
  </conditionalFormatting>
  <conditionalFormatting sqref="C101">
    <cfRule type="expression" dxfId="3096" priority="1089">
      <formula>B101=""</formula>
    </cfRule>
  </conditionalFormatting>
  <conditionalFormatting sqref="C102">
    <cfRule type="expression" dxfId="3095" priority="1088">
      <formula>B102=""</formula>
    </cfRule>
  </conditionalFormatting>
  <conditionalFormatting sqref="C103">
    <cfRule type="expression" dxfId="3094" priority="1087">
      <formula>B103=""</formula>
    </cfRule>
  </conditionalFormatting>
  <conditionalFormatting sqref="C104">
    <cfRule type="expression" dxfId="3093" priority="1086">
      <formula>B104=""</formula>
    </cfRule>
  </conditionalFormatting>
  <conditionalFormatting sqref="C105">
    <cfRule type="expression" dxfId="3092" priority="1085">
      <formula>B105=""</formula>
    </cfRule>
  </conditionalFormatting>
  <conditionalFormatting sqref="D85">
    <cfRule type="expression" dxfId="3091" priority="1084">
      <formula>B85=""</formula>
    </cfRule>
  </conditionalFormatting>
  <conditionalFormatting sqref="D86">
    <cfRule type="expression" dxfId="3090" priority="1083">
      <formula>B86=""</formula>
    </cfRule>
  </conditionalFormatting>
  <conditionalFormatting sqref="D87">
    <cfRule type="expression" dxfId="3089" priority="1082">
      <formula>B87=""</formula>
    </cfRule>
  </conditionalFormatting>
  <conditionalFormatting sqref="D88:D98">
    <cfRule type="expression" dxfId="3088" priority="1081">
      <formula>B88=""</formula>
    </cfRule>
  </conditionalFormatting>
  <conditionalFormatting sqref="D99">
    <cfRule type="expression" dxfId="3087" priority="1080">
      <formula>B99=""</formula>
    </cfRule>
  </conditionalFormatting>
  <conditionalFormatting sqref="D100">
    <cfRule type="expression" dxfId="3086" priority="1079">
      <formula>B100=""</formula>
    </cfRule>
  </conditionalFormatting>
  <conditionalFormatting sqref="D101">
    <cfRule type="expression" dxfId="3085" priority="1078">
      <formula>B101=""</formula>
    </cfRule>
  </conditionalFormatting>
  <conditionalFormatting sqref="D102">
    <cfRule type="expression" dxfId="3084" priority="1077">
      <formula>B102=""</formula>
    </cfRule>
  </conditionalFormatting>
  <conditionalFormatting sqref="D103">
    <cfRule type="expression" dxfId="3083" priority="1076">
      <formula>B103=""</formula>
    </cfRule>
  </conditionalFormatting>
  <conditionalFormatting sqref="D104">
    <cfRule type="expression" dxfId="3082" priority="1075">
      <formula>B104=""</formula>
    </cfRule>
  </conditionalFormatting>
  <conditionalFormatting sqref="D105">
    <cfRule type="expression" dxfId="3081" priority="1074">
      <formula>B105=""</formula>
    </cfRule>
  </conditionalFormatting>
  <conditionalFormatting sqref="E85:E105">
    <cfRule type="expression" dxfId="3080" priority="1073">
      <formula>B85=""</formula>
    </cfRule>
  </conditionalFormatting>
  <conditionalFormatting sqref="E86">
    <cfRule type="expression" dxfId="3079" priority="1072">
      <formula>B86=""</formula>
    </cfRule>
  </conditionalFormatting>
  <conditionalFormatting sqref="E87">
    <cfRule type="expression" dxfId="3078" priority="1071">
      <formula>B87=""</formula>
    </cfRule>
  </conditionalFormatting>
  <conditionalFormatting sqref="E88:E98">
    <cfRule type="expression" dxfId="3077" priority="1070">
      <formula>B88=""</formula>
    </cfRule>
  </conditionalFormatting>
  <conditionalFormatting sqref="E99">
    <cfRule type="expression" dxfId="3076" priority="1069">
      <formula>B99=""</formula>
    </cfRule>
  </conditionalFormatting>
  <conditionalFormatting sqref="E100">
    <cfRule type="expression" dxfId="3075" priority="1068">
      <formula>B100=""</formula>
    </cfRule>
  </conditionalFormatting>
  <conditionalFormatting sqref="E101">
    <cfRule type="expression" dxfId="3074" priority="1067">
      <formula>B101=""</formula>
    </cfRule>
  </conditionalFormatting>
  <conditionalFormatting sqref="E102">
    <cfRule type="expression" dxfId="3073" priority="1066">
      <formula>B102=""</formula>
    </cfRule>
  </conditionalFormatting>
  <conditionalFormatting sqref="E103">
    <cfRule type="expression" dxfId="3072" priority="1065">
      <formula>B103=""</formula>
    </cfRule>
  </conditionalFormatting>
  <conditionalFormatting sqref="E104">
    <cfRule type="expression" dxfId="3071" priority="1064">
      <formula>B104=""</formula>
    </cfRule>
  </conditionalFormatting>
  <conditionalFormatting sqref="E105">
    <cfRule type="expression" dxfId="3070" priority="1063">
      <formula>B105=""</formula>
    </cfRule>
  </conditionalFormatting>
  <conditionalFormatting sqref="F85 F87 F89 F91 F93 F95 F97 F99 F101 F103">
    <cfRule type="expression" dxfId="3069" priority="1062">
      <formula>B85=""</formula>
    </cfRule>
  </conditionalFormatting>
  <conditionalFormatting sqref="F86 F88 F90 F92 F94 F96 F98 F100 F102 F104">
    <cfRule type="expression" dxfId="3068" priority="1061">
      <formula>B86=""</formula>
    </cfRule>
  </conditionalFormatting>
  <conditionalFormatting sqref="F87">
    <cfRule type="expression" dxfId="3067" priority="1060">
      <formula>B87=""</formula>
    </cfRule>
  </conditionalFormatting>
  <conditionalFormatting sqref="F88:F98">
    <cfRule type="expression" dxfId="3066" priority="1059">
      <formula>B88=""</formula>
    </cfRule>
  </conditionalFormatting>
  <conditionalFormatting sqref="F99">
    <cfRule type="expression" dxfId="3065" priority="1058">
      <formula>B99=""</formula>
    </cfRule>
  </conditionalFormatting>
  <conditionalFormatting sqref="F100">
    <cfRule type="expression" dxfId="3064" priority="1057">
      <formula>B100=""</formula>
    </cfRule>
  </conditionalFormatting>
  <conditionalFormatting sqref="F101">
    <cfRule type="expression" dxfId="3063" priority="1056">
      <formula>B101=""</formula>
    </cfRule>
  </conditionalFormatting>
  <conditionalFormatting sqref="F102">
    <cfRule type="expression" dxfId="3062" priority="1055">
      <formula>B102=""</formula>
    </cfRule>
  </conditionalFormatting>
  <conditionalFormatting sqref="F103">
    <cfRule type="expression" dxfId="3061" priority="1054">
      <formula>B103=""</formula>
    </cfRule>
  </conditionalFormatting>
  <conditionalFormatting sqref="F104">
    <cfRule type="expression" dxfId="3060" priority="1053">
      <formula>B104=""</formula>
    </cfRule>
  </conditionalFormatting>
  <conditionalFormatting sqref="F105">
    <cfRule type="expression" dxfId="3059" priority="1052">
      <formula>B105=""</formula>
    </cfRule>
  </conditionalFormatting>
  <conditionalFormatting sqref="E86">
    <cfRule type="expression" dxfId="3058" priority="1051">
      <formula>B86=""</formula>
    </cfRule>
  </conditionalFormatting>
  <conditionalFormatting sqref="E87">
    <cfRule type="expression" dxfId="3057" priority="1050">
      <formula>B87=""</formula>
    </cfRule>
  </conditionalFormatting>
  <conditionalFormatting sqref="E88:E98">
    <cfRule type="expression" dxfId="3056" priority="1049">
      <formula>B88=""</formula>
    </cfRule>
  </conditionalFormatting>
  <conditionalFormatting sqref="E99">
    <cfRule type="expression" dxfId="3055" priority="1048">
      <formula>B99=""</formula>
    </cfRule>
  </conditionalFormatting>
  <conditionalFormatting sqref="E100">
    <cfRule type="expression" dxfId="3054" priority="1047">
      <formula>B100=""</formula>
    </cfRule>
  </conditionalFormatting>
  <conditionalFormatting sqref="E101">
    <cfRule type="expression" dxfId="3053" priority="1046">
      <formula>B101=""</formula>
    </cfRule>
  </conditionalFormatting>
  <conditionalFormatting sqref="E102">
    <cfRule type="expression" dxfId="3052" priority="1045">
      <formula>B102=""</formula>
    </cfRule>
  </conditionalFormatting>
  <conditionalFormatting sqref="E103">
    <cfRule type="expression" dxfId="3051" priority="1044">
      <formula>B103=""</formula>
    </cfRule>
  </conditionalFormatting>
  <conditionalFormatting sqref="E104">
    <cfRule type="expression" dxfId="3050" priority="1043">
      <formula>B104=""</formula>
    </cfRule>
  </conditionalFormatting>
  <conditionalFormatting sqref="E105">
    <cfRule type="expression" dxfId="3049" priority="1042">
      <formula>B105=""</formula>
    </cfRule>
  </conditionalFormatting>
  <conditionalFormatting sqref="G85:G104">
    <cfRule type="expression" dxfId="3048" priority="1041">
      <formula>B85=""</formula>
    </cfRule>
  </conditionalFormatting>
  <conditionalFormatting sqref="G86">
    <cfRule type="expression" dxfId="3047" priority="1040">
      <formula>B86=""</formula>
    </cfRule>
  </conditionalFormatting>
  <conditionalFormatting sqref="G87">
    <cfRule type="expression" dxfId="3046" priority="1039">
      <formula>B87=""</formula>
    </cfRule>
  </conditionalFormatting>
  <conditionalFormatting sqref="G88:G98">
    <cfRule type="expression" dxfId="3045" priority="1038">
      <formula>B88=""</formula>
    </cfRule>
  </conditionalFormatting>
  <conditionalFormatting sqref="G99">
    <cfRule type="expression" dxfId="3044" priority="1037">
      <formula>B99=""</formula>
    </cfRule>
  </conditionalFormatting>
  <conditionalFormatting sqref="G100">
    <cfRule type="expression" dxfId="3043" priority="1036">
      <formula>B100=""</formula>
    </cfRule>
  </conditionalFormatting>
  <conditionalFormatting sqref="G101">
    <cfRule type="expression" dxfId="3042" priority="1035">
      <formula>B101=""</formula>
    </cfRule>
  </conditionalFormatting>
  <conditionalFormatting sqref="G102">
    <cfRule type="expression" dxfId="3041" priority="1034">
      <formula>B102=""</formula>
    </cfRule>
  </conditionalFormatting>
  <conditionalFormatting sqref="G103">
    <cfRule type="expression" dxfId="3040" priority="1033">
      <formula>B103=""</formula>
    </cfRule>
  </conditionalFormatting>
  <conditionalFormatting sqref="G104">
    <cfRule type="expression" dxfId="3039" priority="1032">
      <formula>B104=""</formula>
    </cfRule>
  </conditionalFormatting>
  <conditionalFormatting sqref="G105">
    <cfRule type="expression" dxfId="3038" priority="1031">
      <formula>B105=""</formula>
    </cfRule>
  </conditionalFormatting>
  <conditionalFormatting sqref="H85">
    <cfRule type="expression" dxfId="3037" priority="1030">
      <formula>B85=""</formula>
    </cfRule>
  </conditionalFormatting>
  <conditionalFormatting sqref="H86">
    <cfRule type="expression" dxfId="3036" priority="1029">
      <formula>B86=""</formula>
    </cfRule>
  </conditionalFormatting>
  <conditionalFormatting sqref="H87">
    <cfRule type="expression" dxfId="3035" priority="1028">
      <formula>B87=""</formula>
    </cfRule>
  </conditionalFormatting>
  <conditionalFormatting sqref="H88:H98">
    <cfRule type="expression" dxfId="3034" priority="1027">
      <formula>B88=""</formula>
    </cfRule>
  </conditionalFormatting>
  <conditionalFormatting sqref="H99">
    <cfRule type="expression" dxfId="3033" priority="1026">
      <formula>B99=""</formula>
    </cfRule>
  </conditionalFormatting>
  <conditionalFormatting sqref="H100">
    <cfRule type="expression" dxfId="3032" priority="1025">
      <formula>B100=""</formula>
    </cfRule>
  </conditionalFormatting>
  <conditionalFormatting sqref="H101">
    <cfRule type="expression" dxfId="3031" priority="1024">
      <formula>B101=""</formula>
    </cfRule>
  </conditionalFormatting>
  <conditionalFormatting sqref="H102">
    <cfRule type="expression" dxfId="3030" priority="1023">
      <formula>B102=""</formula>
    </cfRule>
  </conditionalFormatting>
  <conditionalFormatting sqref="H103">
    <cfRule type="expression" dxfId="3029" priority="1022">
      <formula>B103=""</formula>
    </cfRule>
  </conditionalFormatting>
  <conditionalFormatting sqref="H104">
    <cfRule type="expression" dxfId="3028" priority="1021">
      <formula>B104=""</formula>
    </cfRule>
  </conditionalFormatting>
  <conditionalFormatting sqref="H105">
    <cfRule type="expression" dxfId="3027" priority="1020">
      <formula>B105=""</formula>
    </cfRule>
  </conditionalFormatting>
  <conditionalFormatting sqref="C107 C109 C111 C113 C115 C117 C119 C121 C123 C125">
    <cfRule type="expression" dxfId="3026" priority="1018">
      <formula>B107=""</formula>
    </cfRule>
  </conditionalFormatting>
  <conditionalFormatting sqref="C108 C110 C112 C114 C116 C118 C120 C122 C124 C126">
    <cfRule type="expression" dxfId="3025" priority="1017">
      <formula>B108=""</formula>
    </cfRule>
  </conditionalFormatting>
  <conditionalFormatting sqref="C109">
    <cfRule type="expression" dxfId="3024" priority="1016">
      <formula>B109=""</formula>
    </cfRule>
  </conditionalFormatting>
  <conditionalFormatting sqref="C110:C120">
    <cfRule type="expression" dxfId="3023" priority="1015">
      <formula>B110=""</formula>
    </cfRule>
  </conditionalFormatting>
  <conditionalFormatting sqref="C121">
    <cfRule type="expression" dxfId="3022" priority="1014">
      <formula>B121=""</formula>
    </cfRule>
  </conditionalFormatting>
  <conditionalFormatting sqref="C122">
    <cfRule type="expression" dxfId="3021" priority="1013">
      <formula>B122=""</formula>
    </cfRule>
  </conditionalFormatting>
  <conditionalFormatting sqref="C123">
    <cfRule type="expression" dxfId="3020" priority="1012">
      <formula>B123=""</formula>
    </cfRule>
  </conditionalFormatting>
  <conditionalFormatting sqref="C124">
    <cfRule type="expression" dxfId="3019" priority="1011">
      <formula>B124=""</formula>
    </cfRule>
  </conditionalFormatting>
  <conditionalFormatting sqref="C125">
    <cfRule type="expression" dxfId="3018" priority="1010">
      <formula>B125=""</formula>
    </cfRule>
  </conditionalFormatting>
  <conditionalFormatting sqref="C126">
    <cfRule type="expression" dxfId="3017" priority="1009">
      <formula>B126=""</formula>
    </cfRule>
  </conditionalFormatting>
  <conditionalFormatting sqref="C127">
    <cfRule type="expression" dxfId="3016" priority="1008">
      <formula>B127=""</formula>
    </cfRule>
  </conditionalFormatting>
  <conditionalFormatting sqref="D107">
    <cfRule type="expression" dxfId="3015" priority="1007">
      <formula>B107=""</formula>
    </cfRule>
  </conditionalFormatting>
  <conditionalFormatting sqref="D108">
    <cfRule type="expression" dxfId="3014" priority="1006">
      <formula>B108=""</formula>
    </cfRule>
  </conditionalFormatting>
  <conditionalFormatting sqref="D109">
    <cfRule type="expression" dxfId="3013" priority="1005">
      <formula>B109=""</formula>
    </cfRule>
  </conditionalFormatting>
  <conditionalFormatting sqref="D110:D120">
    <cfRule type="expression" dxfId="3012" priority="1004">
      <formula>B110=""</formula>
    </cfRule>
  </conditionalFormatting>
  <conditionalFormatting sqref="D121">
    <cfRule type="expression" dxfId="3011" priority="1003">
      <formula>B121=""</formula>
    </cfRule>
  </conditionalFormatting>
  <conditionalFormatting sqref="D122">
    <cfRule type="expression" dxfId="3010" priority="1002">
      <formula>B122=""</formula>
    </cfRule>
  </conditionalFormatting>
  <conditionalFormatting sqref="D123">
    <cfRule type="expression" dxfId="3009" priority="1001">
      <formula>B123=""</formula>
    </cfRule>
  </conditionalFormatting>
  <conditionalFormatting sqref="D124">
    <cfRule type="expression" dxfId="3008" priority="1000">
      <formula>B124=""</formula>
    </cfRule>
  </conditionalFormatting>
  <conditionalFormatting sqref="D125">
    <cfRule type="expression" dxfId="3007" priority="999">
      <formula>B125=""</formula>
    </cfRule>
  </conditionalFormatting>
  <conditionalFormatting sqref="D126">
    <cfRule type="expression" dxfId="3006" priority="998">
      <formula>B126=""</formula>
    </cfRule>
  </conditionalFormatting>
  <conditionalFormatting sqref="D127">
    <cfRule type="expression" dxfId="3005" priority="997">
      <formula>B127=""</formula>
    </cfRule>
  </conditionalFormatting>
  <conditionalFormatting sqref="F107:F126">
    <cfRule type="expression" dxfId="3004" priority="985">
      <formula>B107=""</formula>
    </cfRule>
  </conditionalFormatting>
  <conditionalFormatting sqref="F108">
    <cfRule type="expression" dxfId="3003" priority="984">
      <formula>B108=""</formula>
    </cfRule>
  </conditionalFormatting>
  <conditionalFormatting sqref="F109">
    <cfRule type="expression" dxfId="3002" priority="983">
      <formula>B109=""</formula>
    </cfRule>
  </conditionalFormatting>
  <conditionalFormatting sqref="F110:F120">
    <cfRule type="expression" dxfId="3001" priority="982">
      <formula>B110=""</formula>
    </cfRule>
  </conditionalFormatting>
  <conditionalFormatting sqref="F121">
    <cfRule type="expression" dxfId="3000" priority="981">
      <formula>B121=""</formula>
    </cfRule>
  </conditionalFormatting>
  <conditionalFormatting sqref="F122">
    <cfRule type="expression" dxfId="2999" priority="980">
      <formula>B122=""</formula>
    </cfRule>
  </conditionalFormatting>
  <conditionalFormatting sqref="F123">
    <cfRule type="expression" dxfId="2998" priority="979">
      <formula>B123=""</formula>
    </cfRule>
  </conditionalFormatting>
  <conditionalFormatting sqref="F124">
    <cfRule type="expression" dxfId="2997" priority="978">
      <formula>B124=""</formula>
    </cfRule>
  </conditionalFormatting>
  <conditionalFormatting sqref="F125">
    <cfRule type="expression" dxfId="2996" priority="977">
      <formula>B125=""</formula>
    </cfRule>
  </conditionalFormatting>
  <conditionalFormatting sqref="F126">
    <cfRule type="expression" dxfId="2995" priority="976">
      <formula>B126=""</formula>
    </cfRule>
  </conditionalFormatting>
  <conditionalFormatting sqref="F127">
    <cfRule type="expression" dxfId="2994" priority="975">
      <formula>B127=""</formula>
    </cfRule>
  </conditionalFormatting>
  <conditionalFormatting sqref="G107:G126">
    <cfRule type="expression" dxfId="2993" priority="964">
      <formula>B107=""</formula>
    </cfRule>
  </conditionalFormatting>
  <conditionalFormatting sqref="G108">
    <cfRule type="expression" dxfId="2992" priority="963">
      <formula>B108=""</formula>
    </cfRule>
  </conditionalFormatting>
  <conditionalFormatting sqref="G109">
    <cfRule type="expression" dxfId="2991" priority="962">
      <formula>B109=""</formula>
    </cfRule>
  </conditionalFormatting>
  <conditionalFormatting sqref="G110:G120">
    <cfRule type="expression" dxfId="2990" priority="961">
      <formula>B110=""</formula>
    </cfRule>
  </conditionalFormatting>
  <conditionalFormatting sqref="G121">
    <cfRule type="expression" dxfId="2989" priority="960">
      <formula>B121=""</formula>
    </cfRule>
  </conditionalFormatting>
  <conditionalFormatting sqref="G122">
    <cfRule type="expression" dxfId="2988" priority="959">
      <formula>B122=""</formula>
    </cfRule>
  </conditionalFormatting>
  <conditionalFormatting sqref="G123">
    <cfRule type="expression" dxfId="2987" priority="958">
      <formula>B123=""</formula>
    </cfRule>
  </conditionalFormatting>
  <conditionalFormatting sqref="G124">
    <cfRule type="expression" dxfId="2986" priority="957">
      <formula>B124=""</formula>
    </cfRule>
  </conditionalFormatting>
  <conditionalFormatting sqref="G125">
    <cfRule type="expression" dxfId="2985" priority="956">
      <formula>B125=""</formula>
    </cfRule>
  </conditionalFormatting>
  <conditionalFormatting sqref="G126">
    <cfRule type="expression" dxfId="2984" priority="955">
      <formula>B126=""</formula>
    </cfRule>
  </conditionalFormatting>
  <conditionalFormatting sqref="G127">
    <cfRule type="expression" dxfId="2983" priority="954">
      <formula>B127=""</formula>
    </cfRule>
  </conditionalFormatting>
  <conditionalFormatting sqref="H107:H126">
    <cfRule type="expression" dxfId="2982" priority="953">
      <formula>B107=""</formula>
    </cfRule>
  </conditionalFormatting>
  <conditionalFormatting sqref="H108">
    <cfRule type="expression" dxfId="2981" priority="952">
      <formula>B108=""</formula>
    </cfRule>
  </conditionalFormatting>
  <conditionalFormatting sqref="H109">
    <cfRule type="expression" dxfId="2980" priority="951">
      <formula>B109=""</formula>
    </cfRule>
  </conditionalFormatting>
  <conditionalFormatting sqref="H110:H120">
    <cfRule type="expression" dxfId="2979" priority="950">
      <formula>B110=""</formula>
    </cfRule>
  </conditionalFormatting>
  <conditionalFormatting sqref="H121">
    <cfRule type="expression" dxfId="2978" priority="949">
      <formula>B121=""</formula>
    </cfRule>
  </conditionalFormatting>
  <conditionalFormatting sqref="H122">
    <cfRule type="expression" dxfId="2977" priority="948">
      <formula>B122=""</formula>
    </cfRule>
  </conditionalFormatting>
  <conditionalFormatting sqref="H123">
    <cfRule type="expression" dxfId="2976" priority="947">
      <formula>B123=""</formula>
    </cfRule>
  </conditionalFormatting>
  <conditionalFormatting sqref="H124">
    <cfRule type="expression" dxfId="2975" priority="946">
      <formula>B124=""</formula>
    </cfRule>
  </conditionalFormatting>
  <conditionalFormatting sqref="H125">
    <cfRule type="expression" dxfId="2974" priority="945">
      <formula>B125=""</formula>
    </cfRule>
  </conditionalFormatting>
  <conditionalFormatting sqref="H126">
    <cfRule type="expression" dxfId="2973" priority="944">
      <formula>B126=""</formula>
    </cfRule>
  </conditionalFormatting>
  <conditionalFormatting sqref="H127">
    <cfRule type="expression" dxfId="2972" priority="943">
      <formula>B127=""</formula>
    </cfRule>
  </conditionalFormatting>
  <conditionalFormatting sqref="C129 C131 C133 C135 C137 C139 C141 C143 C145 C147">
    <cfRule type="expression" dxfId="2971" priority="941">
      <formula>B129=""</formula>
    </cfRule>
  </conditionalFormatting>
  <conditionalFormatting sqref="C130 C132 C134 C136 C138 C140 C142 C144 C146 C148">
    <cfRule type="expression" dxfId="2970" priority="940">
      <formula>B130=""</formula>
    </cfRule>
  </conditionalFormatting>
  <conditionalFormatting sqref="C131">
    <cfRule type="expression" dxfId="2969" priority="939">
      <formula>B131=""</formula>
    </cfRule>
  </conditionalFormatting>
  <conditionalFormatting sqref="C132:C142">
    <cfRule type="expression" dxfId="2968" priority="938">
      <formula>B132=""</formula>
    </cfRule>
  </conditionalFormatting>
  <conditionalFormatting sqref="C143">
    <cfRule type="expression" dxfId="2967" priority="937">
      <formula>B143=""</formula>
    </cfRule>
  </conditionalFormatting>
  <conditionalFormatting sqref="C144">
    <cfRule type="expression" dxfId="2966" priority="936">
      <formula>B144=""</formula>
    </cfRule>
  </conditionalFormatting>
  <conditionalFormatting sqref="C145">
    <cfRule type="expression" dxfId="2965" priority="935">
      <formula>B145=""</formula>
    </cfRule>
  </conditionalFormatting>
  <conditionalFormatting sqref="C146">
    <cfRule type="expression" dxfId="2964" priority="934">
      <formula>B146=""</formula>
    </cfRule>
  </conditionalFormatting>
  <conditionalFormatting sqref="C147">
    <cfRule type="expression" dxfId="2963" priority="933">
      <formula>B147=""</formula>
    </cfRule>
  </conditionalFormatting>
  <conditionalFormatting sqref="C148">
    <cfRule type="expression" dxfId="2962" priority="932">
      <formula>B148=""</formula>
    </cfRule>
  </conditionalFormatting>
  <conditionalFormatting sqref="C149">
    <cfRule type="expression" dxfId="2961" priority="931">
      <formula>B149=""</formula>
    </cfRule>
  </conditionalFormatting>
  <conditionalFormatting sqref="D129 D131 D133 D135 D137 D139 D141 D143 D145 D147">
    <cfRule type="expression" dxfId="2960" priority="930">
      <formula>B129=""</formula>
    </cfRule>
  </conditionalFormatting>
  <conditionalFormatting sqref="D130 D132 D134 D136 D138 D140 D142 D144 D146 D148">
    <cfRule type="expression" dxfId="2959" priority="929">
      <formula>B130=""</formula>
    </cfRule>
  </conditionalFormatting>
  <conditionalFormatting sqref="D131">
    <cfRule type="expression" dxfId="2958" priority="928">
      <formula>B131=""</formula>
    </cfRule>
  </conditionalFormatting>
  <conditionalFormatting sqref="D132:D142">
    <cfRule type="expression" dxfId="2957" priority="927">
      <formula>B132=""</formula>
    </cfRule>
  </conditionalFormatting>
  <conditionalFormatting sqref="D143">
    <cfRule type="expression" dxfId="2956" priority="926">
      <formula>B143=""</formula>
    </cfRule>
  </conditionalFormatting>
  <conditionalFormatting sqref="D144">
    <cfRule type="expression" dxfId="2955" priority="925">
      <formula>B144=""</formula>
    </cfRule>
  </conditionalFormatting>
  <conditionalFormatting sqref="D145">
    <cfRule type="expression" dxfId="2954" priority="924">
      <formula>B145=""</formula>
    </cfRule>
  </conditionalFormatting>
  <conditionalFormatting sqref="D146">
    <cfRule type="expression" dxfId="2953" priority="923">
      <formula>B146=""</formula>
    </cfRule>
  </conditionalFormatting>
  <conditionalFormatting sqref="D147">
    <cfRule type="expression" dxfId="2952" priority="922">
      <formula>B147=""</formula>
    </cfRule>
  </conditionalFormatting>
  <conditionalFormatting sqref="D148">
    <cfRule type="expression" dxfId="2951" priority="921">
      <formula>B148=""</formula>
    </cfRule>
  </conditionalFormatting>
  <conditionalFormatting sqref="D149">
    <cfRule type="expression" dxfId="2950" priority="920">
      <formula>B149=""</formula>
    </cfRule>
  </conditionalFormatting>
  <conditionalFormatting sqref="F129 F131 F133 F135 F137 F139 F141 F143 F145 F147">
    <cfRule type="expression" dxfId="2949" priority="908">
      <formula>B129=""</formula>
    </cfRule>
  </conditionalFormatting>
  <conditionalFormatting sqref="F130 F132 F134 F136 F138 F140 F142 F144 F146 F148">
    <cfRule type="expression" dxfId="2948" priority="907">
      <formula>B130=""</formula>
    </cfRule>
  </conditionalFormatting>
  <conditionalFormatting sqref="F131">
    <cfRule type="expression" dxfId="2947" priority="906">
      <formula>B131=""</formula>
    </cfRule>
  </conditionalFormatting>
  <conditionalFormatting sqref="F132:F142">
    <cfRule type="expression" dxfId="2946" priority="905">
      <formula>B132=""</formula>
    </cfRule>
  </conditionalFormatting>
  <conditionalFormatting sqref="F143">
    <cfRule type="expression" dxfId="2945" priority="904">
      <formula>B143=""</formula>
    </cfRule>
  </conditionalFormatting>
  <conditionalFormatting sqref="F144">
    <cfRule type="expression" dxfId="2944" priority="903">
      <formula>B144=""</formula>
    </cfRule>
  </conditionalFormatting>
  <conditionalFormatting sqref="F145">
    <cfRule type="expression" dxfId="2943" priority="902">
      <formula>B145=""</formula>
    </cfRule>
  </conditionalFormatting>
  <conditionalFormatting sqref="F146">
    <cfRule type="expression" dxfId="2942" priority="901">
      <formula>B146=""</formula>
    </cfRule>
  </conditionalFormatting>
  <conditionalFormatting sqref="F147">
    <cfRule type="expression" dxfId="2941" priority="900">
      <formula>B147=""</formula>
    </cfRule>
  </conditionalFormatting>
  <conditionalFormatting sqref="F148">
    <cfRule type="expression" dxfId="2940" priority="899">
      <formula>B148=""</formula>
    </cfRule>
  </conditionalFormatting>
  <conditionalFormatting sqref="F149">
    <cfRule type="expression" dxfId="2939" priority="898">
      <formula>B149=""</formula>
    </cfRule>
  </conditionalFormatting>
  <conditionalFormatting sqref="G129 G131 G133 G135 G137 G139 G141 G143 G145 G147">
    <cfRule type="expression" dxfId="2938" priority="887">
      <formula>B129=""</formula>
    </cfRule>
  </conditionalFormatting>
  <conditionalFormatting sqref="G130 G132 G134 G136 G138 G140 G142 G144 G146 G148">
    <cfRule type="expression" dxfId="2937" priority="886">
      <formula>B130=""</formula>
    </cfRule>
  </conditionalFormatting>
  <conditionalFormatting sqref="G131">
    <cfRule type="expression" dxfId="2936" priority="885">
      <formula>B131=""</formula>
    </cfRule>
  </conditionalFormatting>
  <conditionalFormatting sqref="G132:G142">
    <cfRule type="expression" dxfId="2935" priority="884">
      <formula>B132=""</formula>
    </cfRule>
  </conditionalFormatting>
  <conditionalFormatting sqref="G143">
    <cfRule type="expression" dxfId="2934" priority="883">
      <formula>B143=""</formula>
    </cfRule>
  </conditionalFormatting>
  <conditionalFormatting sqref="G144">
    <cfRule type="expression" dxfId="2933" priority="882">
      <formula>B144=""</formula>
    </cfRule>
  </conditionalFormatting>
  <conditionalFormatting sqref="G145">
    <cfRule type="expression" dxfId="2932" priority="881">
      <formula>B145=""</formula>
    </cfRule>
  </conditionalFormatting>
  <conditionalFormatting sqref="G146">
    <cfRule type="expression" dxfId="2931" priority="880">
      <formula>B146=""</formula>
    </cfRule>
  </conditionalFormatting>
  <conditionalFormatting sqref="G147">
    <cfRule type="expression" dxfId="2930" priority="879">
      <formula>B147=""</formula>
    </cfRule>
  </conditionalFormatting>
  <conditionalFormatting sqref="G148">
    <cfRule type="expression" dxfId="2929" priority="878">
      <formula>B148=""</formula>
    </cfRule>
  </conditionalFormatting>
  <conditionalFormatting sqref="G149">
    <cfRule type="expression" dxfId="2928" priority="877">
      <formula>B149=""</formula>
    </cfRule>
  </conditionalFormatting>
  <conditionalFormatting sqref="H129 H131 H133 H135 H137 H139 H141 H143 H145 H147">
    <cfRule type="expression" dxfId="2927" priority="876">
      <formula>B129=""</formula>
    </cfRule>
  </conditionalFormatting>
  <conditionalFormatting sqref="H130 H132 H134 H136 H138 H140 H142 H144 H146 H148">
    <cfRule type="expression" dxfId="2926" priority="875">
      <formula>B130=""</formula>
    </cfRule>
  </conditionalFormatting>
  <conditionalFormatting sqref="H131">
    <cfRule type="expression" dxfId="2925" priority="874">
      <formula>B131=""</formula>
    </cfRule>
  </conditionalFormatting>
  <conditionalFormatting sqref="H132:H142">
    <cfRule type="expression" dxfId="2924" priority="873">
      <formula>B132=""</formula>
    </cfRule>
  </conditionalFormatting>
  <conditionalFormatting sqref="H143">
    <cfRule type="expression" dxfId="2923" priority="872">
      <formula>B143=""</formula>
    </cfRule>
  </conditionalFormatting>
  <conditionalFormatting sqref="H144">
    <cfRule type="expression" dxfId="2922" priority="871">
      <formula>B144=""</formula>
    </cfRule>
  </conditionalFormatting>
  <conditionalFormatting sqref="H145">
    <cfRule type="expression" dxfId="2921" priority="870">
      <formula>B145=""</formula>
    </cfRule>
  </conditionalFormatting>
  <conditionalFormatting sqref="H146">
    <cfRule type="expression" dxfId="2920" priority="869">
      <formula>B146=""</formula>
    </cfRule>
  </conditionalFormatting>
  <conditionalFormatting sqref="H147">
    <cfRule type="expression" dxfId="2919" priority="868">
      <formula>B147=""</formula>
    </cfRule>
  </conditionalFormatting>
  <conditionalFormatting sqref="H148">
    <cfRule type="expression" dxfId="2918" priority="867">
      <formula>B148=""</formula>
    </cfRule>
  </conditionalFormatting>
  <conditionalFormatting sqref="H149">
    <cfRule type="expression" dxfId="2917" priority="866">
      <formula>B149=""</formula>
    </cfRule>
  </conditionalFormatting>
  <conditionalFormatting sqref="C151 C153 C155 C157 C159 C161 C163 C165 C167 C169">
    <cfRule type="expression" dxfId="2916" priority="864">
      <formula>B151=""</formula>
    </cfRule>
  </conditionalFormatting>
  <conditionalFormatting sqref="C152 C154 C156 C158 C160 C162 C164 C166 C168 C170">
    <cfRule type="expression" dxfId="2915" priority="863">
      <formula>B152=""</formula>
    </cfRule>
  </conditionalFormatting>
  <conditionalFormatting sqref="C153:C163">
    <cfRule type="expression" dxfId="2914" priority="862">
      <formula>B153=""</formula>
    </cfRule>
  </conditionalFormatting>
  <conditionalFormatting sqref="C164">
    <cfRule type="expression" dxfId="2913" priority="861">
      <formula>B164=""</formula>
    </cfRule>
  </conditionalFormatting>
  <conditionalFormatting sqref="C165">
    <cfRule type="expression" dxfId="2912" priority="860">
      <formula>B165=""</formula>
    </cfRule>
  </conditionalFormatting>
  <conditionalFormatting sqref="C166">
    <cfRule type="expression" dxfId="2911" priority="859">
      <formula>B166=""</formula>
    </cfRule>
  </conditionalFormatting>
  <conditionalFormatting sqref="C167">
    <cfRule type="expression" dxfId="2910" priority="858">
      <formula>B167=""</formula>
    </cfRule>
  </conditionalFormatting>
  <conditionalFormatting sqref="C168">
    <cfRule type="expression" dxfId="2909" priority="857">
      <formula>B168=""</formula>
    </cfRule>
  </conditionalFormatting>
  <conditionalFormatting sqref="C169">
    <cfRule type="expression" dxfId="2908" priority="856">
      <formula>B169=""</formula>
    </cfRule>
  </conditionalFormatting>
  <conditionalFormatting sqref="C170">
    <cfRule type="expression" dxfId="2907" priority="855">
      <formula>B170=""</formula>
    </cfRule>
  </conditionalFormatting>
  <conditionalFormatting sqref="C171">
    <cfRule type="expression" dxfId="2906" priority="854">
      <formula>B171=""</formula>
    </cfRule>
  </conditionalFormatting>
  <conditionalFormatting sqref="D151 D153 D155 D157 D159 D161 D163 D165 D167 D169">
    <cfRule type="expression" dxfId="2905" priority="853">
      <formula>B151=""</formula>
    </cfRule>
  </conditionalFormatting>
  <conditionalFormatting sqref="D152 D154 D156 D158 D160 D162 D164 D166 D168 D170">
    <cfRule type="expression" dxfId="2904" priority="852">
      <formula>B152=""</formula>
    </cfRule>
  </conditionalFormatting>
  <conditionalFormatting sqref="D153:D163">
    <cfRule type="expression" dxfId="2903" priority="851">
      <formula>B153=""</formula>
    </cfRule>
  </conditionalFormatting>
  <conditionalFormatting sqref="D164">
    <cfRule type="expression" dxfId="2902" priority="850">
      <formula>B164=""</formula>
    </cfRule>
  </conditionalFormatting>
  <conditionalFormatting sqref="D165">
    <cfRule type="expression" dxfId="2901" priority="849">
      <formula>B165=""</formula>
    </cfRule>
  </conditionalFormatting>
  <conditionalFormatting sqref="D166">
    <cfRule type="expression" dxfId="2900" priority="848">
      <formula>B166=""</formula>
    </cfRule>
  </conditionalFormatting>
  <conditionalFormatting sqref="D167">
    <cfRule type="expression" dxfId="2899" priority="847">
      <formula>B167=""</formula>
    </cfRule>
  </conditionalFormatting>
  <conditionalFormatting sqref="D168">
    <cfRule type="expression" dxfId="2898" priority="846">
      <formula>B168=""</formula>
    </cfRule>
  </conditionalFormatting>
  <conditionalFormatting sqref="D169">
    <cfRule type="expression" dxfId="2897" priority="845">
      <formula>B169=""</formula>
    </cfRule>
  </conditionalFormatting>
  <conditionalFormatting sqref="D170">
    <cfRule type="expression" dxfId="2896" priority="844">
      <formula>B170=""</formula>
    </cfRule>
  </conditionalFormatting>
  <conditionalFormatting sqref="D171">
    <cfRule type="expression" dxfId="2895" priority="843">
      <formula>B171=""</formula>
    </cfRule>
  </conditionalFormatting>
  <conditionalFormatting sqref="F151 F153 F155 F157 F159 F161 F163 F165 F167 F169">
    <cfRule type="expression" dxfId="2894" priority="831">
      <formula>B151=""</formula>
    </cfRule>
  </conditionalFormatting>
  <conditionalFormatting sqref="F152 F154 F156 F158 F160 F162 F164 F166 F168 F170">
    <cfRule type="expression" dxfId="2893" priority="830">
      <formula>B152=""</formula>
    </cfRule>
  </conditionalFormatting>
  <conditionalFormatting sqref="F153:F163">
    <cfRule type="expression" dxfId="2892" priority="829">
      <formula>B153=""</formula>
    </cfRule>
  </conditionalFormatting>
  <conditionalFormatting sqref="F164">
    <cfRule type="expression" dxfId="2891" priority="828">
      <formula>B164=""</formula>
    </cfRule>
  </conditionalFormatting>
  <conditionalFormatting sqref="F165">
    <cfRule type="expression" dxfId="2890" priority="827">
      <formula>B165=""</formula>
    </cfRule>
  </conditionalFormatting>
  <conditionalFormatting sqref="F166">
    <cfRule type="expression" dxfId="2889" priority="826">
      <formula>B166=""</formula>
    </cfRule>
  </conditionalFormatting>
  <conditionalFormatting sqref="F167">
    <cfRule type="expression" dxfId="2888" priority="825">
      <formula>B167=""</formula>
    </cfRule>
  </conditionalFormatting>
  <conditionalFormatting sqref="F168">
    <cfRule type="expression" dxfId="2887" priority="824">
      <formula>B168=""</formula>
    </cfRule>
  </conditionalFormatting>
  <conditionalFormatting sqref="F169">
    <cfRule type="expression" dxfId="2886" priority="823">
      <formula>B169=""</formula>
    </cfRule>
  </conditionalFormatting>
  <conditionalFormatting sqref="F170">
    <cfRule type="expression" dxfId="2885" priority="822">
      <formula>B170=""</formula>
    </cfRule>
  </conditionalFormatting>
  <conditionalFormatting sqref="F171">
    <cfRule type="expression" dxfId="2884" priority="821">
      <formula>B171=""</formula>
    </cfRule>
  </conditionalFormatting>
  <conditionalFormatting sqref="G151 G153 G155 G157 G159 G161 G163 G165 G167 G169">
    <cfRule type="expression" dxfId="2883" priority="810">
      <formula>B151=""</formula>
    </cfRule>
  </conditionalFormatting>
  <conditionalFormatting sqref="G152 G154 G156 G158 G160 G162 G164 G166 G168 G170">
    <cfRule type="expression" dxfId="2882" priority="809">
      <formula>B152=""</formula>
    </cfRule>
  </conditionalFormatting>
  <conditionalFormatting sqref="G153:G163">
    <cfRule type="expression" dxfId="2881" priority="808">
      <formula>B153=""</formula>
    </cfRule>
  </conditionalFormatting>
  <conditionalFormatting sqref="G164">
    <cfRule type="expression" dxfId="2880" priority="807">
      <formula>B164=""</formula>
    </cfRule>
  </conditionalFormatting>
  <conditionalFormatting sqref="G165">
    <cfRule type="expression" dxfId="2879" priority="806">
      <formula>B165=""</formula>
    </cfRule>
  </conditionalFormatting>
  <conditionalFormatting sqref="G166">
    <cfRule type="expression" dxfId="2878" priority="805">
      <formula>B166=""</formula>
    </cfRule>
  </conditionalFormatting>
  <conditionalFormatting sqref="G167">
    <cfRule type="expression" dxfId="2877" priority="804">
      <formula>B167=""</formula>
    </cfRule>
  </conditionalFormatting>
  <conditionalFormatting sqref="G168">
    <cfRule type="expression" dxfId="2876" priority="803">
      <formula>B168=""</formula>
    </cfRule>
  </conditionalFormatting>
  <conditionalFormatting sqref="G169">
    <cfRule type="expression" dxfId="2875" priority="802">
      <formula>B169=""</formula>
    </cfRule>
  </conditionalFormatting>
  <conditionalFormatting sqref="G170">
    <cfRule type="expression" dxfId="2874" priority="801">
      <formula>B170=""</formula>
    </cfRule>
  </conditionalFormatting>
  <conditionalFormatting sqref="G171">
    <cfRule type="expression" dxfId="2873" priority="800">
      <formula>B171=""</formula>
    </cfRule>
  </conditionalFormatting>
  <conditionalFormatting sqref="H151 H153 H155 H157 H159 H161 H163 H165 H167 H169">
    <cfRule type="expression" dxfId="2872" priority="799">
      <formula>B151=""</formula>
    </cfRule>
  </conditionalFormatting>
  <conditionalFormatting sqref="H152 H154 H156 H158 H160 H162 H164 H166 H168 H170">
    <cfRule type="expression" dxfId="2871" priority="798">
      <formula>B152=""</formula>
    </cfRule>
  </conditionalFormatting>
  <conditionalFormatting sqref="H153:H163">
    <cfRule type="expression" dxfId="2870" priority="797">
      <formula>B153=""</formula>
    </cfRule>
  </conditionalFormatting>
  <conditionalFormatting sqref="H164">
    <cfRule type="expression" dxfId="2869" priority="796">
      <formula>B164=""</formula>
    </cfRule>
  </conditionalFormatting>
  <conditionalFormatting sqref="H165">
    <cfRule type="expression" dxfId="2868" priority="795">
      <formula>B165=""</formula>
    </cfRule>
  </conditionalFormatting>
  <conditionalFormatting sqref="H166">
    <cfRule type="expression" dxfId="2867" priority="794">
      <formula>B166=""</formula>
    </cfRule>
  </conditionalFormatting>
  <conditionalFormatting sqref="H167">
    <cfRule type="expression" dxfId="2866" priority="793">
      <formula>B167=""</formula>
    </cfRule>
  </conditionalFormatting>
  <conditionalFormatting sqref="H168">
    <cfRule type="expression" dxfId="2865" priority="792">
      <formula>B168=""</formula>
    </cfRule>
  </conditionalFormatting>
  <conditionalFormatting sqref="H169">
    <cfRule type="expression" dxfId="2864" priority="791">
      <formula>B169=""</formula>
    </cfRule>
  </conditionalFormatting>
  <conditionalFormatting sqref="H170">
    <cfRule type="expression" dxfId="2863" priority="790">
      <formula>B170=""</formula>
    </cfRule>
  </conditionalFormatting>
  <conditionalFormatting sqref="H171">
    <cfRule type="expression" dxfId="2862" priority="789">
      <formula>B171=""</formula>
    </cfRule>
  </conditionalFormatting>
  <conditionalFormatting sqref="C126">
    <cfRule type="expression" dxfId="2861" priority="787">
      <formula>B126=""</formula>
    </cfRule>
  </conditionalFormatting>
  <conditionalFormatting sqref="C148">
    <cfRule type="expression" dxfId="2860" priority="785">
      <formula>B148=""</formula>
    </cfRule>
  </conditionalFormatting>
  <conditionalFormatting sqref="C170">
    <cfRule type="expression" dxfId="2859" priority="783">
      <formula>B170=""</formula>
    </cfRule>
  </conditionalFormatting>
  <conditionalFormatting sqref="C10:C29">
    <cfRule type="expression" dxfId="2858" priority="419">
      <formula>B10=""</formula>
    </cfRule>
  </conditionalFormatting>
  <conditionalFormatting sqref="C11 C13 C15 C17 C19 C21 C23 C25 C27 C29">
    <cfRule type="expression" dxfId="2857" priority="418">
      <formula>B11=""</formula>
    </cfRule>
  </conditionalFormatting>
  <conditionalFormatting sqref="C12">
    <cfRule type="expression" dxfId="2856" priority="417">
      <formula>B12=""</formula>
    </cfRule>
  </conditionalFormatting>
  <conditionalFormatting sqref="C13:C23">
    <cfRule type="expression" dxfId="2855" priority="416">
      <formula>B13=""</formula>
    </cfRule>
  </conditionalFormatting>
  <conditionalFormatting sqref="C24">
    <cfRule type="expression" dxfId="2854" priority="415">
      <formula>B24=""</formula>
    </cfRule>
  </conditionalFormatting>
  <conditionalFormatting sqref="C25">
    <cfRule type="expression" dxfId="2853" priority="414">
      <formula>B25=""</formula>
    </cfRule>
  </conditionalFormatting>
  <conditionalFormatting sqref="C26">
    <cfRule type="expression" dxfId="2852" priority="413">
      <formula>B26=""</formula>
    </cfRule>
  </conditionalFormatting>
  <conditionalFormatting sqref="C27">
    <cfRule type="expression" dxfId="2851" priority="412">
      <formula>B27=""</formula>
    </cfRule>
  </conditionalFormatting>
  <conditionalFormatting sqref="C28">
    <cfRule type="expression" dxfId="2850" priority="411">
      <formula>B28=""</formula>
    </cfRule>
  </conditionalFormatting>
  <conditionalFormatting sqref="C29">
    <cfRule type="expression" dxfId="2849" priority="410">
      <formula>B29=""</formula>
    </cfRule>
  </conditionalFormatting>
  <conditionalFormatting sqref="C30">
    <cfRule type="expression" dxfId="2848" priority="409">
      <formula>B30=""</formula>
    </cfRule>
  </conditionalFormatting>
  <conditionalFormatting sqref="D10">
    <cfRule type="expression" dxfId="2847" priority="408">
      <formula>B10=""</formula>
    </cfRule>
  </conditionalFormatting>
  <conditionalFormatting sqref="D11">
    <cfRule type="expression" dxfId="2846" priority="407">
      <formula>B11=""</formula>
    </cfRule>
  </conditionalFormatting>
  <conditionalFormatting sqref="D12">
    <cfRule type="expression" dxfId="2845" priority="406">
      <formula>B12=""</formula>
    </cfRule>
  </conditionalFormatting>
  <conditionalFormatting sqref="D13:D23">
    <cfRule type="expression" dxfId="2844" priority="405">
      <formula>B13=""</formula>
    </cfRule>
  </conditionalFormatting>
  <conditionalFormatting sqref="D24">
    <cfRule type="expression" dxfId="2843" priority="404">
      <formula>B24=""</formula>
    </cfRule>
  </conditionalFormatting>
  <conditionalFormatting sqref="D25">
    <cfRule type="expression" dxfId="2842" priority="403">
      <formula>B25=""</formula>
    </cfRule>
  </conditionalFormatting>
  <conditionalFormatting sqref="D26">
    <cfRule type="expression" dxfId="2841" priority="402">
      <formula>B26=""</formula>
    </cfRule>
  </conditionalFormatting>
  <conditionalFormatting sqref="D27">
    <cfRule type="expression" dxfId="2840" priority="401">
      <formula>B27=""</formula>
    </cfRule>
  </conditionalFormatting>
  <conditionalFormatting sqref="D28">
    <cfRule type="expression" dxfId="2839" priority="400">
      <formula>B28=""</formula>
    </cfRule>
  </conditionalFormatting>
  <conditionalFormatting sqref="D29">
    <cfRule type="expression" dxfId="2838" priority="399">
      <formula>B29=""</formula>
    </cfRule>
  </conditionalFormatting>
  <conditionalFormatting sqref="D30">
    <cfRule type="expression" dxfId="2837" priority="398">
      <formula>B30=""</formula>
    </cfRule>
  </conditionalFormatting>
  <conditionalFormatting sqref="E10:E30">
    <cfRule type="expression" dxfId="2836" priority="397">
      <formula>B10=""</formula>
    </cfRule>
  </conditionalFormatting>
  <conditionalFormatting sqref="E11 E13 E15 E17 E19 E21 E23 E25 E27 E29">
    <cfRule type="expression" dxfId="2835" priority="396">
      <formula>B11=""</formula>
    </cfRule>
  </conditionalFormatting>
  <conditionalFormatting sqref="E12">
    <cfRule type="expression" dxfId="2834" priority="395">
      <formula>B12=""</formula>
    </cfRule>
  </conditionalFormatting>
  <conditionalFormatting sqref="E13:E23">
    <cfRule type="expression" dxfId="2833" priority="394">
      <formula>B13=""</formula>
    </cfRule>
  </conditionalFormatting>
  <conditionalFormatting sqref="E24">
    <cfRule type="expression" dxfId="2832" priority="393">
      <formula>B24=""</formula>
    </cfRule>
  </conditionalFormatting>
  <conditionalFormatting sqref="E25">
    <cfRule type="expression" dxfId="2831" priority="392">
      <formula>B25=""</formula>
    </cfRule>
  </conditionalFormatting>
  <conditionalFormatting sqref="E26">
    <cfRule type="expression" dxfId="2830" priority="391">
      <formula>B26=""</formula>
    </cfRule>
  </conditionalFormatting>
  <conditionalFormatting sqref="E27">
    <cfRule type="expression" dxfId="2829" priority="390">
      <formula>B27=""</formula>
    </cfRule>
  </conditionalFormatting>
  <conditionalFormatting sqref="E28">
    <cfRule type="expression" dxfId="2828" priority="389">
      <formula>B28=""</formula>
    </cfRule>
  </conditionalFormatting>
  <conditionalFormatting sqref="E29">
    <cfRule type="expression" dxfId="2827" priority="388">
      <formula>B29=""</formula>
    </cfRule>
  </conditionalFormatting>
  <conditionalFormatting sqref="E30">
    <cfRule type="expression" dxfId="2826" priority="387">
      <formula>B30=""</formula>
    </cfRule>
  </conditionalFormatting>
  <conditionalFormatting sqref="F10:F29">
    <cfRule type="expression" dxfId="2825" priority="386">
      <formula>B10=""</formula>
    </cfRule>
  </conditionalFormatting>
  <conditionalFormatting sqref="F11 F13 F15 F17 F19 F21 F23 F25 F27 F29">
    <cfRule type="expression" dxfId="2824" priority="385">
      <formula>B11=""</formula>
    </cfRule>
  </conditionalFormatting>
  <conditionalFormatting sqref="F12">
    <cfRule type="expression" dxfId="2823" priority="384">
      <formula>B12=""</formula>
    </cfRule>
  </conditionalFormatting>
  <conditionalFormatting sqref="F13:F23">
    <cfRule type="expression" dxfId="2822" priority="383">
      <formula>B13=""</formula>
    </cfRule>
  </conditionalFormatting>
  <conditionalFormatting sqref="F24">
    <cfRule type="expression" dxfId="2821" priority="382">
      <formula>B24=""</formula>
    </cfRule>
  </conditionalFormatting>
  <conditionalFormatting sqref="F25">
    <cfRule type="expression" dxfId="2820" priority="381">
      <formula>B25=""</formula>
    </cfRule>
  </conditionalFormatting>
  <conditionalFormatting sqref="F26">
    <cfRule type="expression" dxfId="2819" priority="380">
      <formula>B26=""</formula>
    </cfRule>
  </conditionalFormatting>
  <conditionalFormatting sqref="F27">
    <cfRule type="expression" dxfId="2818" priority="379">
      <formula>B27=""</formula>
    </cfRule>
  </conditionalFormatting>
  <conditionalFormatting sqref="F28">
    <cfRule type="expression" dxfId="2817" priority="378">
      <formula>B28=""</formula>
    </cfRule>
  </conditionalFormatting>
  <conditionalFormatting sqref="F29">
    <cfRule type="expression" dxfId="2816" priority="377">
      <formula>B29=""</formula>
    </cfRule>
  </conditionalFormatting>
  <conditionalFormatting sqref="F30">
    <cfRule type="expression" dxfId="2815" priority="376">
      <formula>B30=""</formula>
    </cfRule>
  </conditionalFormatting>
  <conditionalFormatting sqref="E11 E13 E15 E17 E19 E21 E23 E25 E27 E29">
    <cfRule type="expression" dxfId="2814" priority="375">
      <formula>B11=""</formula>
    </cfRule>
  </conditionalFormatting>
  <conditionalFormatting sqref="E12">
    <cfRule type="expression" dxfId="2813" priority="374">
      <formula>B12=""</formula>
    </cfRule>
  </conditionalFormatting>
  <conditionalFormatting sqref="E13:E23">
    <cfRule type="expression" dxfId="2812" priority="373">
      <formula>B13=""</formula>
    </cfRule>
  </conditionalFormatting>
  <conditionalFormatting sqref="E24">
    <cfRule type="expression" dxfId="2811" priority="372">
      <formula>B24=""</formula>
    </cfRule>
  </conditionalFormatting>
  <conditionalFormatting sqref="E25">
    <cfRule type="expression" dxfId="2810" priority="371">
      <formula>B25=""</formula>
    </cfRule>
  </conditionalFormatting>
  <conditionalFormatting sqref="E26">
    <cfRule type="expression" dxfId="2809" priority="370">
      <formula>B26=""</formula>
    </cfRule>
  </conditionalFormatting>
  <conditionalFormatting sqref="E27">
    <cfRule type="expression" dxfId="2808" priority="369">
      <formula>B27=""</formula>
    </cfRule>
  </conditionalFormatting>
  <conditionalFormatting sqref="E28">
    <cfRule type="expression" dxfId="2807" priority="368">
      <formula>B28=""</formula>
    </cfRule>
  </conditionalFormatting>
  <conditionalFormatting sqref="E29">
    <cfRule type="expression" dxfId="2806" priority="367">
      <formula>B29=""</formula>
    </cfRule>
  </conditionalFormatting>
  <conditionalFormatting sqref="E30">
    <cfRule type="expression" dxfId="2805" priority="366">
      <formula>B30=""</formula>
    </cfRule>
  </conditionalFormatting>
  <conditionalFormatting sqref="G10:G30">
    <cfRule type="expression" dxfId="2804" priority="365">
      <formula>B10=""</formula>
    </cfRule>
  </conditionalFormatting>
  <conditionalFormatting sqref="G11 G13 G15 G17 G19 G21 G23 G25 G27 G29">
    <cfRule type="expression" dxfId="2803" priority="364">
      <formula>B11=""</formula>
    </cfRule>
  </conditionalFormatting>
  <conditionalFormatting sqref="G12">
    <cfRule type="expression" dxfId="2802" priority="363">
      <formula>B12=""</formula>
    </cfRule>
  </conditionalFormatting>
  <conditionalFormatting sqref="G13:G23">
    <cfRule type="expression" dxfId="2801" priority="362">
      <formula>B13=""</formula>
    </cfRule>
  </conditionalFormatting>
  <conditionalFormatting sqref="G24">
    <cfRule type="expression" dxfId="2800" priority="361">
      <formula>B24=""</formula>
    </cfRule>
  </conditionalFormatting>
  <conditionalFormatting sqref="G25">
    <cfRule type="expression" dxfId="2799" priority="360">
      <formula>B25=""</formula>
    </cfRule>
  </conditionalFormatting>
  <conditionalFormatting sqref="G26">
    <cfRule type="expression" dxfId="2798" priority="359">
      <formula>B26=""</formula>
    </cfRule>
  </conditionalFormatting>
  <conditionalFormatting sqref="G27">
    <cfRule type="expression" dxfId="2797" priority="358">
      <formula>B27=""</formula>
    </cfRule>
  </conditionalFormatting>
  <conditionalFormatting sqref="G28">
    <cfRule type="expression" dxfId="2796" priority="357">
      <formula>B28=""</formula>
    </cfRule>
  </conditionalFormatting>
  <conditionalFormatting sqref="G29">
    <cfRule type="expression" dxfId="2795" priority="356">
      <formula>B29=""</formula>
    </cfRule>
  </conditionalFormatting>
  <conditionalFormatting sqref="G30">
    <cfRule type="expression" dxfId="2794" priority="355">
      <formula>B30=""</formula>
    </cfRule>
  </conditionalFormatting>
  <conditionalFormatting sqref="H10">
    <cfRule type="expression" dxfId="2793" priority="354">
      <formula>B10=""</formula>
    </cfRule>
  </conditionalFormatting>
  <conditionalFormatting sqref="H11">
    <cfRule type="expression" dxfId="2792" priority="353">
      <formula>B11=""</formula>
    </cfRule>
  </conditionalFormatting>
  <conditionalFormatting sqref="H12">
    <cfRule type="expression" dxfId="2791" priority="352">
      <formula>B12=""</formula>
    </cfRule>
  </conditionalFormatting>
  <conditionalFormatting sqref="H13:H23">
    <cfRule type="expression" dxfId="2790" priority="351">
      <formula>B13=""</formula>
    </cfRule>
  </conditionalFormatting>
  <conditionalFormatting sqref="H24">
    <cfRule type="expression" dxfId="2789" priority="350">
      <formula>B24=""</formula>
    </cfRule>
  </conditionalFormatting>
  <conditionalFormatting sqref="H25">
    <cfRule type="expression" dxfId="2788" priority="349">
      <formula>B25=""</formula>
    </cfRule>
  </conditionalFormatting>
  <conditionalFormatting sqref="H26">
    <cfRule type="expression" dxfId="2787" priority="348">
      <formula>B26=""</formula>
    </cfRule>
  </conditionalFormatting>
  <conditionalFormatting sqref="H27">
    <cfRule type="expression" dxfId="2786" priority="347">
      <formula>B27=""</formula>
    </cfRule>
  </conditionalFormatting>
  <conditionalFormatting sqref="H28">
    <cfRule type="expression" dxfId="2785" priority="346">
      <formula>B28=""</formula>
    </cfRule>
  </conditionalFormatting>
  <conditionalFormatting sqref="H29">
    <cfRule type="expression" dxfId="2784" priority="345">
      <formula>B29=""</formula>
    </cfRule>
  </conditionalFormatting>
  <conditionalFormatting sqref="H30">
    <cfRule type="expression" dxfId="2783" priority="344">
      <formula>B30=""</formula>
    </cfRule>
  </conditionalFormatting>
  <conditionalFormatting sqref="C36:C55">
    <cfRule type="expression" dxfId="2782" priority="342">
      <formula>B36=""</formula>
    </cfRule>
  </conditionalFormatting>
  <conditionalFormatting sqref="C37 C39 C41 C43 C45 C47 C49 C51 C53 C55">
    <cfRule type="expression" dxfId="2781" priority="341">
      <formula>B37=""</formula>
    </cfRule>
  </conditionalFormatting>
  <conditionalFormatting sqref="C38:C48">
    <cfRule type="expression" dxfId="2780" priority="340">
      <formula>B38=""</formula>
    </cfRule>
  </conditionalFormatting>
  <conditionalFormatting sqref="C49">
    <cfRule type="expression" dxfId="2779" priority="339">
      <formula>B49=""</formula>
    </cfRule>
  </conditionalFormatting>
  <conditionalFormatting sqref="C50">
    <cfRule type="expression" dxfId="2778" priority="338">
      <formula>B50=""</formula>
    </cfRule>
  </conditionalFormatting>
  <conditionalFormatting sqref="C51">
    <cfRule type="expression" dxfId="2777" priority="337">
      <formula>B51=""</formula>
    </cfRule>
  </conditionalFormatting>
  <conditionalFormatting sqref="C52">
    <cfRule type="expression" dxfId="2776" priority="336">
      <formula>B52=""</formula>
    </cfRule>
  </conditionalFormatting>
  <conditionalFormatting sqref="C53">
    <cfRule type="expression" dxfId="2775" priority="335">
      <formula>B53=""</formula>
    </cfRule>
  </conditionalFormatting>
  <conditionalFormatting sqref="C54">
    <cfRule type="expression" dxfId="2774" priority="334">
      <formula>B54=""</formula>
    </cfRule>
  </conditionalFormatting>
  <conditionalFormatting sqref="C55">
    <cfRule type="expression" dxfId="2773" priority="333">
      <formula>B55=""</formula>
    </cfRule>
  </conditionalFormatting>
  <conditionalFormatting sqref="C56">
    <cfRule type="expression" dxfId="2772" priority="332">
      <formula>B56=""</formula>
    </cfRule>
  </conditionalFormatting>
  <conditionalFormatting sqref="D36">
    <cfRule type="expression" dxfId="2771" priority="331">
      <formula>B36=""</formula>
    </cfRule>
  </conditionalFormatting>
  <conditionalFormatting sqref="D37">
    <cfRule type="expression" dxfId="2770" priority="330">
      <formula>B37=""</formula>
    </cfRule>
  </conditionalFormatting>
  <conditionalFormatting sqref="D38:D48">
    <cfRule type="expression" dxfId="2769" priority="329">
      <formula>B38=""</formula>
    </cfRule>
  </conditionalFormatting>
  <conditionalFormatting sqref="D49">
    <cfRule type="expression" dxfId="2768" priority="328">
      <formula>B49=""</formula>
    </cfRule>
  </conditionalFormatting>
  <conditionalFormatting sqref="D50">
    <cfRule type="expression" dxfId="2767" priority="327">
      <formula>B50=""</formula>
    </cfRule>
  </conditionalFormatting>
  <conditionalFormatting sqref="D51">
    <cfRule type="expression" dxfId="2766" priority="326">
      <formula>B51=""</formula>
    </cfRule>
  </conditionalFormatting>
  <conditionalFormatting sqref="D52">
    <cfRule type="expression" dxfId="2765" priority="325">
      <formula>B52=""</formula>
    </cfRule>
  </conditionalFormatting>
  <conditionalFormatting sqref="D53">
    <cfRule type="expression" dxfId="2764" priority="324">
      <formula>B53=""</formula>
    </cfRule>
  </conditionalFormatting>
  <conditionalFormatting sqref="D54">
    <cfRule type="expression" dxfId="2763" priority="323">
      <formula>B54=""</formula>
    </cfRule>
  </conditionalFormatting>
  <conditionalFormatting sqref="D55">
    <cfRule type="expression" dxfId="2762" priority="322">
      <formula>B55=""</formula>
    </cfRule>
  </conditionalFormatting>
  <conditionalFormatting sqref="D56">
    <cfRule type="expression" dxfId="2761" priority="321">
      <formula>B56=""</formula>
    </cfRule>
  </conditionalFormatting>
  <conditionalFormatting sqref="E36:E56">
    <cfRule type="expression" dxfId="2760" priority="320">
      <formula>B36=""</formula>
    </cfRule>
  </conditionalFormatting>
  <conditionalFormatting sqref="E37">
    <cfRule type="expression" dxfId="2759" priority="319">
      <formula>B37=""</formula>
    </cfRule>
  </conditionalFormatting>
  <conditionalFormatting sqref="E38:E48">
    <cfRule type="expression" dxfId="2758" priority="318">
      <formula>B38=""</formula>
    </cfRule>
  </conditionalFormatting>
  <conditionalFormatting sqref="E49">
    <cfRule type="expression" dxfId="2757" priority="317">
      <formula>B49=""</formula>
    </cfRule>
  </conditionalFormatting>
  <conditionalFormatting sqref="E50">
    <cfRule type="expression" dxfId="2756" priority="316">
      <formula>B50=""</formula>
    </cfRule>
  </conditionalFormatting>
  <conditionalFormatting sqref="E51">
    <cfRule type="expression" dxfId="2755" priority="315">
      <formula>B51=""</formula>
    </cfRule>
  </conditionalFormatting>
  <conditionalFormatting sqref="E52">
    <cfRule type="expression" dxfId="2754" priority="314">
      <formula>B52=""</formula>
    </cfRule>
  </conditionalFormatting>
  <conditionalFormatting sqref="E53">
    <cfRule type="expression" dxfId="2753" priority="313">
      <formula>B53=""</formula>
    </cfRule>
  </conditionalFormatting>
  <conditionalFormatting sqref="E54">
    <cfRule type="expression" dxfId="2752" priority="312">
      <formula>B54=""</formula>
    </cfRule>
  </conditionalFormatting>
  <conditionalFormatting sqref="E55">
    <cfRule type="expression" dxfId="2751" priority="311">
      <formula>B55=""</formula>
    </cfRule>
  </conditionalFormatting>
  <conditionalFormatting sqref="E56">
    <cfRule type="expression" dxfId="2750" priority="310">
      <formula>B56=""</formula>
    </cfRule>
  </conditionalFormatting>
  <conditionalFormatting sqref="F36:F56">
    <cfRule type="expression" dxfId="2749" priority="309">
      <formula>B36=""</formula>
    </cfRule>
  </conditionalFormatting>
  <conditionalFormatting sqref="F37">
    <cfRule type="expression" dxfId="2748" priority="308">
      <formula>B37=""</formula>
    </cfRule>
  </conditionalFormatting>
  <conditionalFormatting sqref="F38:F55">
    <cfRule type="expression" dxfId="2747" priority="307">
      <formula>B38=""</formula>
    </cfRule>
  </conditionalFormatting>
  <conditionalFormatting sqref="F49">
    <cfRule type="expression" dxfId="2746" priority="306">
      <formula>B49=""</formula>
    </cfRule>
  </conditionalFormatting>
  <conditionalFormatting sqref="F50">
    <cfRule type="expression" dxfId="2745" priority="305">
      <formula>B50=""</formula>
    </cfRule>
  </conditionalFormatting>
  <conditionalFormatting sqref="F51">
    <cfRule type="expression" dxfId="2744" priority="304">
      <formula>B51=""</formula>
    </cfRule>
  </conditionalFormatting>
  <conditionalFormatting sqref="F52">
    <cfRule type="expression" dxfId="2743" priority="303">
      <formula>B52=""</formula>
    </cfRule>
  </conditionalFormatting>
  <conditionalFormatting sqref="F53">
    <cfRule type="expression" dxfId="2742" priority="302">
      <formula>B53=""</formula>
    </cfRule>
  </conditionalFormatting>
  <conditionalFormatting sqref="F54">
    <cfRule type="expression" dxfId="2741" priority="301">
      <formula>B54=""</formula>
    </cfRule>
  </conditionalFormatting>
  <conditionalFormatting sqref="F55">
    <cfRule type="expression" dxfId="2740" priority="300">
      <formula>B55=""</formula>
    </cfRule>
  </conditionalFormatting>
  <conditionalFormatting sqref="F56">
    <cfRule type="expression" dxfId="2739" priority="299">
      <formula>B56=""</formula>
    </cfRule>
  </conditionalFormatting>
  <conditionalFormatting sqref="E37">
    <cfRule type="expression" dxfId="2738" priority="298">
      <formula>B37=""</formula>
    </cfRule>
  </conditionalFormatting>
  <conditionalFormatting sqref="E38:E48">
    <cfRule type="expression" dxfId="2737" priority="297">
      <formula>B38=""</formula>
    </cfRule>
  </conditionalFormatting>
  <conditionalFormatting sqref="E49">
    <cfRule type="expression" dxfId="2736" priority="296">
      <formula>B49=""</formula>
    </cfRule>
  </conditionalFormatting>
  <conditionalFormatting sqref="E50">
    <cfRule type="expression" dxfId="2735" priority="295">
      <formula>B50=""</formula>
    </cfRule>
  </conditionalFormatting>
  <conditionalFormatting sqref="E51">
    <cfRule type="expression" dxfId="2734" priority="294">
      <formula>B51=""</formula>
    </cfRule>
  </conditionalFormatting>
  <conditionalFormatting sqref="E52">
    <cfRule type="expression" dxfId="2733" priority="293">
      <formula>B52=""</formula>
    </cfRule>
  </conditionalFormatting>
  <conditionalFormatting sqref="E53">
    <cfRule type="expression" dxfId="2732" priority="292">
      <formula>B53=""</formula>
    </cfRule>
  </conditionalFormatting>
  <conditionalFormatting sqref="E54">
    <cfRule type="expression" dxfId="2731" priority="291">
      <formula>B54=""</formula>
    </cfRule>
  </conditionalFormatting>
  <conditionalFormatting sqref="E55">
    <cfRule type="expression" dxfId="2730" priority="290">
      <formula>B55=""</formula>
    </cfRule>
  </conditionalFormatting>
  <conditionalFormatting sqref="E56">
    <cfRule type="expression" dxfId="2729" priority="289">
      <formula>B56=""</formula>
    </cfRule>
  </conditionalFormatting>
  <conditionalFormatting sqref="G36:G56">
    <cfRule type="expression" dxfId="2728" priority="288">
      <formula>B36=""</formula>
    </cfRule>
  </conditionalFormatting>
  <conditionalFormatting sqref="G37">
    <cfRule type="expression" dxfId="2727" priority="287">
      <formula>B37=""</formula>
    </cfRule>
  </conditionalFormatting>
  <conditionalFormatting sqref="G38:G55">
    <cfRule type="expression" dxfId="2726" priority="286">
      <formula>B38=""</formula>
    </cfRule>
  </conditionalFormatting>
  <conditionalFormatting sqref="G49">
    <cfRule type="expression" dxfId="2725" priority="285">
      <formula>B49=""</formula>
    </cfRule>
  </conditionalFormatting>
  <conditionalFormatting sqref="G50">
    <cfRule type="expression" dxfId="2724" priority="284">
      <formula>B50=""</formula>
    </cfRule>
  </conditionalFormatting>
  <conditionalFormatting sqref="G51">
    <cfRule type="expression" dxfId="2723" priority="283">
      <formula>B51=""</formula>
    </cfRule>
  </conditionalFormatting>
  <conditionalFormatting sqref="G52">
    <cfRule type="expression" dxfId="2722" priority="282">
      <formula>B52=""</formula>
    </cfRule>
  </conditionalFormatting>
  <conditionalFormatting sqref="G53">
    <cfRule type="expression" dxfId="2721" priority="281">
      <formula>B53=""</formula>
    </cfRule>
  </conditionalFormatting>
  <conditionalFormatting sqref="G54">
    <cfRule type="expression" dxfId="2720" priority="280">
      <formula>B54=""</formula>
    </cfRule>
  </conditionalFormatting>
  <conditionalFormatting sqref="G55">
    <cfRule type="expression" dxfId="2719" priority="279">
      <formula>B55=""</formula>
    </cfRule>
  </conditionalFormatting>
  <conditionalFormatting sqref="G56">
    <cfRule type="expression" dxfId="2718" priority="278">
      <formula>B56=""</formula>
    </cfRule>
  </conditionalFormatting>
  <conditionalFormatting sqref="H36:H56">
    <cfRule type="expression" dxfId="2717" priority="277">
      <formula>B36=""</formula>
    </cfRule>
  </conditionalFormatting>
  <conditionalFormatting sqref="H37">
    <cfRule type="expression" dxfId="2716" priority="276">
      <formula>B37=""</formula>
    </cfRule>
  </conditionalFormatting>
  <conditionalFormatting sqref="H38:H55">
    <cfRule type="expression" dxfId="2715" priority="275">
      <formula>B38=""</formula>
    </cfRule>
  </conditionalFormatting>
  <conditionalFormatting sqref="H49">
    <cfRule type="expression" dxfId="2714" priority="274">
      <formula>B49=""</formula>
    </cfRule>
  </conditionalFormatting>
  <conditionalFormatting sqref="H50">
    <cfRule type="expression" dxfId="2713" priority="273">
      <formula>B50=""</formula>
    </cfRule>
  </conditionalFormatting>
  <conditionalFormatting sqref="H51">
    <cfRule type="expression" dxfId="2712" priority="272">
      <formula>B51=""</formula>
    </cfRule>
  </conditionalFormatting>
  <conditionalFormatting sqref="H52">
    <cfRule type="expression" dxfId="2711" priority="271">
      <formula>B52=""</formula>
    </cfRule>
  </conditionalFormatting>
  <conditionalFormatting sqref="H53">
    <cfRule type="expression" dxfId="2710" priority="270">
      <formula>B53=""</formula>
    </cfRule>
  </conditionalFormatting>
  <conditionalFormatting sqref="H54">
    <cfRule type="expression" dxfId="2709" priority="269">
      <formula>B54=""</formula>
    </cfRule>
  </conditionalFormatting>
  <conditionalFormatting sqref="H55">
    <cfRule type="expression" dxfId="2708" priority="268">
      <formula>B55=""</formula>
    </cfRule>
  </conditionalFormatting>
  <conditionalFormatting sqref="H56">
    <cfRule type="expression" dxfId="2707" priority="267">
      <formula>B56=""</formula>
    </cfRule>
  </conditionalFormatting>
  <conditionalFormatting sqref="C85:C104">
    <cfRule type="expression" dxfId="2706" priority="266">
      <formula>B85=""</formula>
    </cfRule>
  </conditionalFormatting>
  <conditionalFormatting sqref="C86 C88 C90 C92 C94 C96 C98 C100 C102 C104">
    <cfRule type="expression" dxfId="2705" priority="265">
      <formula>B86=""</formula>
    </cfRule>
  </conditionalFormatting>
  <conditionalFormatting sqref="C87">
    <cfRule type="expression" dxfId="2704" priority="264">
      <formula>B87=""</formula>
    </cfRule>
  </conditionalFormatting>
  <conditionalFormatting sqref="C88:C98">
    <cfRule type="expression" dxfId="2703" priority="263">
      <formula>B88=""</formula>
    </cfRule>
  </conditionalFormatting>
  <conditionalFormatting sqref="C99">
    <cfRule type="expression" dxfId="2702" priority="262">
      <formula>B99=""</formula>
    </cfRule>
  </conditionalFormatting>
  <conditionalFormatting sqref="C100">
    <cfRule type="expression" dxfId="2701" priority="261">
      <formula>B100=""</formula>
    </cfRule>
  </conditionalFormatting>
  <conditionalFormatting sqref="C101">
    <cfRule type="expression" dxfId="2700" priority="260">
      <formula>B101=""</formula>
    </cfRule>
  </conditionalFormatting>
  <conditionalFormatting sqref="C102">
    <cfRule type="expression" dxfId="2699" priority="259">
      <formula>B102=""</formula>
    </cfRule>
  </conditionalFormatting>
  <conditionalFormatting sqref="C103">
    <cfRule type="expression" dxfId="2698" priority="258">
      <formula>B103=""</formula>
    </cfRule>
  </conditionalFormatting>
  <conditionalFormatting sqref="C104">
    <cfRule type="expression" dxfId="2697" priority="257">
      <formula>B104=""</formula>
    </cfRule>
  </conditionalFormatting>
  <conditionalFormatting sqref="C105">
    <cfRule type="expression" dxfId="2696" priority="256">
      <formula>B105=""</formula>
    </cfRule>
  </conditionalFormatting>
  <conditionalFormatting sqref="C107:C126">
    <cfRule type="expression" dxfId="2695" priority="255">
      <formula>B107=""</formula>
    </cfRule>
  </conditionalFormatting>
  <conditionalFormatting sqref="C108 C110 C112 C114 C116 C118 C120 C122 C124 C126">
    <cfRule type="expression" dxfId="2694" priority="254">
      <formula>B108=""</formula>
    </cfRule>
  </conditionalFormatting>
  <conditionalFormatting sqref="C109">
    <cfRule type="expression" dxfId="2693" priority="253">
      <formula>B109=""</formula>
    </cfRule>
  </conditionalFormatting>
  <conditionalFormatting sqref="C110:C120">
    <cfRule type="expression" dxfId="2692" priority="252">
      <formula>B110=""</formula>
    </cfRule>
  </conditionalFormatting>
  <conditionalFormatting sqref="C121">
    <cfRule type="expression" dxfId="2691" priority="251">
      <formula>B121=""</formula>
    </cfRule>
  </conditionalFormatting>
  <conditionalFormatting sqref="C122">
    <cfRule type="expression" dxfId="2690" priority="250">
      <formula>B122=""</formula>
    </cfRule>
  </conditionalFormatting>
  <conditionalFormatting sqref="C123">
    <cfRule type="expression" dxfId="2689" priority="249">
      <formula>B123=""</formula>
    </cfRule>
  </conditionalFormatting>
  <conditionalFormatting sqref="C124">
    <cfRule type="expression" dxfId="2688" priority="248">
      <formula>B124=""</formula>
    </cfRule>
  </conditionalFormatting>
  <conditionalFormatting sqref="C125">
    <cfRule type="expression" dxfId="2687" priority="247">
      <formula>B125=""</formula>
    </cfRule>
  </conditionalFormatting>
  <conditionalFormatting sqref="C126">
    <cfRule type="expression" dxfId="2686" priority="246">
      <formula>B126=""</formula>
    </cfRule>
  </conditionalFormatting>
  <conditionalFormatting sqref="C127">
    <cfRule type="expression" dxfId="2685" priority="245">
      <formula>B127=""</formula>
    </cfRule>
  </conditionalFormatting>
  <conditionalFormatting sqref="C129:C148">
    <cfRule type="expression" dxfId="2684" priority="244">
      <formula>B129=""</formula>
    </cfRule>
  </conditionalFormatting>
  <conditionalFormatting sqref="C130 C132 C134 C136 C138 C140 C142 C144 C146 C148">
    <cfRule type="expression" dxfId="2683" priority="243">
      <formula>B130=""</formula>
    </cfRule>
  </conditionalFormatting>
  <conditionalFormatting sqref="C131">
    <cfRule type="expression" dxfId="2682" priority="242">
      <formula>B131=""</formula>
    </cfRule>
  </conditionalFormatting>
  <conditionalFormatting sqref="C132:C142">
    <cfRule type="expression" dxfId="2681" priority="241">
      <formula>B132=""</formula>
    </cfRule>
  </conditionalFormatting>
  <conditionalFormatting sqref="C143">
    <cfRule type="expression" dxfId="2680" priority="240">
      <formula>B143=""</formula>
    </cfRule>
  </conditionalFormatting>
  <conditionalFormatting sqref="C144">
    <cfRule type="expression" dxfId="2679" priority="239">
      <formula>B144=""</formula>
    </cfRule>
  </conditionalFormatting>
  <conditionalFormatting sqref="C145">
    <cfRule type="expression" dxfId="2678" priority="238">
      <formula>B145=""</formula>
    </cfRule>
  </conditionalFormatting>
  <conditionalFormatting sqref="C146">
    <cfRule type="expression" dxfId="2677" priority="237">
      <formula>B146=""</formula>
    </cfRule>
  </conditionalFormatting>
  <conditionalFormatting sqref="C147">
    <cfRule type="expression" dxfId="2676" priority="236">
      <formula>B147=""</formula>
    </cfRule>
  </conditionalFormatting>
  <conditionalFormatting sqref="C148">
    <cfRule type="expression" dxfId="2675" priority="235">
      <formula>B148=""</formula>
    </cfRule>
  </conditionalFormatting>
  <conditionalFormatting sqref="C149">
    <cfRule type="expression" dxfId="2674" priority="234">
      <formula>B149=""</formula>
    </cfRule>
  </conditionalFormatting>
  <conditionalFormatting sqref="C151:C170">
    <cfRule type="expression" dxfId="2673" priority="233">
      <formula>B151=""</formula>
    </cfRule>
  </conditionalFormatting>
  <conditionalFormatting sqref="C152 C154 C156 C158 C160 C162 C164 C166 C168 C170">
    <cfRule type="expression" dxfId="2672" priority="232">
      <formula>B152=""</formula>
    </cfRule>
  </conditionalFormatting>
  <conditionalFormatting sqref="C153:C163">
    <cfRule type="expression" dxfId="2671" priority="231">
      <formula>B153=""</formula>
    </cfRule>
  </conditionalFormatting>
  <conditionalFormatting sqref="C164">
    <cfRule type="expression" dxfId="2670" priority="230">
      <formula>B164=""</formula>
    </cfRule>
  </conditionalFormatting>
  <conditionalFormatting sqref="C165">
    <cfRule type="expression" dxfId="2669" priority="229">
      <formula>B165=""</formula>
    </cfRule>
  </conditionalFormatting>
  <conditionalFormatting sqref="C166">
    <cfRule type="expression" dxfId="2668" priority="228">
      <formula>B166=""</formula>
    </cfRule>
  </conditionalFormatting>
  <conditionalFormatting sqref="C167">
    <cfRule type="expression" dxfId="2667" priority="227">
      <formula>B167=""</formula>
    </cfRule>
  </conditionalFormatting>
  <conditionalFormatting sqref="C168">
    <cfRule type="expression" dxfId="2666" priority="226">
      <formula>B168=""</formula>
    </cfRule>
  </conditionalFormatting>
  <conditionalFormatting sqref="C169">
    <cfRule type="expression" dxfId="2665" priority="225">
      <formula>B169=""</formula>
    </cfRule>
  </conditionalFormatting>
  <conditionalFormatting sqref="C170">
    <cfRule type="expression" dxfId="2664" priority="224">
      <formula>B170=""</formula>
    </cfRule>
  </conditionalFormatting>
  <conditionalFormatting sqref="C171">
    <cfRule type="expression" dxfId="2663" priority="223">
      <formula>B171=""</formula>
    </cfRule>
  </conditionalFormatting>
  <conditionalFormatting sqref="B10:B29">
    <cfRule type="containsBlanks" dxfId="2662" priority="69">
      <formula>LEN(TRIM(B10))=0</formula>
    </cfRule>
  </conditionalFormatting>
  <conditionalFormatting sqref="B10:B29">
    <cfRule type="containsBlanks" dxfId="2661" priority="68">
      <formula>LEN(TRIM(B10))=0</formula>
    </cfRule>
  </conditionalFormatting>
  <conditionalFormatting sqref="B10:B29">
    <cfRule type="containsBlanks" dxfId="2660" priority="67">
      <formula>LEN(TRIM(B10))=0</formula>
    </cfRule>
  </conditionalFormatting>
  <conditionalFormatting sqref="B10:B29">
    <cfRule type="containsBlanks" dxfId="2659" priority="66">
      <formula>LEN(TRIM(B10))=0</formula>
    </cfRule>
  </conditionalFormatting>
  <conditionalFormatting sqref="B10:B29">
    <cfRule type="containsBlanks" dxfId="2658" priority="65">
      <formula>LEN(TRIM(B10))=0</formula>
    </cfRule>
  </conditionalFormatting>
  <conditionalFormatting sqref="B10:B29">
    <cfRule type="containsBlanks" dxfId="2657" priority="64">
      <formula>LEN(TRIM(B10))=0</formula>
    </cfRule>
  </conditionalFormatting>
  <conditionalFormatting sqref="B10:B29">
    <cfRule type="containsBlanks" dxfId="2656" priority="63">
      <formula>LEN(TRIM(B10))=0</formula>
    </cfRule>
  </conditionalFormatting>
  <conditionalFormatting sqref="B10:B29">
    <cfRule type="containsBlanks" dxfId="2655" priority="62">
      <formula>LEN(TRIM(B10))=0</formula>
    </cfRule>
  </conditionalFormatting>
  <conditionalFormatting sqref="B10:B29">
    <cfRule type="containsBlanks" dxfId="2654" priority="61">
      <formula>LEN(TRIM(B10))=0</formula>
    </cfRule>
  </conditionalFormatting>
  <conditionalFormatting sqref="B10:B29">
    <cfRule type="containsBlanks" dxfId="2653" priority="60">
      <formula>LEN(TRIM(B10))=0</formula>
    </cfRule>
  </conditionalFormatting>
  <conditionalFormatting sqref="B36:B55">
    <cfRule type="containsBlanks" dxfId="2652" priority="59">
      <formula>LEN(TRIM(B36))=0</formula>
    </cfRule>
  </conditionalFormatting>
  <conditionalFormatting sqref="B36:B55">
    <cfRule type="containsBlanks" dxfId="2651" priority="58">
      <formula>LEN(TRIM(B36))=0</formula>
    </cfRule>
  </conditionalFormatting>
  <conditionalFormatting sqref="B36:B55">
    <cfRule type="containsBlanks" dxfId="2650" priority="57">
      <formula>LEN(TRIM(B36))=0</formula>
    </cfRule>
  </conditionalFormatting>
  <conditionalFormatting sqref="B36:B55">
    <cfRule type="containsBlanks" dxfId="2649" priority="56">
      <formula>LEN(TRIM(B36))=0</formula>
    </cfRule>
  </conditionalFormatting>
  <conditionalFormatting sqref="B36:B55">
    <cfRule type="containsBlanks" dxfId="2648" priority="55">
      <formula>LEN(TRIM(B36))=0</formula>
    </cfRule>
  </conditionalFormatting>
  <conditionalFormatting sqref="B36:B55">
    <cfRule type="containsBlanks" dxfId="2647" priority="54">
      <formula>LEN(TRIM(B36))=0</formula>
    </cfRule>
  </conditionalFormatting>
  <conditionalFormatting sqref="B36:B55">
    <cfRule type="containsBlanks" dxfId="2646" priority="53">
      <formula>LEN(TRIM(B36))=0</formula>
    </cfRule>
  </conditionalFormatting>
  <conditionalFormatting sqref="B36:B55">
    <cfRule type="containsBlanks" dxfId="2645" priority="52">
      <formula>LEN(TRIM(B36))=0</formula>
    </cfRule>
  </conditionalFormatting>
  <conditionalFormatting sqref="B36:B55">
    <cfRule type="containsBlanks" dxfId="2644" priority="51">
      <formula>LEN(TRIM(B36))=0</formula>
    </cfRule>
  </conditionalFormatting>
  <conditionalFormatting sqref="B36:B55">
    <cfRule type="containsBlanks" dxfId="2643" priority="50">
      <formula>LEN(TRIM(B36))=0</formula>
    </cfRule>
  </conditionalFormatting>
  <conditionalFormatting sqref="B85:B104">
    <cfRule type="containsBlanks" dxfId="2642" priority="49">
      <formula>LEN(TRIM(B85))=0</formula>
    </cfRule>
  </conditionalFormatting>
  <conditionalFormatting sqref="B85:B104">
    <cfRule type="containsBlanks" dxfId="2641" priority="48">
      <formula>LEN(TRIM(B85))=0</formula>
    </cfRule>
  </conditionalFormatting>
  <conditionalFormatting sqref="B85:B104">
    <cfRule type="containsBlanks" dxfId="2640" priority="47">
      <formula>LEN(TRIM(B85))=0</formula>
    </cfRule>
  </conditionalFormatting>
  <conditionalFormatting sqref="B85:B104">
    <cfRule type="containsBlanks" dxfId="2639" priority="46">
      <formula>LEN(TRIM(B85))=0</formula>
    </cfRule>
  </conditionalFormatting>
  <conditionalFormatting sqref="B85:B104">
    <cfRule type="containsBlanks" dxfId="2638" priority="45">
      <formula>LEN(TRIM(B85))=0</formula>
    </cfRule>
  </conditionalFormatting>
  <conditionalFormatting sqref="B85:B104">
    <cfRule type="containsBlanks" dxfId="2637" priority="44">
      <formula>LEN(TRIM(B85))=0</formula>
    </cfRule>
  </conditionalFormatting>
  <conditionalFormatting sqref="B85:B104">
    <cfRule type="containsBlanks" dxfId="2636" priority="43">
      <formula>LEN(TRIM(B85))=0</formula>
    </cfRule>
  </conditionalFormatting>
  <conditionalFormatting sqref="B85:B104">
    <cfRule type="containsBlanks" dxfId="2635" priority="42">
      <formula>LEN(TRIM(B85))=0</formula>
    </cfRule>
  </conditionalFormatting>
  <conditionalFormatting sqref="B85:B104">
    <cfRule type="containsBlanks" dxfId="2634" priority="41">
      <formula>LEN(TRIM(B85))=0</formula>
    </cfRule>
  </conditionalFormatting>
  <conditionalFormatting sqref="B85:B104">
    <cfRule type="containsBlanks" dxfId="2633" priority="40">
      <formula>LEN(TRIM(B85))=0</formula>
    </cfRule>
  </conditionalFormatting>
  <conditionalFormatting sqref="B107:B126">
    <cfRule type="containsBlanks" dxfId="2632" priority="39">
      <formula>LEN(TRIM(B107))=0</formula>
    </cfRule>
  </conditionalFormatting>
  <conditionalFormatting sqref="B107:B126">
    <cfRule type="containsBlanks" dxfId="2631" priority="38">
      <formula>LEN(TRIM(B107))=0</formula>
    </cfRule>
  </conditionalFormatting>
  <conditionalFormatting sqref="B107:B126">
    <cfRule type="containsBlanks" dxfId="2630" priority="37">
      <formula>LEN(TRIM(B107))=0</formula>
    </cfRule>
  </conditionalFormatting>
  <conditionalFormatting sqref="B107:B126">
    <cfRule type="containsBlanks" dxfId="2629" priority="36">
      <formula>LEN(TRIM(B107))=0</formula>
    </cfRule>
  </conditionalFormatting>
  <conditionalFormatting sqref="B107:B126">
    <cfRule type="containsBlanks" dxfId="2628" priority="35">
      <formula>LEN(TRIM(B107))=0</formula>
    </cfRule>
  </conditionalFormatting>
  <conditionalFormatting sqref="B107:B126">
    <cfRule type="containsBlanks" dxfId="2627" priority="34">
      <formula>LEN(TRIM(B107))=0</formula>
    </cfRule>
  </conditionalFormatting>
  <conditionalFormatting sqref="B107:B126">
    <cfRule type="containsBlanks" dxfId="2626" priority="33">
      <formula>LEN(TRIM(B107))=0</formula>
    </cfRule>
  </conditionalFormatting>
  <conditionalFormatting sqref="B107:B126">
    <cfRule type="containsBlanks" dxfId="2625" priority="32">
      <formula>LEN(TRIM(B107))=0</formula>
    </cfRule>
  </conditionalFormatting>
  <conditionalFormatting sqref="B107:B126">
    <cfRule type="containsBlanks" dxfId="2624" priority="31">
      <formula>LEN(TRIM(B107))=0</formula>
    </cfRule>
  </conditionalFormatting>
  <conditionalFormatting sqref="B107:B126">
    <cfRule type="containsBlanks" dxfId="2623" priority="30">
      <formula>LEN(TRIM(B107))=0</formula>
    </cfRule>
  </conditionalFormatting>
  <conditionalFormatting sqref="B129:B148">
    <cfRule type="containsBlanks" dxfId="2622" priority="29">
      <formula>LEN(TRIM(B129))=0</formula>
    </cfRule>
  </conditionalFormatting>
  <conditionalFormatting sqref="B129:B148">
    <cfRule type="containsBlanks" dxfId="2621" priority="28">
      <formula>LEN(TRIM(B129))=0</formula>
    </cfRule>
  </conditionalFormatting>
  <conditionalFormatting sqref="B129:B148">
    <cfRule type="containsBlanks" dxfId="2620" priority="27">
      <formula>LEN(TRIM(B129))=0</formula>
    </cfRule>
  </conditionalFormatting>
  <conditionalFormatting sqref="B129:B148">
    <cfRule type="containsBlanks" dxfId="2619" priority="26">
      <formula>LEN(TRIM(B129))=0</formula>
    </cfRule>
  </conditionalFormatting>
  <conditionalFormatting sqref="B129:B148">
    <cfRule type="containsBlanks" dxfId="2618" priority="25">
      <formula>LEN(TRIM(B129))=0</formula>
    </cfRule>
  </conditionalFormatting>
  <conditionalFormatting sqref="B129:B148">
    <cfRule type="containsBlanks" dxfId="2617" priority="24">
      <formula>LEN(TRIM(B129))=0</formula>
    </cfRule>
  </conditionalFormatting>
  <conditionalFormatting sqref="B129:B148">
    <cfRule type="containsBlanks" dxfId="2616" priority="23">
      <formula>LEN(TRIM(B129))=0</formula>
    </cfRule>
  </conditionalFormatting>
  <conditionalFormatting sqref="B129:B148">
    <cfRule type="containsBlanks" dxfId="2615" priority="22">
      <formula>LEN(TRIM(B129))=0</formula>
    </cfRule>
  </conditionalFormatting>
  <conditionalFormatting sqref="B129:B148">
    <cfRule type="containsBlanks" dxfId="2614" priority="21">
      <formula>LEN(TRIM(B129))=0</formula>
    </cfRule>
  </conditionalFormatting>
  <conditionalFormatting sqref="B129:B148">
    <cfRule type="containsBlanks" dxfId="2613" priority="20">
      <formula>LEN(TRIM(B129))=0</formula>
    </cfRule>
  </conditionalFormatting>
  <conditionalFormatting sqref="B151:B170">
    <cfRule type="containsBlanks" dxfId="2612" priority="19">
      <formula>LEN(TRIM(B151))=0</formula>
    </cfRule>
  </conditionalFormatting>
  <conditionalFormatting sqref="B151:B170">
    <cfRule type="containsBlanks" dxfId="2611" priority="18">
      <formula>LEN(TRIM(B151))=0</formula>
    </cfRule>
  </conditionalFormatting>
  <conditionalFormatting sqref="B151:B170">
    <cfRule type="containsBlanks" dxfId="2610" priority="17">
      <formula>LEN(TRIM(B151))=0</formula>
    </cfRule>
  </conditionalFormatting>
  <conditionalFormatting sqref="B151:B170">
    <cfRule type="containsBlanks" dxfId="2609" priority="16">
      <formula>LEN(TRIM(B151))=0</formula>
    </cfRule>
  </conditionalFormatting>
  <conditionalFormatting sqref="B151:B170">
    <cfRule type="containsBlanks" dxfId="2608" priority="15">
      <formula>LEN(TRIM(B151))=0</formula>
    </cfRule>
  </conditionalFormatting>
  <conditionalFormatting sqref="B151:B170">
    <cfRule type="containsBlanks" dxfId="2607" priority="14">
      <formula>LEN(TRIM(B151))=0</formula>
    </cfRule>
  </conditionalFormatting>
  <conditionalFormatting sqref="B151:B170">
    <cfRule type="containsBlanks" dxfId="2606" priority="13">
      <formula>LEN(TRIM(B151))=0</formula>
    </cfRule>
  </conditionalFormatting>
  <conditionalFormatting sqref="B151:B170">
    <cfRule type="containsBlanks" dxfId="2605" priority="12">
      <formula>LEN(TRIM(B151))=0</formula>
    </cfRule>
  </conditionalFormatting>
  <conditionalFormatting sqref="B151:B170">
    <cfRule type="containsBlanks" dxfId="2604" priority="11">
      <formula>LEN(TRIM(B151))=0</formula>
    </cfRule>
  </conditionalFormatting>
  <conditionalFormatting sqref="B151:B170">
    <cfRule type="containsBlanks" dxfId="2603" priority="10">
      <formula>LEN(TRIM(B151))=0</formula>
    </cfRule>
  </conditionalFormatting>
  <conditionalFormatting sqref="E107:E127">
    <cfRule type="expression" dxfId="2602" priority="9">
      <formula>B107=""</formula>
    </cfRule>
  </conditionalFormatting>
  <conditionalFormatting sqref="E107:E127">
    <cfRule type="expression" dxfId="2601" priority="8">
      <formula>B107=""</formula>
    </cfRule>
  </conditionalFormatting>
  <conditionalFormatting sqref="E107:E127">
    <cfRule type="expression" dxfId="2600" priority="7">
      <formula>B107=""</formula>
    </cfRule>
  </conditionalFormatting>
  <conditionalFormatting sqref="E129:E149">
    <cfRule type="expression" dxfId="2599" priority="6">
      <formula>B129=""</formula>
    </cfRule>
  </conditionalFormatting>
  <conditionalFormatting sqref="E129:E149">
    <cfRule type="expression" dxfId="2598" priority="5">
      <formula>B129=""</formula>
    </cfRule>
  </conditionalFormatting>
  <conditionalFormatting sqref="E129:E149">
    <cfRule type="expression" dxfId="2597" priority="4">
      <formula>B129=""</formula>
    </cfRule>
  </conditionalFormatting>
  <conditionalFormatting sqref="E151:E171">
    <cfRule type="expression" dxfId="2596" priority="3">
      <formula>B151=""</formula>
    </cfRule>
  </conditionalFormatting>
  <conditionalFormatting sqref="E151:E171">
    <cfRule type="expression" dxfId="2595" priority="2">
      <formula>B151=""</formula>
    </cfRule>
  </conditionalFormatting>
  <conditionalFormatting sqref="E151:E171">
    <cfRule type="expression" dxfId="2594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E3" sqref="E3"/>
    </sheetView>
  </sheetViews>
  <sheetFormatPr defaultColWidth="9.109375" defaultRowHeight="13.2"/>
  <cols>
    <col min="1" max="1" width="19.5546875" style="83" customWidth="1"/>
    <col min="2" max="2" width="31.88671875" style="83" customWidth="1"/>
    <col min="3" max="3" width="10.6640625" style="83" customWidth="1"/>
    <col min="4" max="5" width="19.5546875" style="83" customWidth="1"/>
    <col min="6" max="16384" width="9.109375" style="83"/>
  </cols>
  <sheetData>
    <row r="1" spans="1:6" ht="17.25" customHeight="1">
      <c r="A1" s="1132" t="s">
        <v>35</v>
      </c>
      <c r="B1" s="1132"/>
      <c r="C1" s="1132"/>
      <c r="D1" s="1132"/>
      <c r="E1" s="1132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219</v>
      </c>
      <c r="B3" s="235" t="str">
        <f>DATA!C1004</f>
        <v>NRA.N.007-040-2024/1F</v>
      </c>
      <c r="E3" s="1073" t="str">
        <f>'TENDERER INPUT DATA'!$G$5</f>
        <v>ADDENDUM 1</v>
      </c>
    </row>
    <row r="4" spans="1:6">
      <c r="A4" s="236" t="s">
        <v>216</v>
      </c>
      <c r="B4" s="1142" t="str">
        <f>DATA!C1005</f>
        <v>CONSULTING ENGINEERING SERVICES FOR THE STRENGTHENING ON NATIONAL ROUTE N7 SECTION 4 FROM TRAWAL (km 42.00) TO KLAWER (km 54.00)</v>
      </c>
      <c r="C4" s="1142"/>
      <c r="D4" s="1142"/>
      <c r="E4" s="1142"/>
    </row>
    <row r="5" spans="1:6">
      <c r="B5" s="1142"/>
      <c r="C5" s="1142"/>
      <c r="D5" s="1142"/>
      <c r="E5" s="1142"/>
    </row>
    <row r="6" spans="1:6">
      <c r="A6" s="85"/>
      <c r="B6" s="85"/>
      <c r="C6" s="85"/>
      <c r="D6" s="85"/>
      <c r="E6" s="84"/>
    </row>
    <row r="7" spans="1:6">
      <c r="A7" s="85" t="s">
        <v>834</v>
      </c>
      <c r="B7" s="85"/>
      <c r="C7" s="85"/>
      <c r="D7" s="85"/>
      <c r="E7" s="84"/>
    </row>
    <row r="8" spans="1:6" ht="13.8" thickBot="1">
      <c r="A8" s="86"/>
      <c r="B8" s="87"/>
      <c r="C8" s="87"/>
      <c r="D8" s="88"/>
      <c r="E8" s="88"/>
    </row>
    <row r="9" spans="1:6" ht="24.75" customHeight="1" thickBot="1">
      <c r="A9" s="1133" t="s">
        <v>36</v>
      </c>
      <c r="B9" s="1134"/>
      <c r="C9" s="1134"/>
      <c r="D9" s="1134"/>
      <c r="E9" s="1135"/>
    </row>
    <row r="10" spans="1:6" ht="45" customHeight="1" thickBot="1">
      <c r="A10" s="1136" t="s">
        <v>43</v>
      </c>
      <c r="B10" s="1137"/>
      <c r="C10" s="1137"/>
      <c r="D10" s="1138"/>
      <c r="E10" s="237">
        <f>'All Hours'!E83</f>
        <v>0</v>
      </c>
    </row>
    <row r="11" spans="1:6" ht="40.5" customHeight="1" thickBot="1">
      <c r="A11" s="1136" t="s">
        <v>41</v>
      </c>
      <c r="B11" s="1137"/>
      <c r="C11" s="1137"/>
      <c r="D11" s="1138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139" t="s">
        <v>37</v>
      </c>
      <c r="B15" s="1139"/>
      <c r="C15" s="1139"/>
      <c r="D15" s="1139"/>
      <c r="E15" s="1139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140" t="s">
        <v>31</v>
      </c>
      <c r="B17" s="1141"/>
      <c r="C17" s="244" t="s">
        <v>30</v>
      </c>
      <c r="D17" s="245" t="s">
        <v>33</v>
      </c>
      <c r="E17" s="246" t="s">
        <v>38</v>
      </c>
    </row>
    <row r="18" spans="1:5" ht="16.5" customHeight="1">
      <c r="A18" s="247" t="s">
        <v>853</v>
      </c>
      <c r="B18" s="248" t="s">
        <v>39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/>
      </c>
      <c r="B21" s="253" t="str">
        <f>'All Hours'!C12</f>
        <v/>
      </c>
      <c r="C21" s="254">
        <f>'All Hours'!E12</f>
        <v>0</v>
      </c>
      <c r="D21" s="255" t="str">
        <f t="shared" si="0"/>
        <v/>
      </c>
      <c r="E21" s="256" t="str">
        <f t="shared" si="1"/>
        <v/>
      </c>
    </row>
    <row r="22" spans="1:5" ht="16.5" customHeight="1">
      <c r="A22" s="252" t="str">
        <f>'All Hours'!B13</f>
        <v/>
      </c>
      <c r="B22" s="253" t="str">
        <f>'All Hours'!C13</f>
        <v/>
      </c>
      <c r="C22" s="254">
        <f>'All Hours'!E13</f>
        <v>0</v>
      </c>
      <c r="D22" s="255" t="str">
        <f t="shared" ref="D22:D28" si="2">IF(A22="","",IF(C22="","",(C22/$C$41)))</f>
        <v/>
      </c>
      <c r="E22" s="256" t="str">
        <f t="shared" ref="E22:E28" si="3">IF(A22="","",IF(C22="","",(C22/$C$40)))</f>
        <v/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40</v>
      </c>
      <c r="B40" s="101"/>
      <c r="C40" s="111">
        <f>SUM(C18:C38)</f>
        <v>0</v>
      </c>
      <c r="D40" s="102"/>
    </row>
    <row r="41" spans="1:5" ht="16.5" customHeight="1" thickBot="1">
      <c r="A41" s="103" t="s">
        <v>41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131" t="s">
        <v>840</v>
      </c>
      <c r="B43" s="1131"/>
      <c r="C43" s="1131"/>
      <c r="D43" s="1131"/>
      <c r="E43" s="1131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bKEe9DosYcVSolYuko68Nv7aXTTiAbNjOaTvo5cylB9HJoOW5lyjjzVeUtCBoEBLsHddVDj7kL630n+vatbmJA==" saltValue="x684aT1Bb4jVZvyEEe7Kc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93" priority="59" operator="lessThan">
      <formula>$D$16</formula>
    </cfRule>
  </conditionalFormatting>
  <conditionalFormatting sqref="A19:A39">
    <cfRule type="containsBlanks" dxfId="2592" priority="58">
      <formula>LEN(TRIM(A19))=0</formula>
    </cfRule>
  </conditionalFormatting>
  <conditionalFormatting sqref="B20 B22 B24 B26 B28 B30 B32 B34 B36 B38">
    <cfRule type="expression" dxfId="2591" priority="56">
      <formula>A20=""</formula>
    </cfRule>
  </conditionalFormatting>
  <conditionalFormatting sqref="B21:B31">
    <cfRule type="expression" dxfId="2590" priority="55">
      <formula>A21=""</formula>
    </cfRule>
  </conditionalFormatting>
  <conditionalFormatting sqref="B32">
    <cfRule type="expression" dxfId="2589" priority="54">
      <formula>A32=""</formula>
    </cfRule>
  </conditionalFormatting>
  <conditionalFormatting sqref="B33">
    <cfRule type="expression" dxfId="2588" priority="53">
      <formula>A33=""</formula>
    </cfRule>
  </conditionalFormatting>
  <conditionalFormatting sqref="B34">
    <cfRule type="expression" dxfId="2587" priority="52">
      <formula>A34=""</formula>
    </cfRule>
  </conditionalFormatting>
  <conditionalFormatting sqref="B35">
    <cfRule type="expression" dxfId="2586" priority="51">
      <formula>A35=""</formula>
    </cfRule>
  </conditionalFormatting>
  <conditionalFormatting sqref="B36">
    <cfRule type="expression" dxfId="2585" priority="50">
      <formula>A36=""</formula>
    </cfRule>
  </conditionalFormatting>
  <conditionalFormatting sqref="B37">
    <cfRule type="expression" dxfId="2584" priority="49">
      <formula>A37=""</formula>
    </cfRule>
  </conditionalFormatting>
  <conditionalFormatting sqref="B38">
    <cfRule type="expression" dxfId="2583" priority="48">
      <formula>A38=""</formula>
    </cfRule>
  </conditionalFormatting>
  <conditionalFormatting sqref="C19:C39">
    <cfRule type="expression" dxfId="2582" priority="47">
      <formula>A19=""</formula>
    </cfRule>
  </conditionalFormatting>
  <conditionalFormatting sqref="C20 C22 C24 C26 C28 C30 C32 C34 C36 C38">
    <cfRule type="expression" dxfId="2581" priority="46">
      <formula>A20=""</formula>
    </cfRule>
  </conditionalFormatting>
  <conditionalFormatting sqref="C21:C31">
    <cfRule type="expression" dxfId="2580" priority="45">
      <formula>A21=""</formula>
    </cfRule>
  </conditionalFormatting>
  <conditionalFormatting sqref="C32">
    <cfRule type="expression" dxfId="2579" priority="44">
      <formula>A32=""</formula>
    </cfRule>
  </conditionalFormatting>
  <conditionalFormatting sqref="C33">
    <cfRule type="expression" dxfId="2578" priority="43">
      <formula>A33=""</formula>
    </cfRule>
  </conditionalFormatting>
  <conditionalFormatting sqref="C34">
    <cfRule type="expression" dxfId="2577" priority="42">
      <formula>A34=""</formula>
    </cfRule>
  </conditionalFormatting>
  <conditionalFormatting sqref="C35">
    <cfRule type="expression" dxfId="2576" priority="41">
      <formula>A35=""</formula>
    </cfRule>
  </conditionalFormatting>
  <conditionalFormatting sqref="C36">
    <cfRule type="expression" dxfId="2575" priority="40">
      <formula>A36=""</formula>
    </cfRule>
  </conditionalFormatting>
  <conditionalFormatting sqref="C37">
    <cfRule type="expression" dxfId="2574" priority="39">
      <formula>A37=""</formula>
    </cfRule>
  </conditionalFormatting>
  <conditionalFormatting sqref="C38">
    <cfRule type="expression" dxfId="2573" priority="38">
      <formula>A38=""</formula>
    </cfRule>
  </conditionalFormatting>
  <conditionalFormatting sqref="D19:D39">
    <cfRule type="expression" dxfId="2572" priority="37">
      <formula>A19=""</formula>
    </cfRule>
  </conditionalFormatting>
  <conditionalFormatting sqref="D20 D22 D24 D26 D28 D30 D32 D34 D36 D38">
    <cfRule type="expression" dxfId="2571" priority="36">
      <formula>A20=""</formula>
    </cfRule>
  </conditionalFormatting>
  <conditionalFormatting sqref="D21:D31">
    <cfRule type="expression" dxfId="2570" priority="35">
      <formula>A21=""</formula>
    </cfRule>
  </conditionalFormatting>
  <conditionalFormatting sqref="D32">
    <cfRule type="expression" dxfId="2569" priority="34">
      <formula>A32=""</formula>
    </cfRule>
  </conditionalFormatting>
  <conditionalFormatting sqref="D33">
    <cfRule type="expression" dxfId="2568" priority="33">
      <formula>A33=""</formula>
    </cfRule>
  </conditionalFormatting>
  <conditionalFormatting sqref="D34">
    <cfRule type="expression" dxfId="2567" priority="32">
      <formula>A34=""</formula>
    </cfRule>
  </conditionalFormatting>
  <conditionalFormatting sqref="D35">
    <cfRule type="expression" dxfId="2566" priority="31">
      <formula>A35=""</formula>
    </cfRule>
  </conditionalFormatting>
  <conditionalFormatting sqref="D36">
    <cfRule type="expression" dxfId="2565" priority="30">
      <formula>A36=""</formula>
    </cfRule>
  </conditionalFormatting>
  <conditionalFormatting sqref="D37">
    <cfRule type="expression" dxfId="2564" priority="29">
      <formula>A37=""</formula>
    </cfRule>
  </conditionalFormatting>
  <conditionalFormatting sqref="D38">
    <cfRule type="expression" dxfId="2563" priority="28">
      <formula>A38=""</formula>
    </cfRule>
  </conditionalFormatting>
  <conditionalFormatting sqref="C20 C22 C24 C26 C28 C30 C32 C34 C36 C38">
    <cfRule type="expression" dxfId="2562" priority="27">
      <formula>A20=""</formula>
    </cfRule>
  </conditionalFormatting>
  <conditionalFormatting sqref="C21:C31">
    <cfRule type="expression" dxfId="2561" priority="26">
      <formula>A21=""</formula>
    </cfRule>
  </conditionalFormatting>
  <conditionalFormatting sqref="C32">
    <cfRule type="expression" dxfId="2560" priority="25">
      <formula>A32=""</formula>
    </cfRule>
  </conditionalFormatting>
  <conditionalFormatting sqref="C33">
    <cfRule type="expression" dxfId="2559" priority="24">
      <formula>A33=""</formula>
    </cfRule>
  </conditionalFormatting>
  <conditionalFormatting sqref="C34">
    <cfRule type="expression" dxfId="2558" priority="23">
      <formula>A34=""</formula>
    </cfRule>
  </conditionalFormatting>
  <conditionalFormatting sqref="C35">
    <cfRule type="expression" dxfId="2557" priority="22">
      <formula>A35=""</formula>
    </cfRule>
  </conditionalFormatting>
  <conditionalFormatting sqref="C36">
    <cfRule type="expression" dxfId="2556" priority="21">
      <formula>A36=""</formula>
    </cfRule>
  </conditionalFormatting>
  <conditionalFormatting sqref="C37">
    <cfRule type="expression" dxfId="2555" priority="20">
      <formula>A37=""</formula>
    </cfRule>
  </conditionalFormatting>
  <conditionalFormatting sqref="C38">
    <cfRule type="expression" dxfId="2554" priority="19">
      <formula>A38=""</formula>
    </cfRule>
  </conditionalFormatting>
  <conditionalFormatting sqref="E19:E39">
    <cfRule type="expression" dxfId="2553" priority="18">
      <formula>A19=""</formula>
    </cfRule>
  </conditionalFormatting>
  <conditionalFormatting sqref="E20 E22 E24 E26 E28 E30 E32 E34 E36 E38">
    <cfRule type="expression" dxfId="2552" priority="17">
      <formula>A20=""</formula>
    </cfRule>
  </conditionalFormatting>
  <conditionalFormatting sqref="E21:E31">
    <cfRule type="expression" dxfId="2551" priority="16">
      <formula>A21=""</formula>
    </cfRule>
  </conditionalFormatting>
  <conditionalFormatting sqref="E32">
    <cfRule type="expression" dxfId="2550" priority="15">
      <formula>A32=""</formula>
    </cfRule>
  </conditionalFormatting>
  <conditionalFormatting sqref="E33">
    <cfRule type="expression" dxfId="2549" priority="14">
      <formula>A33=""</formula>
    </cfRule>
  </conditionalFormatting>
  <conditionalFormatting sqref="E34">
    <cfRule type="expression" dxfId="2548" priority="13">
      <formula>A34=""</formula>
    </cfRule>
  </conditionalFormatting>
  <conditionalFormatting sqref="E35">
    <cfRule type="expression" dxfId="2547" priority="12">
      <formula>A35=""</formula>
    </cfRule>
  </conditionalFormatting>
  <conditionalFormatting sqref="E36">
    <cfRule type="expression" dxfId="2546" priority="11">
      <formula>A36=""</formula>
    </cfRule>
  </conditionalFormatting>
  <conditionalFormatting sqref="E37">
    <cfRule type="expression" dxfId="2545" priority="10">
      <formula>A37=""</formula>
    </cfRule>
  </conditionalFormatting>
  <conditionalFormatting sqref="E38">
    <cfRule type="expression" dxfId="2544" priority="9">
      <formula>A38=""</formula>
    </cfRule>
  </conditionalFormatting>
  <conditionalFormatting sqref="B39">
    <cfRule type="expression" dxfId="2543" priority="8">
      <formula>A39=""</formula>
    </cfRule>
  </conditionalFormatting>
  <conditionalFormatting sqref="C39">
    <cfRule type="expression" dxfId="2542" priority="7">
      <formula>A39=""</formula>
    </cfRule>
  </conditionalFormatting>
  <conditionalFormatting sqref="C39">
    <cfRule type="expression" dxfId="2541" priority="6">
      <formula>A39=""</formula>
    </cfRule>
  </conditionalFormatting>
  <conditionalFormatting sqref="D39">
    <cfRule type="expression" dxfId="2540" priority="5">
      <formula>A39=""</formula>
    </cfRule>
  </conditionalFormatting>
  <conditionalFormatting sqref="D39">
    <cfRule type="expression" dxfId="2539" priority="4">
      <formula>A39=""</formula>
    </cfRule>
  </conditionalFormatting>
  <conditionalFormatting sqref="C39">
    <cfRule type="expression" dxfId="2538" priority="3">
      <formula>A39=""</formula>
    </cfRule>
  </conditionalFormatting>
  <conditionalFormatting sqref="E39">
    <cfRule type="expression" dxfId="2537" priority="2">
      <formula>A39=""</formula>
    </cfRule>
  </conditionalFormatting>
  <conditionalFormatting sqref="E39">
    <cfRule type="expression" dxfId="2536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3.2"/>
  <cols>
    <col min="1" max="1" width="21.44140625" style="314" customWidth="1"/>
    <col min="2" max="256" width="9.109375" style="314"/>
    <col min="257" max="257" width="21.44140625" style="314" customWidth="1"/>
    <col min="258" max="512" width="9.109375" style="314"/>
    <col min="513" max="513" width="21.44140625" style="314" customWidth="1"/>
    <col min="514" max="768" width="9.109375" style="314"/>
    <col min="769" max="769" width="21.44140625" style="314" customWidth="1"/>
    <col min="770" max="1024" width="9.109375" style="314"/>
    <col min="1025" max="1025" width="21.44140625" style="314" customWidth="1"/>
    <col min="1026" max="1280" width="9.109375" style="314"/>
    <col min="1281" max="1281" width="21.44140625" style="314" customWidth="1"/>
    <col min="1282" max="1536" width="9.109375" style="314"/>
    <col min="1537" max="1537" width="21.44140625" style="314" customWidth="1"/>
    <col min="1538" max="1792" width="9.109375" style="314"/>
    <col min="1793" max="1793" width="21.44140625" style="314" customWidth="1"/>
    <col min="1794" max="2048" width="9.109375" style="314"/>
    <col min="2049" max="2049" width="21.44140625" style="314" customWidth="1"/>
    <col min="2050" max="2304" width="9.109375" style="314"/>
    <col min="2305" max="2305" width="21.44140625" style="314" customWidth="1"/>
    <col min="2306" max="2560" width="9.109375" style="314"/>
    <col min="2561" max="2561" width="21.44140625" style="314" customWidth="1"/>
    <col min="2562" max="2816" width="9.109375" style="314"/>
    <col min="2817" max="2817" width="21.44140625" style="314" customWidth="1"/>
    <col min="2818" max="3072" width="9.109375" style="314"/>
    <col min="3073" max="3073" width="21.44140625" style="314" customWidth="1"/>
    <col min="3074" max="3328" width="9.109375" style="314"/>
    <col min="3329" max="3329" width="21.44140625" style="314" customWidth="1"/>
    <col min="3330" max="3584" width="9.109375" style="314"/>
    <col min="3585" max="3585" width="21.44140625" style="314" customWidth="1"/>
    <col min="3586" max="3840" width="9.109375" style="314"/>
    <col min="3841" max="3841" width="21.44140625" style="314" customWidth="1"/>
    <col min="3842" max="4096" width="9.109375" style="314"/>
    <col min="4097" max="4097" width="21.44140625" style="314" customWidth="1"/>
    <col min="4098" max="4352" width="9.109375" style="314"/>
    <col min="4353" max="4353" width="21.44140625" style="314" customWidth="1"/>
    <col min="4354" max="4608" width="9.109375" style="314"/>
    <col min="4609" max="4609" width="21.44140625" style="314" customWidth="1"/>
    <col min="4610" max="4864" width="9.109375" style="314"/>
    <col min="4865" max="4865" width="21.44140625" style="314" customWidth="1"/>
    <col min="4866" max="5120" width="9.109375" style="314"/>
    <col min="5121" max="5121" width="21.44140625" style="314" customWidth="1"/>
    <col min="5122" max="5376" width="9.109375" style="314"/>
    <col min="5377" max="5377" width="21.44140625" style="314" customWidth="1"/>
    <col min="5378" max="5632" width="9.109375" style="314"/>
    <col min="5633" max="5633" width="21.44140625" style="314" customWidth="1"/>
    <col min="5634" max="5888" width="9.109375" style="314"/>
    <col min="5889" max="5889" width="21.44140625" style="314" customWidth="1"/>
    <col min="5890" max="6144" width="9.109375" style="314"/>
    <col min="6145" max="6145" width="21.44140625" style="314" customWidth="1"/>
    <col min="6146" max="6400" width="9.109375" style="314"/>
    <col min="6401" max="6401" width="21.44140625" style="314" customWidth="1"/>
    <col min="6402" max="6656" width="9.109375" style="314"/>
    <col min="6657" max="6657" width="21.44140625" style="314" customWidth="1"/>
    <col min="6658" max="6912" width="9.109375" style="314"/>
    <col min="6913" max="6913" width="21.44140625" style="314" customWidth="1"/>
    <col min="6914" max="7168" width="9.109375" style="314"/>
    <col min="7169" max="7169" width="21.44140625" style="314" customWidth="1"/>
    <col min="7170" max="7424" width="9.109375" style="314"/>
    <col min="7425" max="7425" width="21.44140625" style="314" customWidth="1"/>
    <col min="7426" max="7680" width="9.109375" style="314"/>
    <col min="7681" max="7681" width="21.44140625" style="314" customWidth="1"/>
    <col min="7682" max="7936" width="9.109375" style="314"/>
    <col min="7937" max="7937" width="21.44140625" style="314" customWidth="1"/>
    <col min="7938" max="8192" width="9.109375" style="314"/>
    <col min="8193" max="8193" width="21.44140625" style="314" customWidth="1"/>
    <col min="8194" max="8448" width="9.109375" style="314"/>
    <col min="8449" max="8449" width="21.44140625" style="314" customWidth="1"/>
    <col min="8450" max="8704" width="9.109375" style="314"/>
    <col min="8705" max="8705" width="21.44140625" style="314" customWidth="1"/>
    <col min="8706" max="8960" width="9.109375" style="314"/>
    <col min="8961" max="8961" width="21.44140625" style="314" customWidth="1"/>
    <col min="8962" max="9216" width="9.109375" style="314"/>
    <col min="9217" max="9217" width="21.44140625" style="314" customWidth="1"/>
    <col min="9218" max="9472" width="9.109375" style="314"/>
    <col min="9473" max="9473" width="21.44140625" style="314" customWidth="1"/>
    <col min="9474" max="9728" width="9.109375" style="314"/>
    <col min="9729" max="9729" width="21.44140625" style="314" customWidth="1"/>
    <col min="9730" max="9984" width="9.109375" style="314"/>
    <col min="9985" max="9985" width="21.44140625" style="314" customWidth="1"/>
    <col min="9986" max="10240" width="9.109375" style="314"/>
    <col min="10241" max="10241" width="21.44140625" style="314" customWidth="1"/>
    <col min="10242" max="10496" width="9.109375" style="314"/>
    <col min="10497" max="10497" width="21.44140625" style="314" customWidth="1"/>
    <col min="10498" max="10752" width="9.109375" style="314"/>
    <col min="10753" max="10753" width="21.44140625" style="314" customWidth="1"/>
    <col min="10754" max="11008" width="9.109375" style="314"/>
    <col min="11009" max="11009" width="21.44140625" style="314" customWidth="1"/>
    <col min="11010" max="11264" width="9.109375" style="314"/>
    <col min="11265" max="11265" width="21.44140625" style="314" customWidth="1"/>
    <col min="11266" max="11520" width="9.109375" style="314"/>
    <col min="11521" max="11521" width="21.44140625" style="314" customWidth="1"/>
    <col min="11522" max="11776" width="9.109375" style="314"/>
    <col min="11777" max="11777" width="21.44140625" style="314" customWidth="1"/>
    <col min="11778" max="12032" width="9.109375" style="314"/>
    <col min="12033" max="12033" width="21.44140625" style="314" customWidth="1"/>
    <col min="12034" max="12288" width="9.109375" style="314"/>
    <col min="12289" max="12289" width="21.44140625" style="314" customWidth="1"/>
    <col min="12290" max="12544" width="9.109375" style="314"/>
    <col min="12545" max="12545" width="21.44140625" style="314" customWidth="1"/>
    <col min="12546" max="12800" width="9.109375" style="314"/>
    <col min="12801" max="12801" width="21.44140625" style="314" customWidth="1"/>
    <col min="12802" max="13056" width="9.109375" style="314"/>
    <col min="13057" max="13057" width="21.44140625" style="314" customWidth="1"/>
    <col min="13058" max="13312" width="9.109375" style="314"/>
    <col min="13313" max="13313" width="21.44140625" style="314" customWidth="1"/>
    <col min="13314" max="13568" width="9.109375" style="314"/>
    <col min="13569" max="13569" width="21.44140625" style="314" customWidth="1"/>
    <col min="13570" max="13824" width="9.109375" style="314"/>
    <col min="13825" max="13825" width="21.44140625" style="314" customWidth="1"/>
    <col min="13826" max="14080" width="9.109375" style="314"/>
    <col min="14081" max="14081" width="21.44140625" style="314" customWidth="1"/>
    <col min="14082" max="14336" width="9.109375" style="314"/>
    <col min="14337" max="14337" width="21.44140625" style="314" customWidth="1"/>
    <col min="14338" max="14592" width="9.109375" style="314"/>
    <col min="14593" max="14593" width="21.44140625" style="314" customWidth="1"/>
    <col min="14594" max="14848" width="9.109375" style="314"/>
    <col min="14849" max="14849" width="21.44140625" style="314" customWidth="1"/>
    <col min="14850" max="15104" width="9.109375" style="314"/>
    <col min="15105" max="15105" width="21.44140625" style="314" customWidth="1"/>
    <col min="15106" max="15360" width="9.109375" style="314"/>
    <col min="15361" max="15361" width="21.44140625" style="314" customWidth="1"/>
    <col min="15362" max="15616" width="9.109375" style="314"/>
    <col min="15617" max="15617" width="21.44140625" style="314" customWidth="1"/>
    <col min="15618" max="15872" width="9.109375" style="314"/>
    <col min="15873" max="15873" width="21.44140625" style="314" customWidth="1"/>
    <col min="15874" max="16128" width="9.109375" style="314"/>
    <col min="16129" max="16129" width="21.44140625" style="314" customWidth="1"/>
    <col min="16130" max="16384" width="9.109375" style="314"/>
  </cols>
  <sheetData>
    <row r="1" spans="1:2">
      <c r="A1" s="313" t="s">
        <v>269</v>
      </c>
    </row>
    <row r="3" spans="1:2">
      <c r="A3" s="315"/>
      <c r="B3" s="314" t="s">
        <v>270</v>
      </c>
    </row>
    <row r="4" spans="1:2">
      <c r="A4" s="316"/>
      <c r="B4" s="314" t="s">
        <v>271</v>
      </c>
    </row>
    <row r="5" spans="1:2">
      <c r="A5" s="317"/>
      <c r="B5" s="317"/>
    </row>
    <row r="6" spans="1:2">
      <c r="A6" s="314" t="s">
        <v>272</v>
      </c>
      <c r="B6" s="314" t="s">
        <v>870</v>
      </c>
    </row>
    <row r="8" spans="1:2">
      <c r="A8" s="314" t="s">
        <v>273</v>
      </c>
      <c r="B8" s="314" t="s">
        <v>274</v>
      </c>
    </row>
    <row r="9" spans="1:2">
      <c r="A9" s="314" t="s">
        <v>275</v>
      </c>
    </row>
    <row r="11" spans="1:2">
      <c r="A11" s="314" t="s">
        <v>276</v>
      </c>
      <c r="B11" s="314" t="s">
        <v>277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>
      <selection activeCell="A20" sqref="A20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20.6640625" style="320" customWidth="1"/>
    <col min="6" max="6" width="26.8867187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52" t="s">
        <v>278</v>
      </c>
      <c r="C1" s="1153"/>
      <c r="D1" s="1156" t="s">
        <v>279</v>
      </c>
      <c r="E1" s="1157"/>
      <c r="F1" s="319" t="s">
        <v>280</v>
      </c>
    </row>
    <row r="2" spans="1:6" ht="20.100000000000001" customHeight="1">
      <c r="A2" s="321"/>
      <c r="B2" s="1154"/>
      <c r="C2" s="1155"/>
      <c r="D2" s="1158" t="str">
        <f>'F1 Forecast Consultant'!D2:E2</f>
        <v>Safety Improvement</v>
      </c>
      <c r="E2" s="1159"/>
      <c r="F2" s="322" t="s">
        <v>548</v>
      </c>
    </row>
    <row r="3" spans="1:6" ht="20.100000000000001" customHeight="1">
      <c r="A3" s="321"/>
      <c r="B3" s="1160" t="s">
        <v>282</v>
      </c>
      <c r="C3" s="1162" t="str">
        <f>'F1 Forecast Consultant'!C3:C4</f>
        <v>Western</v>
      </c>
      <c r="D3" s="323" t="s">
        <v>283</v>
      </c>
      <c r="E3" s="820" t="str">
        <f>DATA!C1004</f>
        <v>NRA.N.007-040-2024/1F</v>
      </c>
      <c r="F3" s="361" t="s">
        <v>596</v>
      </c>
    </row>
    <row r="4" spans="1:6" ht="20.25" customHeight="1" thickBot="1">
      <c r="A4" s="324"/>
      <c r="B4" s="1161"/>
      <c r="C4" s="1163"/>
      <c r="D4" s="325" t="s">
        <v>595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43" t="s">
        <v>688</v>
      </c>
      <c r="B5" s="1144"/>
      <c r="C5" s="1144"/>
      <c r="D5" s="1144"/>
      <c r="E5" s="1144"/>
      <c r="F5" s="1145"/>
    </row>
    <row r="6" spans="1:6" ht="20.100000000000001" customHeight="1">
      <c r="A6" s="1146"/>
      <c r="B6" s="1147"/>
      <c r="C6" s="1147"/>
      <c r="D6" s="1147"/>
      <c r="E6" s="1147"/>
      <c r="F6" s="1148"/>
    </row>
    <row r="7" spans="1:6" ht="20.100000000000001" customHeight="1" thickBot="1">
      <c r="A7" s="1149"/>
      <c r="B7" s="1150"/>
      <c r="C7" s="1150"/>
      <c r="D7" s="1150"/>
      <c r="E7" s="1150"/>
      <c r="F7" s="1151"/>
    </row>
    <row r="8" spans="1:6" ht="20.100000000000001" customHeight="1">
      <c r="A8" s="328" t="s">
        <v>285</v>
      </c>
      <c r="B8" s="664" t="str">
        <f>E3</f>
        <v>NRA.N.007-040-2024/1F</v>
      </c>
      <c r="C8" s="665"/>
      <c r="D8" s="665"/>
      <c r="E8" s="665"/>
      <c r="F8" s="666"/>
    </row>
    <row r="9" spans="1:6" ht="20.100000000000001" customHeight="1">
      <c r="A9" s="1175" t="s">
        <v>286</v>
      </c>
      <c r="B9" s="1177" t="str">
        <f>DATA!C1005</f>
        <v>CONSULTING ENGINEERING SERVICES FOR THE STRENGTHENING ON NATIONAL ROUTE N7 SECTION 4 FROM TRAWAL (km 42.00) TO KLAWER (km 54.00)</v>
      </c>
      <c r="C9" s="1178"/>
      <c r="D9" s="1178"/>
      <c r="E9" s="1178"/>
      <c r="F9" s="1179"/>
    </row>
    <row r="10" spans="1:6" ht="18.75" customHeight="1">
      <c r="A10" s="1176"/>
      <c r="B10" s="1180"/>
      <c r="C10" s="1181"/>
      <c r="D10" s="1181"/>
      <c r="E10" s="1181"/>
      <c r="F10" s="1182"/>
    </row>
    <row r="11" spans="1:6" ht="20.100000000000001" customHeight="1">
      <c r="A11" s="329" t="s">
        <v>287</v>
      </c>
      <c r="B11" s="1183" t="str">
        <f>IF('F1 Forecast Consultant'!B11:C11="","",'F1 Forecast Consultant'!B11:C11)</f>
        <v/>
      </c>
      <c r="C11" s="1184"/>
      <c r="D11" s="331" t="s">
        <v>288</v>
      </c>
      <c r="E11" s="1185" t="str">
        <f>IF('F1 Forecast Consultant'!E11:F11="","",'F1 Forecast Consultant'!E11:F11)</f>
        <v/>
      </c>
      <c r="F11" s="1186"/>
    </row>
    <row r="12" spans="1:6" ht="20.100000000000001" customHeight="1">
      <c r="A12" s="330" t="s">
        <v>289</v>
      </c>
      <c r="B12" s="1187" t="str">
        <f>'All Hours'!D1</f>
        <v>PLEASE INSERT TENDERER NAME ON INPUT DATA SHEET</v>
      </c>
      <c r="C12" s="1188"/>
      <c r="D12" s="1188"/>
      <c r="E12" s="1188"/>
      <c r="F12" s="1189"/>
    </row>
    <row r="13" spans="1:6" ht="20.100000000000001" customHeight="1">
      <c r="A13" s="331" t="s">
        <v>290</v>
      </c>
      <c r="B13" s="658">
        <f>IF('F1 Forecast Consultant'!B13="","",'F1 Forecast Consultant'!B13)</f>
        <v>53579224.5</v>
      </c>
      <c r="C13" s="663" t="s">
        <v>291</v>
      </c>
      <c r="D13" s="656"/>
      <c r="E13" s="656"/>
      <c r="F13" s="657"/>
    </row>
    <row r="14" spans="1:6" ht="20.100000000000001" customHeight="1">
      <c r="A14" s="330" t="s">
        <v>292</v>
      </c>
      <c r="B14" s="1190" t="str">
        <f>IF('F1 Forecast Contractor'!B14:D14="","",'F1 Forecast Contractor'!B14:D14)</f>
        <v/>
      </c>
      <c r="C14" s="1191"/>
      <c r="D14" s="1192"/>
      <c r="E14" s="656"/>
      <c r="F14" s="657"/>
    </row>
    <row r="15" spans="1:6" ht="20.100000000000001" customHeight="1">
      <c r="A15" s="329" t="s">
        <v>287</v>
      </c>
      <c r="B15" s="1164" t="str">
        <f>IF('F1 Forecast Contractor'!B15:C15=0,"",'F1 Forecast Contractor'!B15:C15)</f>
        <v/>
      </c>
      <c r="C15" s="1165"/>
      <c r="D15" s="331" t="s">
        <v>288</v>
      </c>
      <c r="E15" s="1164" t="str">
        <f>IF('F1 Forecast Contractor'!E15:F15=0,"",'F1 Forecast Contractor'!E15:F15)</f>
        <v/>
      </c>
      <c r="F15" s="1165"/>
    </row>
    <row r="16" spans="1:6" ht="36" customHeight="1" thickBot="1">
      <c r="A16" s="334" t="s">
        <v>293</v>
      </c>
      <c r="B16" s="659">
        <f>IF('F1 Forecast Contractor'!B16="","",'F1 Forecast Contractor'!B16)</f>
        <v>166750000</v>
      </c>
      <c r="C16" s="660" t="s">
        <v>291</v>
      </c>
      <c r="D16" s="656"/>
      <c r="E16" s="661"/>
      <c r="F16" s="662"/>
    </row>
    <row r="17" spans="1:6" ht="16.5" customHeight="1">
      <c r="A17" s="1166" t="s">
        <v>294</v>
      </c>
      <c r="B17" s="1169" t="s">
        <v>295</v>
      </c>
      <c r="C17" s="1170"/>
      <c r="D17" s="1170"/>
      <c r="E17" s="1171"/>
      <c r="F17" s="337" t="s">
        <v>296</v>
      </c>
    </row>
    <row r="18" spans="1:6" ht="14.25" customHeight="1">
      <c r="A18" s="1167"/>
      <c r="B18" s="1172" t="s">
        <v>291</v>
      </c>
      <c r="C18" s="1173"/>
      <c r="D18" s="1173"/>
      <c r="E18" s="1174"/>
      <c r="F18" s="338" t="s">
        <v>291</v>
      </c>
    </row>
    <row r="19" spans="1:6" ht="16.5" customHeight="1" thickBot="1">
      <c r="A19" s="1168"/>
      <c r="B19" s="339" t="s">
        <v>297</v>
      </c>
      <c r="C19" s="340" t="s">
        <v>298</v>
      </c>
      <c r="D19" s="341" t="s">
        <v>299</v>
      </c>
      <c r="E19" s="340" t="s">
        <v>48</v>
      </c>
      <c r="F19" s="342"/>
    </row>
    <row r="20" spans="1:6" ht="20.100000000000001" customHeight="1">
      <c r="A20" s="343">
        <f>DATA!U2</f>
        <v>45017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45047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45078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45108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45139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45170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45200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45231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45261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45292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45323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45352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2023/2024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45383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45413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45444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45474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45505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45536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45566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45597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45627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45658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45689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45717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2024/2025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45748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45778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45809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45839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45870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45901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45931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45962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45992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46023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46054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46082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2025/2026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303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304</v>
      </c>
      <c r="B60" s="359" t="s">
        <v>305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52" t="s">
        <v>278</v>
      </c>
      <c r="C64" s="1153"/>
      <c r="D64" s="1156" t="s">
        <v>279</v>
      </c>
      <c r="E64" s="1157"/>
      <c r="F64" s="319" t="s">
        <v>280</v>
      </c>
    </row>
    <row r="65" spans="1:6" ht="20.100000000000001" customHeight="1">
      <c r="A65" s="321"/>
      <c r="B65" s="1154"/>
      <c r="C65" s="1155"/>
      <c r="D65" s="1158" t="str">
        <f>D2</f>
        <v>Safety Improvement</v>
      </c>
      <c r="E65" s="1159"/>
      <c r="F65" s="322" t="s">
        <v>548</v>
      </c>
    </row>
    <row r="66" spans="1:6" ht="20.100000000000001" customHeight="1">
      <c r="A66" s="321"/>
      <c r="B66" s="1160" t="s">
        <v>282</v>
      </c>
      <c r="C66" s="1162" t="str">
        <f>C3</f>
        <v>Western</v>
      </c>
      <c r="D66" s="323" t="s">
        <v>283</v>
      </c>
      <c r="E66" s="820" t="str">
        <f>E3</f>
        <v>NRA.N.007-040-2024/1F</v>
      </c>
      <c r="F66" s="361" t="s">
        <v>596</v>
      </c>
    </row>
    <row r="67" spans="1:6" ht="20.100000000000001" customHeight="1" thickBot="1">
      <c r="A67" s="324"/>
      <c r="B67" s="1161"/>
      <c r="C67" s="1163"/>
      <c r="D67" s="325" t="s">
        <v>595</v>
      </c>
      <c r="E67" s="700">
        <f>E4</f>
        <v>1</v>
      </c>
      <c r="F67" s="701">
        <f>F4</f>
        <v>0</v>
      </c>
    </row>
    <row r="68" spans="1:6" ht="20.100000000000001" customHeight="1">
      <c r="A68" s="1143" t="s">
        <v>687</v>
      </c>
      <c r="B68" s="1144"/>
      <c r="C68" s="1144"/>
      <c r="D68" s="1144"/>
      <c r="E68" s="1144"/>
      <c r="F68" s="1145"/>
    </row>
    <row r="69" spans="1:6" ht="20.100000000000001" customHeight="1">
      <c r="A69" s="1146"/>
      <c r="B69" s="1147"/>
      <c r="C69" s="1147"/>
      <c r="D69" s="1147"/>
      <c r="E69" s="1147"/>
      <c r="F69" s="1148"/>
    </row>
    <row r="70" spans="1:6" ht="20.100000000000001" customHeight="1" thickBot="1">
      <c r="A70" s="1149"/>
      <c r="B70" s="1150"/>
      <c r="C70" s="1150"/>
      <c r="D70" s="1150"/>
      <c r="E70" s="1150"/>
      <c r="F70" s="1151"/>
    </row>
    <row r="71" spans="1:6" ht="20.100000000000001" customHeight="1">
      <c r="A71" s="328" t="s">
        <v>285</v>
      </c>
      <c r="B71" s="664" t="str">
        <f>E66</f>
        <v>NRA.N.007-040-2024/1F</v>
      </c>
      <c r="C71" s="665"/>
      <c r="D71" s="665"/>
      <c r="E71" s="665"/>
      <c r="F71" s="666"/>
    </row>
    <row r="72" spans="1:6" ht="20.100000000000001" customHeight="1">
      <c r="A72" s="1175" t="s">
        <v>286</v>
      </c>
      <c r="B72" s="1177" t="str">
        <f>B9</f>
        <v>CONSULTING ENGINEERING SERVICES FOR THE STRENGTHENING ON NATIONAL ROUTE N7 SECTION 4 FROM TRAWAL (km 42.00) TO KLAWER (km 54.00)</v>
      </c>
      <c r="C72" s="1178"/>
      <c r="D72" s="1178"/>
      <c r="E72" s="1178"/>
      <c r="F72" s="1179"/>
    </row>
    <row r="73" spans="1:6" ht="20.100000000000001" customHeight="1">
      <c r="A73" s="1176"/>
      <c r="B73" s="1180"/>
      <c r="C73" s="1181"/>
      <c r="D73" s="1181"/>
      <c r="E73" s="1181"/>
      <c r="F73" s="1182"/>
    </row>
    <row r="74" spans="1:6" ht="20.100000000000001" customHeight="1">
      <c r="A74" s="329" t="s">
        <v>287</v>
      </c>
      <c r="B74" s="1183" t="str">
        <f t="shared" ref="B74:B79" si="3">B11</f>
        <v/>
      </c>
      <c r="C74" s="1184"/>
      <c r="D74" s="331" t="s">
        <v>288</v>
      </c>
      <c r="E74" s="1185" t="str">
        <f>E11</f>
        <v/>
      </c>
      <c r="F74" s="1186"/>
    </row>
    <row r="75" spans="1:6" ht="20.100000000000001" customHeight="1">
      <c r="A75" s="330" t="s">
        <v>289</v>
      </c>
      <c r="B75" s="1187" t="str">
        <f t="shared" si="3"/>
        <v>PLEASE INSERT TENDERER NAME ON INPUT DATA SHEET</v>
      </c>
      <c r="C75" s="1188"/>
      <c r="D75" s="1188"/>
      <c r="E75" s="1188"/>
      <c r="F75" s="1189"/>
    </row>
    <row r="76" spans="1:6" ht="20.100000000000001" customHeight="1">
      <c r="A76" s="331" t="s">
        <v>290</v>
      </c>
      <c r="B76" s="658">
        <f t="shared" si="3"/>
        <v>53579224.5</v>
      </c>
      <c r="C76" s="663" t="s">
        <v>291</v>
      </c>
      <c r="D76" s="656"/>
      <c r="E76" s="656"/>
      <c r="F76" s="657"/>
    </row>
    <row r="77" spans="1:6" ht="20.100000000000001" customHeight="1">
      <c r="A77" s="330" t="s">
        <v>292</v>
      </c>
      <c r="B77" s="1190" t="str">
        <f t="shared" si="3"/>
        <v/>
      </c>
      <c r="C77" s="1191"/>
      <c r="D77" s="1192"/>
      <c r="E77" s="656"/>
      <c r="F77" s="657"/>
    </row>
    <row r="78" spans="1:6" ht="20.100000000000001" customHeight="1">
      <c r="A78" s="329" t="s">
        <v>287</v>
      </c>
      <c r="B78" s="1193" t="str">
        <f t="shared" si="3"/>
        <v/>
      </c>
      <c r="C78" s="1194"/>
      <c r="D78" s="331" t="s">
        <v>288</v>
      </c>
      <c r="E78" s="1164" t="str">
        <f>E15</f>
        <v/>
      </c>
      <c r="F78" s="1165"/>
    </row>
    <row r="79" spans="1:6" ht="37.5" customHeight="1" thickBot="1">
      <c r="A79" s="334" t="s">
        <v>293</v>
      </c>
      <c r="B79" s="659">
        <f t="shared" si="3"/>
        <v>166750000</v>
      </c>
      <c r="C79" s="660" t="s">
        <v>291</v>
      </c>
      <c r="D79" s="656"/>
      <c r="E79" s="661"/>
      <c r="F79" s="662"/>
    </row>
    <row r="80" spans="1:6" ht="20.100000000000001" customHeight="1">
      <c r="A80" s="1166" t="s">
        <v>294</v>
      </c>
      <c r="B80" s="1169" t="s">
        <v>295</v>
      </c>
      <c r="C80" s="1170"/>
      <c r="D80" s="1170"/>
      <c r="E80" s="1171"/>
      <c r="F80" s="337" t="s">
        <v>296</v>
      </c>
    </row>
    <row r="81" spans="1:6" ht="20.100000000000001" customHeight="1">
      <c r="A81" s="1167"/>
      <c r="B81" s="1172" t="s">
        <v>291</v>
      </c>
      <c r="C81" s="1173"/>
      <c r="D81" s="1173"/>
      <c r="E81" s="1174"/>
      <c r="F81" s="338" t="s">
        <v>291</v>
      </c>
    </row>
    <row r="82" spans="1:6" ht="20.100000000000001" customHeight="1" thickBot="1">
      <c r="A82" s="1168"/>
      <c r="B82" s="339" t="s">
        <v>297</v>
      </c>
      <c r="C82" s="340" t="s">
        <v>298</v>
      </c>
      <c r="D82" s="341" t="s">
        <v>299</v>
      </c>
      <c r="E82" s="340" t="s">
        <v>48</v>
      </c>
      <c r="F82" s="342"/>
    </row>
    <row r="83" spans="1:6" ht="20.100000000000001" customHeight="1" thickBot="1">
      <c r="A83" s="821" t="s">
        <v>689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46113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46143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46174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46204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46235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46266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46296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46327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46357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46388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46419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46447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2026/2027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46478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46508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46539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46569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46600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46631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46661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46692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46722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46753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46784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46813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2027/2028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46844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46874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46905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46935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46966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46997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47027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47058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47088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47119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47150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47178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2028/2029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303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304</v>
      </c>
      <c r="B124" s="359" t="s">
        <v>305</v>
      </c>
    </row>
  </sheetData>
  <mergeCells count="34">
    <mergeCell ref="B75:F75"/>
    <mergeCell ref="B77:D77"/>
    <mergeCell ref="E78:F78"/>
    <mergeCell ref="A80:A82"/>
    <mergeCell ref="B80:E80"/>
    <mergeCell ref="B81:E81"/>
    <mergeCell ref="B78:C78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>
      <selection activeCell="A5" sqref="A5:F7"/>
    </sheetView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0" style="320" customWidth="1"/>
    <col min="4" max="4" width="27.6640625" style="320" customWidth="1"/>
    <col min="5" max="5" width="19.88671875" style="320" customWidth="1"/>
    <col min="6" max="6" width="28.44140625" style="320" customWidth="1"/>
    <col min="7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6" ht="20.100000000000001" customHeight="1">
      <c r="A1" s="318"/>
      <c r="B1" s="1152" t="s">
        <v>278</v>
      </c>
      <c r="C1" s="1153"/>
      <c r="D1" s="1156" t="s">
        <v>279</v>
      </c>
      <c r="E1" s="1157"/>
      <c r="F1" s="319" t="s">
        <v>280</v>
      </c>
    </row>
    <row r="2" spans="1:6" ht="20.100000000000001" customHeight="1">
      <c r="A2" s="321"/>
      <c r="B2" s="1154"/>
      <c r="C2" s="1155"/>
      <c r="D2" s="1201" t="s">
        <v>281</v>
      </c>
      <c r="E2" s="1202"/>
      <c r="F2" s="322" t="s">
        <v>289</v>
      </c>
    </row>
    <row r="3" spans="1:6" ht="20.100000000000001" customHeight="1">
      <c r="A3" s="321"/>
      <c r="B3" s="1160" t="s">
        <v>282</v>
      </c>
      <c r="C3" s="1203" t="s">
        <v>602</v>
      </c>
      <c r="D3" s="323" t="s">
        <v>283</v>
      </c>
      <c r="E3" s="710" t="str">
        <f>DATA!C1004</f>
        <v>NRA.N.007-040-2024/1F</v>
      </c>
      <c r="F3" s="361"/>
    </row>
    <row r="4" spans="1:6" ht="20.25" customHeight="1" thickBot="1">
      <c r="A4" s="324"/>
      <c r="B4" s="1161"/>
      <c r="C4" s="1204"/>
      <c r="D4" s="325" t="s">
        <v>284</v>
      </c>
      <c r="E4" s="818">
        <f>'F1  Cover'!K8</f>
        <v>1</v>
      </c>
      <c r="F4" s="327"/>
    </row>
    <row r="5" spans="1:6" ht="20.100000000000001" customHeight="1">
      <c r="A5" s="1143" t="s">
        <v>688</v>
      </c>
      <c r="B5" s="1144"/>
      <c r="C5" s="1144"/>
      <c r="D5" s="1144"/>
      <c r="E5" s="1144"/>
      <c r="F5" s="1145"/>
    </row>
    <row r="6" spans="1:6" ht="20.100000000000001" customHeight="1">
      <c r="A6" s="1146"/>
      <c r="B6" s="1147"/>
      <c r="C6" s="1147"/>
      <c r="D6" s="1147"/>
      <c r="E6" s="1147"/>
      <c r="F6" s="1148"/>
    </row>
    <row r="7" spans="1:6" ht="20.100000000000001" customHeight="1" thickBot="1">
      <c r="A7" s="1149"/>
      <c r="B7" s="1150"/>
      <c r="C7" s="1150"/>
      <c r="D7" s="1150"/>
      <c r="E7" s="1150"/>
      <c r="F7" s="1151"/>
    </row>
    <row r="8" spans="1:6" ht="20.100000000000001" customHeight="1">
      <c r="A8" s="328" t="s">
        <v>285</v>
      </c>
      <c r="B8" s="664" t="str">
        <f>E3</f>
        <v>NRA.N.007-040-2024/1F</v>
      </c>
      <c r="C8" s="665"/>
      <c r="D8" s="665"/>
      <c r="E8" s="665"/>
      <c r="F8" s="666"/>
    </row>
    <row r="9" spans="1:6" ht="20.100000000000001" customHeight="1">
      <c r="A9" s="1175" t="s">
        <v>286</v>
      </c>
      <c r="B9" s="1177" t="str">
        <f>DATA!C1005</f>
        <v>CONSULTING ENGINEERING SERVICES FOR THE STRENGTHENING ON NATIONAL ROUTE N7 SECTION 4 FROM TRAWAL (km 42.00) TO KLAWER (km 54.00)</v>
      </c>
      <c r="C9" s="1178"/>
      <c r="D9" s="1178"/>
      <c r="E9" s="1178"/>
      <c r="F9" s="1179"/>
    </row>
    <row r="10" spans="1:6" ht="18.75" customHeight="1">
      <c r="A10" s="1176"/>
      <c r="B10" s="1180"/>
      <c r="C10" s="1181"/>
      <c r="D10" s="1181"/>
      <c r="E10" s="1181"/>
      <c r="F10" s="1182"/>
    </row>
    <row r="11" spans="1:6" ht="20.100000000000001" customHeight="1">
      <c r="A11" s="329" t="s">
        <v>287</v>
      </c>
      <c r="B11" s="1195"/>
      <c r="C11" s="1196"/>
      <c r="D11" s="331" t="s">
        <v>288</v>
      </c>
      <c r="E11" s="1197"/>
      <c r="F11" s="1198"/>
    </row>
    <row r="12" spans="1:6" ht="20.100000000000001" customHeight="1">
      <c r="A12" s="330" t="s">
        <v>289</v>
      </c>
      <c r="B12" s="1187" t="str">
        <f>'All Hours'!D1</f>
        <v>PLEASE INSERT TENDERER NAME ON INPUT DATA SHEET</v>
      </c>
      <c r="C12" s="1188"/>
      <c r="D12" s="1188"/>
      <c r="E12" s="1188"/>
      <c r="F12" s="1189"/>
    </row>
    <row r="13" spans="1:6" ht="20.100000000000001" customHeight="1">
      <c r="A13" s="331" t="s">
        <v>290</v>
      </c>
      <c r="B13" s="819">
        <f>'Pricing Schedule'!F406</f>
        <v>53579224.5</v>
      </c>
      <c r="C13" s="663" t="s">
        <v>291</v>
      </c>
      <c r="D13" s="656"/>
      <c r="E13" s="656"/>
      <c r="F13" s="657"/>
    </row>
    <row r="14" spans="1:6" ht="20.100000000000001" customHeight="1">
      <c r="A14" s="330" t="s">
        <v>292</v>
      </c>
      <c r="B14" s="1190" t="str">
        <f>IF('F1 Forecast Contractor'!B14:D14="","",'F1 Forecast Contractor'!B14:D14)</f>
        <v/>
      </c>
      <c r="C14" s="1191"/>
      <c r="D14" s="1192"/>
      <c r="E14" s="656"/>
      <c r="F14" s="657"/>
    </row>
    <row r="15" spans="1:6" ht="20.100000000000001" customHeight="1">
      <c r="A15" s="329" t="s">
        <v>287</v>
      </c>
      <c r="B15" s="1199" t="str">
        <f>IF('F1 Forecast Contractor'!B15="","",'F1 Forecast Contractor'!B15)</f>
        <v/>
      </c>
      <c r="C15" s="1200"/>
      <c r="D15" s="331" t="s">
        <v>288</v>
      </c>
      <c r="E15" s="1164" t="str">
        <f>IF('F1 Forecast Contractor'!E15:F15="","",'F1 Forecast Contractor'!E15:F15)</f>
        <v/>
      </c>
      <c r="F15" s="1165"/>
    </row>
    <row r="16" spans="1:6" ht="36" customHeight="1" thickBot="1">
      <c r="A16" s="334" t="s">
        <v>293</v>
      </c>
      <c r="B16" s="659">
        <f>IF('F1 Forecast Contractor'!B16="","",'F1 Forecast Contractor'!B16)</f>
        <v>166750000</v>
      </c>
      <c r="C16" s="660" t="s">
        <v>291</v>
      </c>
      <c r="D16" s="656"/>
      <c r="E16" s="661"/>
      <c r="F16" s="662"/>
    </row>
    <row r="17" spans="1:6" ht="16.5" customHeight="1">
      <c r="A17" s="1166" t="s">
        <v>294</v>
      </c>
      <c r="B17" s="1169" t="s">
        <v>295</v>
      </c>
      <c r="C17" s="1170"/>
      <c r="D17" s="1170"/>
      <c r="E17" s="1171"/>
      <c r="F17" s="337" t="s">
        <v>296</v>
      </c>
    </row>
    <row r="18" spans="1:6" ht="14.25" customHeight="1">
      <c r="A18" s="1167"/>
      <c r="B18" s="1172" t="s">
        <v>291</v>
      </c>
      <c r="C18" s="1173"/>
      <c r="D18" s="1173"/>
      <c r="E18" s="1174"/>
      <c r="F18" s="338" t="s">
        <v>291</v>
      </c>
    </row>
    <row r="19" spans="1:6" ht="16.5" customHeight="1" thickBot="1">
      <c r="A19" s="1168"/>
      <c r="B19" s="339" t="s">
        <v>297</v>
      </c>
      <c r="C19" s="340" t="s">
        <v>298</v>
      </c>
      <c r="D19" s="667" t="s">
        <v>299</v>
      </c>
      <c r="E19" s="654" t="s">
        <v>48</v>
      </c>
      <c r="F19" s="342"/>
    </row>
    <row r="20" spans="1:6" ht="20.100000000000001" customHeight="1">
      <c r="A20" s="343">
        <f>'F1 Forecast Combined'!A20</f>
        <v>45017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45047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45413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45778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303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304</v>
      </c>
      <c r="B60" s="359" t="s">
        <v>305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52" t="s">
        <v>278</v>
      </c>
      <c r="C64" s="1153"/>
      <c r="D64" s="1156" t="s">
        <v>279</v>
      </c>
      <c r="E64" s="1157"/>
      <c r="F64" s="319" t="s">
        <v>280</v>
      </c>
    </row>
    <row r="65" spans="1:6" ht="20.100000000000001" customHeight="1">
      <c r="A65" s="321"/>
      <c r="B65" s="1154"/>
      <c r="C65" s="1155"/>
      <c r="D65" s="1158" t="str">
        <f>D2</f>
        <v>Safety Improvement</v>
      </c>
      <c r="E65" s="1159"/>
      <c r="F65" s="322" t="s">
        <v>289</v>
      </c>
    </row>
    <row r="66" spans="1:6" ht="20.100000000000001" customHeight="1">
      <c r="A66" s="321"/>
      <c r="B66" s="1160" t="s">
        <v>282</v>
      </c>
      <c r="C66" s="1162" t="str">
        <f>C3</f>
        <v>Western</v>
      </c>
      <c r="D66" s="323" t="s">
        <v>283</v>
      </c>
      <c r="E66" s="623" t="str">
        <f>E3</f>
        <v>NRA.N.007-040-2024/1F</v>
      </c>
      <c r="F66" s="361"/>
    </row>
    <row r="67" spans="1:6" ht="20.100000000000001" customHeight="1" thickBot="1">
      <c r="A67" s="324"/>
      <c r="B67" s="1161"/>
      <c r="C67" s="1163"/>
      <c r="D67" s="325" t="s">
        <v>284</v>
      </c>
      <c r="E67" s="825">
        <f>E4</f>
        <v>1</v>
      </c>
      <c r="F67" s="327"/>
    </row>
    <row r="68" spans="1:6" ht="20.100000000000001" customHeight="1">
      <c r="A68" s="1143" t="s">
        <v>687</v>
      </c>
      <c r="B68" s="1144"/>
      <c r="C68" s="1144"/>
      <c r="D68" s="1144"/>
      <c r="E68" s="1144"/>
      <c r="F68" s="1145"/>
    </row>
    <row r="69" spans="1:6" ht="20.100000000000001" customHeight="1">
      <c r="A69" s="1146"/>
      <c r="B69" s="1147"/>
      <c r="C69" s="1147"/>
      <c r="D69" s="1147"/>
      <c r="E69" s="1147"/>
      <c r="F69" s="1148"/>
    </row>
    <row r="70" spans="1:6" ht="20.100000000000001" customHeight="1" thickBot="1">
      <c r="A70" s="1149"/>
      <c r="B70" s="1150"/>
      <c r="C70" s="1150"/>
      <c r="D70" s="1150"/>
      <c r="E70" s="1150"/>
      <c r="F70" s="1151"/>
    </row>
    <row r="71" spans="1:6" ht="20.100000000000001" customHeight="1">
      <c r="A71" s="328" t="s">
        <v>285</v>
      </c>
      <c r="B71" s="664" t="str">
        <f>B8</f>
        <v>NRA.N.007-040-2024/1F</v>
      </c>
      <c r="C71" s="665"/>
      <c r="D71" s="665"/>
      <c r="E71" s="665"/>
      <c r="F71" s="666"/>
    </row>
    <row r="72" spans="1:6" ht="20.100000000000001" customHeight="1">
      <c r="A72" s="1175" t="s">
        <v>286</v>
      </c>
      <c r="B72" s="1177" t="str">
        <f>B9</f>
        <v>CONSULTING ENGINEERING SERVICES FOR THE STRENGTHENING ON NATIONAL ROUTE N7 SECTION 4 FROM TRAWAL (km 42.00) TO KLAWER (km 54.00)</v>
      </c>
      <c r="C72" s="1178"/>
      <c r="D72" s="1178"/>
      <c r="E72" s="1178"/>
      <c r="F72" s="1179"/>
    </row>
    <row r="73" spans="1:6" ht="20.100000000000001" customHeight="1">
      <c r="A73" s="1176"/>
      <c r="B73" s="1180"/>
      <c r="C73" s="1181"/>
      <c r="D73" s="1181"/>
      <c r="E73" s="1181"/>
      <c r="F73" s="1182"/>
    </row>
    <row r="74" spans="1:6" ht="20.100000000000001" customHeight="1">
      <c r="A74" s="329" t="s">
        <v>287</v>
      </c>
      <c r="B74" s="1183">
        <f t="shared" ref="B74:B79" si="3">B11</f>
        <v>0</v>
      </c>
      <c r="C74" s="1184"/>
      <c r="D74" s="331" t="s">
        <v>288</v>
      </c>
      <c r="E74" s="1185">
        <f>E11</f>
        <v>0</v>
      </c>
      <c r="F74" s="1186"/>
    </row>
    <row r="75" spans="1:6" ht="20.100000000000001" customHeight="1">
      <c r="A75" s="330" t="s">
        <v>289</v>
      </c>
      <c r="B75" s="1187" t="str">
        <f t="shared" si="3"/>
        <v>PLEASE INSERT TENDERER NAME ON INPUT DATA SHEET</v>
      </c>
      <c r="C75" s="1188"/>
      <c r="D75" s="1188"/>
      <c r="E75" s="1188"/>
      <c r="F75" s="1189"/>
    </row>
    <row r="76" spans="1:6" ht="20.100000000000001" customHeight="1">
      <c r="A76" s="331" t="s">
        <v>290</v>
      </c>
      <c r="B76" s="819">
        <f t="shared" si="3"/>
        <v>53579224.5</v>
      </c>
      <c r="C76" s="663" t="s">
        <v>291</v>
      </c>
      <c r="D76" s="656"/>
      <c r="E76" s="656"/>
      <c r="F76" s="657"/>
    </row>
    <row r="77" spans="1:6" ht="20.100000000000001" customHeight="1">
      <c r="A77" s="330" t="s">
        <v>292</v>
      </c>
      <c r="B77" s="1190" t="str">
        <f t="shared" si="3"/>
        <v/>
      </c>
      <c r="C77" s="1191"/>
      <c r="D77" s="1192"/>
      <c r="E77" s="656"/>
      <c r="F77" s="657"/>
    </row>
    <row r="78" spans="1:6" ht="20.100000000000001" customHeight="1">
      <c r="A78" s="329" t="s">
        <v>287</v>
      </c>
      <c r="B78" s="1199" t="str">
        <f t="shared" si="3"/>
        <v/>
      </c>
      <c r="C78" s="1200"/>
      <c r="D78" s="331" t="s">
        <v>288</v>
      </c>
      <c r="E78" s="1164" t="str">
        <f>E15</f>
        <v/>
      </c>
      <c r="F78" s="1165"/>
    </row>
    <row r="79" spans="1:6" ht="36.75" customHeight="1" thickBot="1">
      <c r="A79" s="334" t="s">
        <v>293</v>
      </c>
      <c r="B79" s="659">
        <f t="shared" si="3"/>
        <v>166750000</v>
      </c>
      <c r="C79" s="660" t="s">
        <v>291</v>
      </c>
      <c r="D79" s="656"/>
      <c r="E79" s="661"/>
      <c r="F79" s="662"/>
    </row>
    <row r="80" spans="1:6" ht="20.100000000000001" customHeight="1">
      <c r="A80" s="1166" t="s">
        <v>294</v>
      </c>
      <c r="B80" s="1169" t="s">
        <v>295</v>
      </c>
      <c r="C80" s="1170"/>
      <c r="D80" s="1170"/>
      <c r="E80" s="1171"/>
      <c r="F80" s="337" t="s">
        <v>296</v>
      </c>
    </row>
    <row r="81" spans="1:6" ht="20.100000000000001" customHeight="1">
      <c r="A81" s="1167"/>
      <c r="B81" s="1172" t="s">
        <v>291</v>
      </c>
      <c r="C81" s="1173"/>
      <c r="D81" s="1173"/>
      <c r="E81" s="1174"/>
      <c r="F81" s="338" t="s">
        <v>291</v>
      </c>
    </row>
    <row r="82" spans="1:6" ht="20.100000000000001" customHeight="1" thickBot="1">
      <c r="A82" s="1168"/>
      <c r="B82" s="339" t="s">
        <v>297</v>
      </c>
      <c r="C82" s="340" t="s">
        <v>298</v>
      </c>
      <c r="D82" s="667" t="s">
        <v>299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46143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46508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46874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303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304</v>
      </c>
      <c r="B124" s="359" t="s">
        <v>305</v>
      </c>
    </row>
  </sheetData>
  <mergeCells count="34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6640625" style="320" customWidth="1"/>
    <col min="2" max="2" width="27.109375" style="320" customWidth="1"/>
    <col min="3" max="3" width="21.5546875" style="320" customWidth="1"/>
    <col min="4" max="4" width="27.6640625" style="320" customWidth="1"/>
    <col min="5" max="5" width="19.88671875" style="320" customWidth="1"/>
    <col min="6" max="6" width="27" style="320" customWidth="1"/>
    <col min="7" max="9" width="9.109375" style="320"/>
    <col min="10" max="10" width="9.109375" style="320" customWidth="1"/>
    <col min="11" max="256" width="9.109375" style="320"/>
    <col min="257" max="257" width="30.6640625" style="320" customWidth="1"/>
    <col min="258" max="258" width="27.109375" style="320" customWidth="1"/>
    <col min="259" max="259" width="20" style="320" customWidth="1"/>
    <col min="260" max="260" width="27.6640625" style="320" customWidth="1"/>
    <col min="261" max="261" width="19.88671875" style="320" customWidth="1"/>
    <col min="262" max="262" width="28.44140625" style="320" customWidth="1"/>
    <col min="263" max="512" width="9.109375" style="320"/>
    <col min="513" max="513" width="30.6640625" style="320" customWidth="1"/>
    <col min="514" max="514" width="27.109375" style="320" customWidth="1"/>
    <col min="515" max="515" width="20" style="320" customWidth="1"/>
    <col min="516" max="516" width="27.6640625" style="320" customWidth="1"/>
    <col min="517" max="517" width="19.88671875" style="320" customWidth="1"/>
    <col min="518" max="518" width="28.44140625" style="320" customWidth="1"/>
    <col min="519" max="768" width="9.109375" style="320"/>
    <col min="769" max="769" width="30.6640625" style="320" customWidth="1"/>
    <col min="770" max="770" width="27.109375" style="320" customWidth="1"/>
    <col min="771" max="771" width="20" style="320" customWidth="1"/>
    <col min="772" max="772" width="27.6640625" style="320" customWidth="1"/>
    <col min="773" max="773" width="19.88671875" style="320" customWidth="1"/>
    <col min="774" max="774" width="28.44140625" style="320" customWidth="1"/>
    <col min="775" max="1024" width="9.109375" style="320"/>
    <col min="1025" max="1025" width="30.6640625" style="320" customWidth="1"/>
    <col min="1026" max="1026" width="27.109375" style="320" customWidth="1"/>
    <col min="1027" max="1027" width="20" style="320" customWidth="1"/>
    <col min="1028" max="1028" width="27.6640625" style="320" customWidth="1"/>
    <col min="1029" max="1029" width="19.88671875" style="320" customWidth="1"/>
    <col min="1030" max="1030" width="28.44140625" style="320" customWidth="1"/>
    <col min="1031" max="1280" width="9.109375" style="320"/>
    <col min="1281" max="1281" width="30.6640625" style="320" customWidth="1"/>
    <col min="1282" max="1282" width="27.109375" style="320" customWidth="1"/>
    <col min="1283" max="1283" width="20" style="320" customWidth="1"/>
    <col min="1284" max="1284" width="27.6640625" style="320" customWidth="1"/>
    <col min="1285" max="1285" width="19.88671875" style="320" customWidth="1"/>
    <col min="1286" max="1286" width="28.44140625" style="320" customWidth="1"/>
    <col min="1287" max="1536" width="9.109375" style="320"/>
    <col min="1537" max="1537" width="30.6640625" style="320" customWidth="1"/>
    <col min="1538" max="1538" width="27.109375" style="320" customWidth="1"/>
    <col min="1539" max="1539" width="20" style="320" customWidth="1"/>
    <col min="1540" max="1540" width="27.6640625" style="320" customWidth="1"/>
    <col min="1541" max="1541" width="19.88671875" style="320" customWidth="1"/>
    <col min="1542" max="1542" width="28.44140625" style="320" customWidth="1"/>
    <col min="1543" max="1792" width="9.109375" style="320"/>
    <col min="1793" max="1793" width="30.6640625" style="320" customWidth="1"/>
    <col min="1794" max="1794" width="27.109375" style="320" customWidth="1"/>
    <col min="1795" max="1795" width="20" style="320" customWidth="1"/>
    <col min="1796" max="1796" width="27.6640625" style="320" customWidth="1"/>
    <col min="1797" max="1797" width="19.88671875" style="320" customWidth="1"/>
    <col min="1798" max="1798" width="28.44140625" style="320" customWidth="1"/>
    <col min="1799" max="2048" width="9.109375" style="320"/>
    <col min="2049" max="2049" width="30.6640625" style="320" customWidth="1"/>
    <col min="2050" max="2050" width="27.109375" style="320" customWidth="1"/>
    <col min="2051" max="2051" width="20" style="320" customWidth="1"/>
    <col min="2052" max="2052" width="27.6640625" style="320" customWidth="1"/>
    <col min="2053" max="2053" width="19.88671875" style="320" customWidth="1"/>
    <col min="2054" max="2054" width="28.44140625" style="320" customWidth="1"/>
    <col min="2055" max="2304" width="9.109375" style="320"/>
    <col min="2305" max="2305" width="30.6640625" style="320" customWidth="1"/>
    <col min="2306" max="2306" width="27.109375" style="320" customWidth="1"/>
    <col min="2307" max="2307" width="20" style="320" customWidth="1"/>
    <col min="2308" max="2308" width="27.6640625" style="320" customWidth="1"/>
    <col min="2309" max="2309" width="19.88671875" style="320" customWidth="1"/>
    <col min="2310" max="2310" width="28.44140625" style="320" customWidth="1"/>
    <col min="2311" max="2560" width="9.109375" style="320"/>
    <col min="2561" max="2561" width="30.6640625" style="320" customWidth="1"/>
    <col min="2562" max="2562" width="27.109375" style="320" customWidth="1"/>
    <col min="2563" max="2563" width="20" style="320" customWidth="1"/>
    <col min="2564" max="2564" width="27.6640625" style="320" customWidth="1"/>
    <col min="2565" max="2565" width="19.88671875" style="320" customWidth="1"/>
    <col min="2566" max="2566" width="28.44140625" style="320" customWidth="1"/>
    <col min="2567" max="2816" width="9.109375" style="320"/>
    <col min="2817" max="2817" width="30.6640625" style="320" customWidth="1"/>
    <col min="2818" max="2818" width="27.109375" style="320" customWidth="1"/>
    <col min="2819" max="2819" width="20" style="320" customWidth="1"/>
    <col min="2820" max="2820" width="27.6640625" style="320" customWidth="1"/>
    <col min="2821" max="2821" width="19.88671875" style="320" customWidth="1"/>
    <col min="2822" max="2822" width="28.44140625" style="320" customWidth="1"/>
    <col min="2823" max="3072" width="9.109375" style="320"/>
    <col min="3073" max="3073" width="30.6640625" style="320" customWidth="1"/>
    <col min="3074" max="3074" width="27.109375" style="320" customWidth="1"/>
    <col min="3075" max="3075" width="20" style="320" customWidth="1"/>
    <col min="3076" max="3076" width="27.6640625" style="320" customWidth="1"/>
    <col min="3077" max="3077" width="19.88671875" style="320" customWidth="1"/>
    <col min="3078" max="3078" width="28.44140625" style="320" customWidth="1"/>
    <col min="3079" max="3328" width="9.109375" style="320"/>
    <col min="3329" max="3329" width="30.6640625" style="320" customWidth="1"/>
    <col min="3330" max="3330" width="27.109375" style="320" customWidth="1"/>
    <col min="3331" max="3331" width="20" style="320" customWidth="1"/>
    <col min="3332" max="3332" width="27.6640625" style="320" customWidth="1"/>
    <col min="3333" max="3333" width="19.88671875" style="320" customWidth="1"/>
    <col min="3334" max="3334" width="28.44140625" style="320" customWidth="1"/>
    <col min="3335" max="3584" width="9.109375" style="320"/>
    <col min="3585" max="3585" width="30.6640625" style="320" customWidth="1"/>
    <col min="3586" max="3586" width="27.109375" style="320" customWidth="1"/>
    <col min="3587" max="3587" width="20" style="320" customWidth="1"/>
    <col min="3588" max="3588" width="27.6640625" style="320" customWidth="1"/>
    <col min="3589" max="3589" width="19.88671875" style="320" customWidth="1"/>
    <col min="3590" max="3590" width="28.44140625" style="320" customWidth="1"/>
    <col min="3591" max="3840" width="9.109375" style="320"/>
    <col min="3841" max="3841" width="30.6640625" style="320" customWidth="1"/>
    <col min="3842" max="3842" width="27.109375" style="320" customWidth="1"/>
    <col min="3843" max="3843" width="20" style="320" customWidth="1"/>
    <col min="3844" max="3844" width="27.6640625" style="320" customWidth="1"/>
    <col min="3845" max="3845" width="19.88671875" style="320" customWidth="1"/>
    <col min="3846" max="3846" width="28.44140625" style="320" customWidth="1"/>
    <col min="3847" max="4096" width="9.109375" style="320"/>
    <col min="4097" max="4097" width="30.6640625" style="320" customWidth="1"/>
    <col min="4098" max="4098" width="27.109375" style="320" customWidth="1"/>
    <col min="4099" max="4099" width="20" style="320" customWidth="1"/>
    <col min="4100" max="4100" width="27.6640625" style="320" customWidth="1"/>
    <col min="4101" max="4101" width="19.88671875" style="320" customWidth="1"/>
    <col min="4102" max="4102" width="28.44140625" style="320" customWidth="1"/>
    <col min="4103" max="4352" width="9.109375" style="320"/>
    <col min="4353" max="4353" width="30.6640625" style="320" customWidth="1"/>
    <col min="4354" max="4354" width="27.109375" style="320" customWidth="1"/>
    <col min="4355" max="4355" width="20" style="320" customWidth="1"/>
    <col min="4356" max="4356" width="27.6640625" style="320" customWidth="1"/>
    <col min="4357" max="4357" width="19.88671875" style="320" customWidth="1"/>
    <col min="4358" max="4358" width="28.44140625" style="320" customWidth="1"/>
    <col min="4359" max="4608" width="9.109375" style="320"/>
    <col min="4609" max="4609" width="30.6640625" style="320" customWidth="1"/>
    <col min="4610" max="4610" width="27.109375" style="320" customWidth="1"/>
    <col min="4611" max="4611" width="20" style="320" customWidth="1"/>
    <col min="4612" max="4612" width="27.6640625" style="320" customWidth="1"/>
    <col min="4613" max="4613" width="19.88671875" style="320" customWidth="1"/>
    <col min="4614" max="4614" width="28.44140625" style="320" customWidth="1"/>
    <col min="4615" max="4864" width="9.109375" style="320"/>
    <col min="4865" max="4865" width="30.6640625" style="320" customWidth="1"/>
    <col min="4866" max="4866" width="27.109375" style="320" customWidth="1"/>
    <col min="4867" max="4867" width="20" style="320" customWidth="1"/>
    <col min="4868" max="4868" width="27.6640625" style="320" customWidth="1"/>
    <col min="4869" max="4869" width="19.88671875" style="320" customWidth="1"/>
    <col min="4870" max="4870" width="28.44140625" style="320" customWidth="1"/>
    <col min="4871" max="5120" width="9.109375" style="320"/>
    <col min="5121" max="5121" width="30.6640625" style="320" customWidth="1"/>
    <col min="5122" max="5122" width="27.109375" style="320" customWidth="1"/>
    <col min="5123" max="5123" width="20" style="320" customWidth="1"/>
    <col min="5124" max="5124" width="27.6640625" style="320" customWidth="1"/>
    <col min="5125" max="5125" width="19.88671875" style="320" customWidth="1"/>
    <col min="5126" max="5126" width="28.44140625" style="320" customWidth="1"/>
    <col min="5127" max="5376" width="9.109375" style="320"/>
    <col min="5377" max="5377" width="30.6640625" style="320" customWidth="1"/>
    <col min="5378" max="5378" width="27.109375" style="320" customWidth="1"/>
    <col min="5379" max="5379" width="20" style="320" customWidth="1"/>
    <col min="5380" max="5380" width="27.6640625" style="320" customWidth="1"/>
    <col min="5381" max="5381" width="19.88671875" style="320" customWidth="1"/>
    <col min="5382" max="5382" width="28.44140625" style="320" customWidth="1"/>
    <col min="5383" max="5632" width="9.109375" style="320"/>
    <col min="5633" max="5633" width="30.6640625" style="320" customWidth="1"/>
    <col min="5634" max="5634" width="27.109375" style="320" customWidth="1"/>
    <col min="5635" max="5635" width="20" style="320" customWidth="1"/>
    <col min="5636" max="5636" width="27.6640625" style="320" customWidth="1"/>
    <col min="5637" max="5637" width="19.88671875" style="320" customWidth="1"/>
    <col min="5638" max="5638" width="28.44140625" style="320" customWidth="1"/>
    <col min="5639" max="5888" width="9.109375" style="320"/>
    <col min="5889" max="5889" width="30.6640625" style="320" customWidth="1"/>
    <col min="5890" max="5890" width="27.109375" style="320" customWidth="1"/>
    <col min="5891" max="5891" width="20" style="320" customWidth="1"/>
    <col min="5892" max="5892" width="27.6640625" style="320" customWidth="1"/>
    <col min="5893" max="5893" width="19.88671875" style="320" customWidth="1"/>
    <col min="5894" max="5894" width="28.44140625" style="320" customWidth="1"/>
    <col min="5895" max="6144" width="9.109375" style="320"/>
    <col min="6145" max="6145" width="30.6640625" style="320" customWidth="1"/>
    <col min="6146" max="6146" width="27.109375" style="320" customWidth="1"/>
    <col min="6147" max="6147" width="20" style="320" customWidth="1"/>
    <col min="6148" max="6148" width="27.6640625" style="320" customWidth="1"/>
    <col min="6149" max="6149" width="19.88671875" style="320" customWidth="1"/>
    <col min="6150" max="6150" width="28.44140625" style="320" customWidth="1"/>
    <col min="6151" max="6400" width="9.109375" style="320"/>
    <col min="6401" max="6401" width="30.6640625" style="320" customWidth="1"/>
    <col min="6402" max="6402" width="27.109375" style="320" customWidth="1"/>
    <col min="6403" max="6403" width="20" style="320" customWidth="1"/>
    <col min="6404" max="6404" width="27.6640625" style="320" customWidth="1"/>
    <col min="6405" max="6405" width="19.88671875" style="320" customWidth="1"/>
    <col min="6406" max="6406" width="28.44140625" style="320" customWidth="1"/>
    <col min="6407" max="6656" width="9.109375" style="320"/>
    <col min="6657" max="6657" width="30.6640625" style="320" customWidth="1"/>
    <col min="6658" max="6658" width="27.109375" style="320" customWidth="1"/>
    <col min="6659" max="6659" width="20" style="320" customWidth="1"/>
    <col min="6660" max="6660" width="27.6640625" style="320" customWidth="1"/>
    <col min="6661" max="6661" width="19.88671875" style="320" customWidth="1"/>
    <col min="6662" max="6662" width="28.44140625" style="320" customWidth="1"/>
    <col min="6663" max="6912" width="9.109375" style="320"/>
    <col min="6913" max="6913" width="30.6640625" style="320" customWidth="1"/>
    <col min="6914" max="6914" width="27.109375" style="320" customWidth="1"/>
    <col min="6915" max="6915" width="20" style="320" customWidth="1"/>
    <col min="6916" max="6916" width="27.6640625" style="320" customWidth="1"/>
    <col min="6917" max="6917" width="19.88671875" style="320" customWidth="1"/>
    <col min="6918" max="6918" width="28.44140625" style="320" customWidth="1"/>
    <col min="6919" max="7168" width="9.109375" style="320"/>
    <col min="7169" max="7169" width="30.6640625" style="320" customWidth="1"/>
    <col min="7170" max="7170" width="27.109375" style="320" customWidth="1"/>
    <col min="7171" max="7171" width="20" style="320" customWidth="1"/>
    <col min="7172" max="7172" width="27.6640625" style="320" customWidth="1"/>
    <col min="7173" max="7173" width="19.88671875" style="320" customWidth="1"/>
    <col min="7174" max="7174" width="28.44140625" style="320" customWidth="1"/>
    <col min="7175" max="7424" width="9.109375" style="320"/>
    <col min="7425" max="7425" width="30.6640625" style="320" customWidth="1"/>
    <col min="7426" max="7426" width="27.109375" style="320" customWidth="1"/>
    <col min="7427" max="7427" width="20" style="320" customWidth="1"/>
    <col min="7428" max="7428" width="27.6640625" style="320" customWidth="1"/>
    <col min="7429" max="7429" width="19.88671875" style="320" customWidth="1"/>
    <col min="7430" max="7430" width="28.44140625" style="320" customWidth="1"/>
    <col min="7431" max="7680" width="9.109375" style="320"/>
    <col min="7681" max="7681" width="30.6640625" style="320" customWidth="1"/>
    <col min="7682" max="7682" width="27.109375" style="320" customWidth="1"/>
    <col min="7683" max="7683" width="20" style="320" customWidth="1"/>
    <col min="7684" max="7684" width="27.6640625" style="320" customWidth="1"/>
    <col min="7685" max="7685" width="19.88671875" style="320" customWidth="1"/>
    <col min="7686" max="7686" width="28.44140625" style="320" customWidth="1"/>
    <col min="7687" max="7936" width="9.109375" style="320"/>
    <col min="7937" max="7937" width="30.6640625" style="320" customWidth="1"/>
    <col min="7938" max="7938" width="27.109375" style="320" customWidth="1"/>
    <col min="7939" max="7939" width="20" style="320" customWidth="1"/>
    <col min="7940" max="7940" width="27.6640625" style="320" customWidth="1"/>
    <col min="7941" max="7941" width="19.88671875" style="320" customWidth="1"/>
    <col min="7942" max="7942" width="28.44140625" style="320" customWidth="1"/>
    <col min="7943" max="8192" width="9.109375" style="320"/>
    <col min="8193" max="8193" width="30.6640625" style="320" customWidth="1"/>
    <col min="8194" max="8194" width="27.109375" style="320" customWidth="1"/>
    <col min="8195" max="8195" width="20" style="320" customWidth="1"/>
    <col min="8196" max="8196" width="27.6640625" style="320" customWidth="1"/>
    <col min="8197" max="8197" width="19.88671875" style="320" customWidth="1"/>
    <col min="8198" max="8198" width="28.44140625" style="320" customWidth="1"/>
    <col min="8199" max="8448" width="9.109375" style="320"/>
    <col min="8449" max="8449" width="30.6640625" style="320" customWidth="1"/>
    <col min="8450" max="8450" width="27.109375" style="320" customWidth="1"/>
    <col min="8451" max="8451" width="20" style="320" customWidth="1"/>
    <col min="8452" max="8452" width="27.6640625" style="320" customWidth="1"/>
    <col min="8453" max="8453" width="19.88671875" style="320" customWidth="1"/>
    <col min="8454" max="8454" width="28.44140625" style="320" customWidth="1"/>
    <col min="8455" max="8704" width="9.109375" style="320"/>
    <col min="8705" max="8705" width="30.6640625" style="320" customWidth="1"/>
    <col min="8706" max="8706" width="27.109375" style="320" customWidth="1"/>
    <col min="8707" max="8707" width="20" style="320" customWidth="1"/>
    <col min="8708" max="8708" width="27.6640625" style="320" customWidth="1"/>
    <col min="8709" max="8709" width="19.88671875" style="320" customWidth="1"/>
    <col min="8710" max="8710" width="28.44140625" style="320" customWidth="1"/>
    <col min="8711" max="8960" width="9.109375" style="320"/>
    <col min="8961" max="8961" width="30.6640625" style="320" customWidth="1"/>
    <col min="8962" max="8962" width="27.109375" style="320" customWidth="1"/>
    <col min="8963" max="8963" width="20" style="320" customWidth="1"/>
    <col min="8964" max="8964" width="27.6640625" style="320" customWidth="1"/>
    <col min="8965" max="8965" width="19.88671875" style="320" customWidth="1"/>
    <col min="8966" max="8966" width="28.44140625" style="320" customWidth="1"/>
    <col min="8967" max="9216" width="9.109375" style="320"/>
    <col min="9217" max="9217" width="30.6640625" style="320" customWidth="1"/>
    <col min="9218" max="9218" width="27.109375" style="320" customWidth="1"/>
    <col min="9219" max="9219" width="20" style="320" customWidth="1"/>
    <col min="9220" max="9220" width="27.6640625" style="320" customWidth="1"/>
    <col min="9221" max="9221" width="19.88671875" style="320" customWidth="1"/>
    <col min="9222" max="9222" width="28.44140625" style="320" customWidth="1"/>
    <col min="9223" max="9472" width="9.109375" style="320"/>
    <col min="9473" max="9473" width="30.6640625" style="320" customWidth="1"/>
    <col min="9474" max="9474" width="27.109375" style="320" customWidth="1"/>
    <col min="9475" max="9475" width="20" style="320" customWidth="1"/>
    <col min="9476" max="9476" width="27.6640625" style="320" customWidth="1"/>
    <col min="9477" max="9477" width="19.88671875" style="320" customWidth="1"/>
    <col min="9478" max="9478" width="28.44140625" style="320" customWidth="1"/>
    <col min="9479" max="9728" width="9.109375" style="320"/>
    <col min="9729" max="9729" width="30.6640625" style="320" customWidth="1"/>
    <col min="9730" max="9730" width="27.109375" style="320" customWidth="1"/>
    <col min="9731" max="9731" width="20" style="320" customWidth="1"/>
    <col min="9732" max="9732" width="27.6640625" style="320" customWidth="1"/>
    <col min="9733" max="9733" width="19.88671875" style="320" customWidth="1"/>
    <col min="9734" max="9734" width="28.44140625" style="320" customWidth="1"/>
    <col min="9735" max="9984" width="9.109375" style="320"/>
    <col min="9985" max="9985" width="30.6640625" style="320" customWidth="1"/>
    <col min="9986" max="9986" width="27.109375" style="320" customWidth="1"/>
    <col min="9987" max="9987" width="20" style="320" customWidth="1"/>
    <col min="9988" max="9988" width="27.6640625" style="320" customWidth="1"/>
    <col min="9989" max="9989" width="19.88671875" style="320" customWidth="1"/>
    <col min="9990" max="9990" width="28.44140625" style="320" customWidth="1"/>
    <col min="9991" max="10240" width="9.109375" style="320"/>
    <col min="10241" max="10241" width="30.6640625" style="320" customWidth="1"/>
    <col min="10242" max="10242" width="27.109375" style="320" customWidth="1"/>
    <col min="10243" max="10243" width="20" style="320" customWidth="1"/>
    <col min="10244" max="10244" width="27.6640625" style="320" customWidth="1"/>
    <col min="10245" max="10245" width="19.88671875" style="320" customWidth="1"/>
    <col min="10246" max="10246" width="28.44140625" style="320" customWidth="1"/>
    <col min="10247" max="10496" width="9.109375" style="320"/>
    <col min="10497" max="10497" width="30.6640625" style="320" customWidth="1"/>
    <col min="10498" max="10498" width="27.109375" style="320" customWidth="1"/>
    <col min="10499" max="10499" width="20" style="320" customWidth="1"/>
    <col min="10500" max="10500" width="27.6640625" style="320" customWidth="1"/>
    <col min="10501" max="10501" width="19.88671875" style="320" customWidth="1"/>
    <col min="10502" max="10502" width="28.44140625" style="320" customWidth="1"/>
    <col min="10503" max="10752" width="9.109375" style="320"/>
    <col min="10753" max="10753" width="30.6640625" style="320" customWidth="1"/>
    <col min="10754" max="10754" width="27.109375" style="320" customWidth="1"/>
    <col min="10755" max="10755" width="20" style="320" customWidth="1"/>
    <col min="10756" max="10756" width="27.6640625" style="320" customWidth="1"/>
    <col min="10757" max="10757" width="19.88671875" style="320" customWidth="1"/>
    <col min="10758" max="10758" width="28.44140625" style="320" customWidth="1"/>
    <col min="10759" max="11008" width="9.109375" style="320"/>
    <col min="11009" max="11009" width="30.6640625" style="320" customWidth="1"/>
    <col min="11010" max="11010" width="27.109375" style="320" customWidth="1"/>
    <col min="11011" max="11011" width="20" style="320" customWidth="1"/>
    <col min="11012" max="11012" width="27.6640625" style="320" customWidth="1"/>
    <col min="11013" max="11013" width="19.88671875" style="320" customWidth="1"/>
    <col min="11014" max="11014" width="28.44140625" style="320" customWidth="1"/>
    <col min="11015" max="11264" width="9.109375" style="320"/>
    <col min="11265" max="11265" width="30.6640625" style="320" customWidth="1"/>
    <col min="11266" max="11266" width="27.109375" style="320" customWidth="1"/>
    <col min="11267" max="11267" width="20" style="320" customWidth="1"/>
    <col min="11268" max="11268" width="27.6640625" style="320" customWidth="1"/>
    <col min="11269" max="11269" width="19.88671875" style="320" customWidth="1"/>
    <col min="11270" max="11270" width="28.44140625" style="320" customWidth="1"/>
    <col min="11271" max="11520" width="9.109375" style="320"/>
    <col min="11521" max="11521" width="30.6640625" style="320" customWidth="1"/>
    <col min="11522" max="11522" width="27.109375" style="320" customWidth="1"/>
    <col min="11523" max="11523" width="20" style="320" customWidth="1"/>
    <col min="11524" max="11524" width="27.6640625" style="320" customWidth="1"/>
    <col min="11525" max="11525" width="19.88671875" style="320" customWidth="1"/>
    <col min="11526" max="11526" width="28.44140625" style="320" customWidth="1"/>
    <col min="11527" max="11776" width="9.109375" style="320"/>
    <col min="11777" max="11777" width="30.6640625" style="320" customWidth="1"/>
    <col min="11778" max="11778" width="27.109375" style="320" customWidth="1"/>
    <col min="11779" max="11779" width="20" style="320" customWidth="1"/>
    <col min="11780" max="11780" width="27.6640625" style="320" customWidth="1"/>
    <col min="11781" max="11781" width="19.88671875" style="320" customWidth="1"/>
    <col min="11782" max="11782" width="28.44140625" style="320" customWidth="1"/>
    <col min="11783" max="12032" width="9.109375" style="320"/>
    <col min="12033" max="12033" width="30.6640625" style="320" customWidth="1"/>
    <col min="12034" max="12034" width="27.109375" style="320" customWidth="1"/>
    <col min="12035" max="12035" width="20" style="320" customWidth="1"/>
    <col min="12036" max="12036" width="27.6640625" style="320" customWidth="1"/>
    <col min="12037" max="12037" width="19.88671875" style="320" customWidth="1"/>
    <col min="12038" max="12038" width="28.44140625" style="320" customWidth="1"/>
    <col min="12039" max="12288" width="9.109375" style="320"/>
    <col min="12289" max="12289" width="30.6640625" style="320" customWidth="1"/>
    <col min="12290" max="12290" width="27.109375" style="320" customWidth="1"/>
    <col min="12291" max="12291" width="20" style="320" customWidth="1"/>
    <col min="12292" max="12292" width="27.6640625" style="320" customWidth="1"/>
    <col min="12293" max="12293" width="19.88671875" style="320" customWidth="1"/>
    <col min="12294" max="12294" width="28.44140625" style="320" customWidth="1"/>
    <col min="12295" max="12544" width="9.109375" style="320"/>
    <col min="12545" max="12545" width="30.6640625" style="320" customWidth="1"/>
    <col min="12546" max="12546" width="27.109375" style="320" customWidth="1"/>
    <col min="12547" max="12547" width="20" style="320" customWidth="1"/>
    <col min="12548" max="12548" width="27.6640625" style="320" customWidth="1"/>
    <col min="12549" max="12549" width="19.88671875" style="320" customWidth="1"/>
    <col min="12550" max="12550" width="28.44140625" style="320" customWidth="1"/>
    <col min="12551" max="12800" width="9.109375" style="320"/>
    <col min="12801" max="12801" width="30.6640625" style="320" customWidth="1"/>
    <col min="12802" max="12802" width="27.109375" style="320" customWidth="1"/>
    <col min="12803" max="12803" width="20" style="320" customWidth="1"/>
    <col min="12804" max="12804" width="27.6640625" style="320" customWidth="1"/>
    <col min="12805" max="12805" width="19.88671875" style="320" customWidth="1"/>
    <col min="12806" max="12806" width="28.44140625" style="320" customWidth="1"/>
    <col min="12807" max="13056" width="9.109375" style="320"/>
    <col min="13057" max="13057" width="30.6640625" style="320" customWidth="1"/>
    <col min="13058" max="13058" width="27.109375" style="320" customWidth="1"/>
    <col min="13059" max="13059" width="20" style="320" customWidth="1"/>
    <col min="13060" max="13060" width="27.6640625" style="320" customWidth="1"/>
    <col min="13061" max="13061" width="19.88671875" style="320" customWidth="1"/>
    <col min="13062" max="13062" width="28.44140625" style="320" customWidth="1"/>
    <col min="13063" max="13312" width="9.109375" style="320"/>
    <col min="13313" max="13313" width="30.6640625" style="320" customWidth="1"/>
    <col min="13314" max="13314" width="27.109375" style="320" customWidth="1"/>
    <col min="13315" max="13315" width="20" style="320" customWidth="1"/>
    <col min="13316" max="13316" width="27.6640625" style="320" customWidth="1"/>
    <col min="13317" max="13317" width="19.88671875" style="320" customWidth="1"/>
    <col min="13318" max="13318" width="28.44140625" style="320" customWidth="1"/>
    <col min="13319" max="13568" width="9.109375" style="320"/>
    <col min="13569" max="13569" width="30.6640625" style="320" customWidth="1"/>
    <col min="13570" max="13570" width="27.109375" style="320" customWidth="1"/>
    <col min="13571" max="13571" width="20" style="320" customWidth="1"/>
    <col min="13572" max="13572" width="27.6640625" style="320" customWidth="1"/>
    <col min="13573" max="13573" width="19.88671875" style="320" customWidth="1"/>
    <col min="13574" max="13574" width="28.44140625" style="320" customWidth="1"/>
    <col min="13575" max="13824" width="9.109375" style="320"/>
    <col min="13825" max="13825" width="30.6640625" style="320" customWidth="1"/>
    <col min="13826" max="13826" width="27.109375" style="320" customWidth="1"/>
    <col min="13827" max="13827" width="20" style="320" customWidth="1"/>
    <col min="13828" max="13828" width="27.6640625" style="320" customWidth="1"/>
    <col min="13829" max="13829" width="19.88671875" style="320" customWidth="1"/>
    <col min="13830" max="13830" width="28.44140625" style="320" customWidth="1"/>
    <col min="13831" max="14080" width="9.109375" style="320"/>
    <col min="14081" max="14081" width="30.6640625" style="320" customWidth="1"/>
    <col min="14082" max="14082" width="27.109375" style="320" customWidth="1"/>
    <col min="14083" max="14083" width="20" style="320" customWidth="1"/>
    <col min="14084" max="14084" width="27.6640625" style="320" customWidth="1"/>
    <col min="14085" max="14085" width="19.88671875" style="320" customWidth="1"/>
    <col min="14086" max="14086" width="28.44140625" style="320" customWidth="1"/>
    <col min="14087" max="14336" width="9.109375" style="320"/>
    <col min="14337" max="14337" width="30.6640625" style="320" customWidth="1"/>
    <col min="14338" max="14338" width="27.109375" style="320" customWidth="1"/>
    <col min="14339" max="14339" width="20" style="320" customWidth="1"/>
    <col min="14340" max="14340" width="27.6640625" style="320" customWidth="1"/>
    <col min="14341" max="14341" width="19.88671875" style="320" customWidth="1"/>
    <col min="14342" max="14342" width="28.44140625" style="320" customWidth="1"/>
    <col min="14343" max="14592" width="9.109375" style="320"/>
    <col min="14593" max="14593" width="30.6640625" style="320" customWidth="1"/>
    <col min="14594" max="14594" width="27.109375" style="320" customWidth="1"/>
    <col min="14595" max="14595" width="20" style="320" customWidth="1"/>
    <col min="14596" max="14596" width="27.6640625" style="320" customWidth="1"/>
    <col min="14597" max="14597" width="19.88671875" style="320" customWidth="1"/>
    <col min="14598" max="14598" width="28.44140625" style="320" customWidth="1"/>
    <col min="14599" max="14848" width="9.109375" style="320"/>
    <col min="14849" max="14849" width="30.6640625" style="320" customWidth="1"/>
    <col min="14850" max="14850" width="27.109375" style="320" customWidth="1"/>
    <col min="14851" max="14851" width="20" style="320" customWidth="1"/>
    <col min="14852" max="14852" width="27.6640625" style="320" customWidth="1"/>
    <col min="14853" max="14853" width="19.88671875" style="320" customWidth="1"/>
    <col min="14854" max="14854" width="28.44140625" style="320" customWidth="1"/>
    <col min="14855" max="15104" width="9.109375" style="320"/>
    <col min="15105" max="15105" width="30.6640625" style="320" customWidth="1"/>
    <col min="15106" max="15106" width="27.109375" style="320" customWidth="1"/>
    <col min="15107" max="15107" width="20" style="320" customWidth="1"/>
    <col min="15108" max="15108" width="27.6640625" style="320" customWidth="1"/>
    <col min="15109" max="15109" width="19.88671875" style="320" customWidth="1"/>
    <col min="15110" max="15110" width="28.44140625" style="320" customWidth="1"/>
    <col min="15111" max="15360" width="9.109375" style="320"/>
    <col min="15361" max="15361" width="30.6640625" style="320" customWidth="1"/>
    <col min="15362" max="15362" width="27.109375" style="320" customWidth="1"/>
    <col min="15363" max="15363" width="20" style="320" customWidth="1"/>
    <col min="15364" max="15364" width="27.6640625" style="320" customWidth="1"/>
    <col min="15365" max="15365" width="19.88671875" style="320" customWidth="1"/>
    <col min="15366" max="15366" width="28.44140625" style="320" customWidth="1"/>
    <col min="15367" max="15616" width="9.109375" style="320"/>
    <col min="15617" max="15617" width="30.6640625" style="320" customWidth="1"/>
    <col min="15618" max="15618" width="27.109375" style="320" customWidth="1"/>
    <col min="15619" max="15619" width="20" style="320" customWidth="1"/>
    <col min="15620" max="15620" width="27.6640625" style="320" customWidth="1"/>
    <col min="15621" max="15621" width="19.88671875" style="320" customWidth="1"/>
    <col min="15622" max="15622" width="28.44140625" style="320" customWidth="1"/>
    <col min="15623" max="15872" width="9.109375" style="320"/>
    <col min="15873" max="15873" width="30.6640625" style="320" customWidth="1"/>
    <col min="15874" max="15874" width="27.109375" style="320" customWidth="1"/>
    <col min="15875" max="15875" width="20" style="320" customWidth="1"/>
    <col min="15876" max="15876" width="27.6640625" style="320" customWidth="1"/>
    <col min="15877" max="15877" width="19.88671875" style="320" customWidth="1"/>
    <col min="15878" max="15878" width="28.44140625" style="320" customWidth="1"/>
    <col min="15879" max="16128" width="9.109375" style="320"/>
    <col min="16129" max="16129" width="30.6640625" style="320" customWidth="1"/>
    <col min="16130" max="16130" width="27.109375" style="320" customWidth="1"/>
    <col min="16131" max="16131" width="20" style="320" customWidth="1"/>
    <col min="16132" max="16132" width="27.6640625" style="320" customWidth="1"/>
    <col min="16133" max="16133" width="19.88671875" style="320" customWidth="1"/>
    <col min="16134" max="16134" width="28.44140625" style="320" customWidth="1"/>
    <col min="16135" max="16384" width="9.109375" style="320"/>
  </cols>
  <sheetData>
    <row r="1" spans="1:10" ht="20.100000000000001" customHeight="1">
      <c r="A1" s="318"/>
      <c r="B1" s="1152" t="s">
        <v>278</v>
      </c>
      <c r="C1" s="1153"/>
      <c r="D1" s="1156" t="s">
        <v>279</v>
      </c>
      <c r="E1" s="1157"/>
      <c r="F1" s="319" t="s">
        <v>280</v>
      </c>
    </row>
    <row r="2" spans="1:10" ht="20.100000000000001" customHeight="1">
      <c r="A2" s="321"/>
      <c r="B2" s="1154"/>
      <c r="C2" s="1155"/>
      <c r="D2" s="1158" t="str">
        <f>'F1 Forecast Consultant'!D2:E2</f>
        <v>Safety Improvement</v>
      </c>
      <c r="E2" s="1159"/>
      <c r="F2" s="322" t="s">
        <v>292</v>
      </c>
      <c r="H2" s="655"/>
    </row>
    <row r="3" spans="1:10" ht="20.100000000000001" customHeight="1">
      <c r="A3" s="321"/>
      <c r="B3" s="1160" t="s">
        <v>282</v>
      </c>
      <c r="C3" s="1162" t="str">
        <f>'F1 Forecast Consultant'!C3</f>
        <v>Western</v>
      </c>
      <c r="D3" s="323" t="s">
        <v>283</v>
      </c>
      <c r="E3" s="710" t="str">
        <f>DATA!C1004</f>
        <v>NRA.N.007-040-2024/1F</v>
      </c>
      <c r="F3" s="361"/>
    </row>
    <row r="4" spans="1:10" ht="20.25" customHeight="1" thickBot="1">
      <c r="A4" s="324"/>
      <c r="B4" s="1161"/>
      <c r="C4" s="1163"/>
      <c r="D4" s="325" t="s">
        <v>284</v>
      </c>
      <c r="E4" s="326"/>
      <c r="F4" s="327"/>
    </row>
    <row r="5" spans="1:10" ht="20.100000000000001" customHeight="1">
      <c r="A5" s="1143" t="s">
        <v>688</v>
      </c>
      <c r="B5" s="1144"/>
      <c r="C5" s="1144"/>
      <c r="D5" s="1144"/>
      <c r="E5" s="1144"/>
      <c r="F5" s="1145"/>
    </row>
    <row r="6" spans="1:10" ht="20.100000000000001" customHeight="1">
      <c r="A6" s="1146"/>
      <c r="B6" s="1147"/>
      <c r="C6" s="1147"/>
      <c r="D6" s="1147"/>
      <c r="E6" s="1147"/>
      <c r="F6" s="1148"/>
    </row>
    <row r="7" spans="1:10" ht="20.100000000000001" customHeight="1" thickBot="1">
      <c r="A7" s="1149"/>
      <c r="B7" s="1150"/>
      <c r="C7" s="1150"/>
      <c r="D7" s="1150"/>
      <c r="E7" s="1150"/>
      <c r="F7" s="1151"/>
    </row>
    <row r="8" spans="1:10" ht="20.100000000000001" customHeight="1">
      <c r="A8" s="328" t="s">
        <v>285</v>
      </c>
      <c r="B8" s="664" t="str">
        <f>E3</f>
        <v>NRA.N.007-040-2024/1F</v>
      </c>
      <c r="C8" s="665"/>
      <c r="D8" s="665"/>
      <c r="E8" s="665"/>
      <c r="F8" s="666"/>
    </row>
    <row r="9" spans="1:10" ht="20.100000000000001" customHeight="1">
      <c r="A9" s="1175" t="s">
        <v>286</v>
      </c>
      <c r="B9" s="1177" t="str">
        <f>DATA!C1005</f>
        <v>CONSULTING ENGINEERING SERVICES FOR THE STRENGTHENING ON NATIONAL ROUTE N7 SECTION 4 FROM TRAWAL (km 42.00) TO KLAWER (km 54.00)</v>
      </c>
      <c r="C9" s="1178"/>
      <c r="D9" s="1178"/>
      <c r="E9" s="1178"/>
      <c r="F9" s="1179"/>
    </row>
    <row r="10" spans="1:10" ht="18.75" customHeight="1">
      <c r="A10" s="1176"/>
      <c r="B10" s="1180"/>
      <c r="C10" s="1181"/>
      <c r="D10" s="1181"/>
      <c r="E10" s="1181"/>
      <c r="F10" s="1182"/>
    </row>
    <row r="11" spans="1:10" ht="20.100000000000001" customHeight="1">
      <c r="A11" s="329" t="s">
        <v>287</v>
      </c>
      <c r="B11" s="1183" t="str">
        <f>IF('F1 Forecast Consultant'!B11:C11="","",'F1 Forecast Consultant'!B11:C11)</f>
        <v/>
      </c>
      <c r="C11" s="1184"/>
      <c r="D11" s="331" t="s">
        <v>288</v>
      </c>
      <c r="E11" s="1185" t="str">
        <f>IF('F1 Forecast Consultant'!E11:F11="","",'F1 Forecast Consultant'!E11:F11)</f>
        <v/>
      </c>
      <c r="F11" s="1186"/>
    </row>
    <row r="12" spans="1:10" ht="20.100000000000001" customHeight="1">
      <c r="A12" s="330" t="s">
        <v>289</v>
      </c>
      <c r="B12" s="1187" t="str">
        <f>'All Hours'!D1</f>
        <v>PLEASE INSERT TENDERER NAME ON INPUT DATA SHEET</v>
      </c>
      <c r="C12" s="1188"/>
      <c r="D12" s="1188"/>
      <c r="E12" s="1188"/>
      <c r="F12" s="1189"/>
    </row>
    <row r="13" spans="1:10" ht="20.100000000000001" customHeight="1">
      <c r="A13" s="331" t="s">
        <v>290</v>
      </c>
      <c r="B13" s="658">
        <f>'F1 Forecast Consultant'!B13</f>
        <v>53579224.5</v>
      </c>
      <c r="C13" s="663" t="s">
        <v>291</v>
      </c>
      <c r="D13" s="656"/>
      <c r="E13" s="656"/>
      <c r="F13" s="657"/>
    </row>
    <row r="14" spans="1:10" ht="20.100000000000001" customHeight="1">
      <c r="A14" s="330" t="s">
        <v>292</v>
      </c>
      <c r="B14" s="1207"/>
      <c r="C14" s="1208"/>
      <c r="D14" s="1209"/>
      <c r="E14" s="332"/>
      <c r="F14" s="333"/>
    </row>
    <row r="15" spans="1:10" ht="20.100000000000001" customHeight="1">
      <c r="A15" s="329" t="s">
        <v>287</v>
      </c>
      <c r="B15" s="1210"/>
      <c r="C15" s="1211"/>
      <c r="D15" s="331" t="s">
        <v>288</v>
      </c>
      <c r="E15" s="1205"/>
      <c r="F15" s="1206"/>
    </row>
    <row r="16" spans="1:10" ht="36" customHeight="1" thickBot="1">
      <c r="A16" s="334" t="s">
        <v>293</v>
      </c>
      <c r="B16" s="335">
        <f>E16*(1+DATA!$C$1032)</f>
        <v>166750000</v>
      </c>
      <c r="C16" s="336" t="s">
        <v>291</v>
      </c>
      <c r="D16" s="921" t="s">
        <v>871</v>
      </c>
      <c r="E16" s="1212">
        <f>DATA!J1017</f>
        <v>145000000</v>
      </c>
      <c r="F16" s="1213"/>
      <c r="J16" s="938"/>
    </row>
    <row r="17" spans="1:6" ht="16.5" customHeight="1">
      <c r="A17" s="1166" t="s">
        <v>294</v>
      </c>
      <c r="B17" s="1169" t="s">
        <v>295</v>
      </c>
      <c r="C17" s="1170"/>
      <c r="D17" s="1170"/>
      <c r="E17" s="1171"/>
      <c r="F17" s="337" t="s">
        <v>296</v>
      </c>
    </row>
    <row r="18" spans="1:6" ht="14.25" customHeight="1">
      <c r="A18" s="1167"/>
      <c r="B18" s="1172" t="s">
        <v>291</v>
      </c>
      <c r="C18" s="1173"/>
      <c r="D18" s="1173"/>
      <c r="E18" s="1174"/>
      <c r="F18" s="338" t="s">
        <v>291</v>
      </c>
    </row>
    <row r="19" spans="1:6" ht="16.5" customHeight="1" thickBot="1">
      <c r="A19" s="1168"/>
      <c r="B19" s="671" t="s">
        <v>297</v>
      </c>
      <c r="C19" s="672" t="s">
        <v>298</v>
      </c>
      <c r="D19" s="341" t="s">
        <v>299</v>
      </c>
      <c r="E19" s="340" t="s">
        <v>48</v>
      </c>
      <c r="F19" s="342"/>
    </row>
    <row r="20" spans="1:6" ht="20.100000000000001" customHeight="1">
      <c r="A20" s="343">
        <f>'F1 Forecast Combined'!A20</f>
        <v>45017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45047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45413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45778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303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304</v>
      </c>
      <c r="B60" s="359" t="s">
        <v>305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52" t="s">
        <v>278</v>
      </c>
      <c r="C64" s="1153"/>
      <c r="D64" s="1156" t="s">
        <v>279</v>
      </c>
      <c r="E64" s="1157"/>
      <c r="F64" s="319" t="s">
        <v>280</v>
      </c>
    </row>
    <row r="65" spans="1:6" ht="20.100000000000001" customHeight="1">
      <c r="A65" s="321"/>
      <c r="B65" s="1154"/>
      <c r="C65" s="1155"/>
      <c r="D65" s="1158" t="str">
        <f>D2</f>
        <v>Safety Improvement</v>
      </c>
      <c r="E65" s="1159"/>
      <c r="F65" s="322" t="s">
        <v>292</v>
      </c>
    </row>
    <row r="66" spans="1:6" ht="20.100000000000001" customHeight="1">
      <c r="A66" s="321"/>
      <c r="B66" s="1160" t="s">
        <v>282</v>
      </c>
      <c r="C66" s="1162" t="str">
        <f>C3</f>
        <v>Western</v>
      </c>
      <c r="D66" s="323" t="s">
        <v>283</v>
      </c>
      <c r="E66" s="710" t="str">
        <f>E3</f>
        <v>NRA.N.007-040-2024/1F</v>
      </c>
      <c r="F66" s="361"/>
    </row>
    <row r="67" spans="1:6" ht="20.100000000000001" customHeight="1" thickBot="1">
      <c r="A67" s="324"/>
      <c r="B67" s="1161"/>
      <c r="C67" s="1163"/>
      <c r="D67" s="325" t="s">
        <v>284</v>
      </c>
      <c r="E67" s="845">
        <f>E4</f>
        <v>0</v>
      </c>
      <c r="F67" s="327"/>
    </row>
    <row r="68" spans="1:6" ht="20.100000000000001" customHeight="1">
      <c r="A68" s="1143" t="s">
        <v>687</v>
      </c>
      <c r="B68" s="1144"/>
      <c r="C68" s="1144"/>
      <c r="D68" s="1144"/>
      <c r="E68" s="1144"/>
      <c r="F68" s="1145"/>
    </row>
    <row r="69" spans="1:6" ht="20.100000000000001" customHeight="1">
      <c r="A69" s="1146"/>
      <c r="B69" s="1147"/>
      <c r="C69" s="1147"/>
      <c r="D69" s="1147"/>
      <c r="E69" s="1147"/>
      <c r="F69" s="1148"/>
    </row>
    <row r="70" spans="1:6" ht="20.100000000000001" customHeight="1" thickBot="1">
      <c r="A70" s="1149"/>
      <c r="B70" s="1150"/>
      <c r="C70" s="1150"/>
      <c r="D70" s="1150"/>
      <c r="E70" s="1150"/>
      <c r="F70" s="1151"/>
    </row>
    <row r="71" spans="1:6" ht="20.100000000000001" customHeight="1">
      <c r="A71" s="328" t="s">
        <v>285</v>
      </c>
      <c r="B71" s="664" t="str">
        <f>E66</f>
        <v>NRA.N.007-040-2024/1F</v>
      </c>
      <c r="C71" s="665"/>
      <c r="D71" s="665"/>
      <c r="E71" s="665"/>
      <c r="F71" s="666"/>
    </row>
    <row r="72" spans="1:6" ht="20.100000000000001" customHeight="1">
      <c r="A72" s="1175" t="s">
        <v>286</v>
      </c>
      <c r="B72" s="1177" t="str">
        <f>B9</f>
        <v>CONSULTING ENGINEERING SERVICES FOR THE STRENGTHENING ON NATIONAL ROUTE N7 SECTION 4 FROM TRAWAL (km 42.00) TO KLAWER (km 54.00)</v>
      </c>
      <c r="C72" s="1178"/>
      <c r="D72" s="1178"/>
      <c r="E72" s="1178"/>
      <c r="F72" s="1179"/>
    </row>
    <row r="73" spans="1:6" ht="20.100000000000001" customHeight="1">
      <c r="A73" s="1176"/>
      <c r="B73" s="1180"/>
      <c r="C73" s="1181"/>
      <c r="D73" s="1181"/>
      <c r="E73" s="1181"/>
      <c r="F73" s="1182"/>
    </row>
    <row r="74" spans="1:6" ht="20.100000000000001" customHeight="1">
      <c r="A74" s="329" t="s">
        <v>287</v>
      </c>
      <c r="B74" s="1183" t="str">
        <f t="shared" ref="B74:B79" si="3">B11</f>
        <v/>
      </c>
      <c r="C74" s="1184"/>
      <c r="D74" s="331" t="s">
        <v>288</v>
      </c>
      <c r="E74" s="1185" t="str">
        <f>E11</f>
        <v/>
      </c>
      <c r="F74" s="1186"/>
    </row>
    <row r="75" spans="1:6" ht="20.100000000000001" customHeight="1">
      <c r="A75" s="330" t="s">
        <v>289</v>
      </c>
      <c r="B75" s="1187" t="str">
        <f t="shared" si="3"/>
        <v>PLEASE INSERT TENDERER NAME ON INPUT DATA SHEET</v>
      </c>
      <c r="C75" s="1188"/>
      <c r="D75" s="1188"/>
      <c r="E75" s="1188"/>
      <c r="F75" s="1189"/>
    </row>
    <row r="76" spans="1:6" ht="20.100000000000001" customHeight="1">
      <c r="A76" s="331" t="s">
        <v>290</v>
      </c>
      <c r="B76" s="658">
        <f t="shared" si="3"/>
        <v>53579224.5</v>
      </c>
      <c r="C76" s="663" t="s">
        <v>291</v>
      </c>
      <c r="D76" s="656"/>
      <c r="E76" s="656"/>
      <c r="F76" s="657"/>
    </row>
    <row r="77" spans="1:6" ht="20.100000000000001" customHeight="1">
      <c r="A77" s="330" t="s">
        <v>292</v>
      </c>
      <c r="B77" s="1190">
        <f t="shared" si="3"/>
        <v>0</v>
      </c>
      <c r="C77" s="1191"/>
      <c r="D77" s="1192"/>
      <c r="E77" s="656"/>
      <c r="F77" s="657"/>
    </row>
    <row r="78" spans="1:6" ht="20.100000000000001" customHeight="1">
      <c r="A78" s="329" t="s">
        <v>287</v>
      </c>
      <c r="B78" s="1199">
        <f t="shared" si="3"/>
        <v>0</v>
      </c>
      <c r="C78" s="1200"/>
      <c r="D78" s="331" t="s">
        <v>288</v>
      </c>
      <c r="E78" s="1164">
        <f>E15</f>
        <v>0</v>
      </c>
      <c r="F78" s="1165"/>
    </row>
    <row r="79" spans="1:6" ht="36.75" customHeight="1" thickBot="1">
      <c r="A79" s="334" t="s">
        <v>293</v>
      </c>
      <c r="B79" s="659">
        <f t="shared" si="3"/>
        <v>166750000</v>
      </c>
      <c r="C79" s="660" t="s">
        <v>291</v>
      </c>
      <c r="D79" s="656"/>
      <c r="E79" s="661"/>
      <c r="F79" s="662"/>
    </row>
    <row r="80" spans="1:6" ht="20.100000000000001" customHeight="1">
      <c r="A80" s="1166" t="s">
        <v>294</v>
      </c>
      <c r="B80" s="1169" t="s">
        <v>295</v>
      </c>
      <c r="C80" s="1170"/>
      <c r="D80" s="1170"/>
      <c r="E80" s="1171"/>
      <c r="F80" s="337" t="s">
        <v>296</v>
      </c>
    </row>
    <row r="81" spans="1:6" ht="20.100000000000001" customHeight="1">
      <c r="A81" s="1167"/>
      <c r="B81" s="1172" t="s">
        <v>291</v>
      </c>
      <c r="C81" s="1173"/>
      <c r="D81" s="1173"/>
      <c r="E81" s="1174"/>
      <c r="F81" s="338" t="s">
        <v>291</v>
      </c>
    </row>
    <row r="82" spans="1:6" ht="20.100000000000001" customHeight="1" thickBot="1">
      <c r="A82" s="1168"/>
      <c r="B82" s="671" t="s">
        <v>297</v>
      </c>
      <c r="C82" s="672" t="s">
        <v>298</v>
      </c>
      <c r="D82" s="341" t="s">
        <v>299</v>
      </c>
      <c r="E82" s="340" t="s">
        <v>48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46143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46508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46874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303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304</v>
      </c>
      <c r="B124" s="359" t="s">
        <v>305</v>
      </c>
    </row>
  </sheetData>
  <mergeCells count="35">
    <mergeCell ref="B75:F75"/>
    <mergeCell ref="B77:D77"/>
    <mergeCell ref="B78:C78"/>
    <mergeCell ref="E78:F78"/>
    <mergeCell ref="A80:A82"/>
    <mergeCell ref="B80:E80"/>
    <mergeCell ref="B81:E81"/>
    <mergeCell ref="A68:F70"/>
    <mergeCell ref="A72:A73"/>
    <mergeCell ref="B72:F73"/>
    <mergeCell ref="B74:C74"/>
    <mergeCell ref="E74:F74"/>
    <mergeCell ref="B64:C65"/>
    <mergeCell ref="D64:E64"/>
    <mergeCell ref="D65:E65"/>
    <mergeCell ref="B66:B67"/>
    <mergeCell ref="C66:C67"/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workbookViewId="0">
      <selection activeCell="L10" sqref="L10"/>
    </sheetView>
  </sheetViews>
  <sheetFormatPr defaultRowHeight="15" customHeight="1"/>
  <cols>
    <col min="1" max="1" width="9.109375" style="320"/>
    <col min="2" max="2" width="12" style="320" customWidth="1"/>
    <col min="3" max="3" width="9.5546875" style="320" customWidth="1"/>
    <col min="4" max="5" width="9.109375" style="320"/>
    <col min="6" max="6" width="11.44140625" style="320" customWidth="1"/>
    <col min="7" max="7" width="18.5546875" style="320" customWidth="1"/>
    <col min="8" max="8" width="21.33203125" style="320" bestFit="1" customWidth="1"/>
    <col min="9" max="9" width="9.109375" style="320"/>
    <col min="10" max="10" width="14.5546875" style="320" customWidth="1"/>
    <col min="11" max="11" width="17.6640625" style="320" customWidth="1"/>
    <col min="12" max="12" width="7.109375" style="320" customWidth="1"/>
    <col min="13" max="13" width="15.5546875" style="320" customWidth="1"/>
    <col min="14" max="14" width="11.44140625" style="320" customWidth="1"/>
    <col min="15" max="15" width="9.109375" style="320"/>
    <col min="16" max="16" width="10.44140625" style="320" customWidth="1"/>
    <col min="17" max="257" width="9.109375" style="320"/>
    <col min="258" max="258" width="12" style="320" customWidth="1"/>
    <col min="259" max="259" width="9.5546875" style="320" customWidth="1"/>
    <col min="260" max="261" width="9.109375" style="320"/>
    <col min="262" max="262" width="11.44140625" style="320" customWidth="1"/>
    <col min="263" max="263" width="18.5546875" style="320" customWidth="1"/>
    <col min="264" max="264" width="21.33203125" style="320" bestFit="1" customWidth="1"/>
    <col min="265" max="265" width="9.109375" style="320"/>
    <col min="266" max="266" width="14.5546875" style="320" customWidth="1"/>
    <col min="267" max="267" width="17.6640625" style="320" customWidth="1"/>
    <col min="268" max="268" width="7.109375" style="320" customWidth="1"/>
    <col min="269" max="269" width="15.5546875" style="320" customWidth="1"/>
    <col min="270" max="270" width="11.44140625" style="320" customWidth="1"/>
    <col min="271" max="271" width="9.109375" style="320"/>
    <col min="272" max="272" width="10.44140625" style="320" customWidth="1"/>
    <col min="273" max="513" width="9.109375" style="320"/>
    <col min="514" max="514" width="12" style="320" customWidth="1"/>
    <col min="515" max="515" width="9.5546875" style="320" customWidth="1"/>
    <col min="516" max="517" width="9.109375" style="320"/>
    <col min="518" max="518" width="11.44140625" style="320" customWidth="1"/>
    <col min="519" max="519" width="18.5546875" style="320" customWidth="1"/>
    <col min="520" max="520" width="21.33203125" style="320" bestFit="1" customWidth="1"/>
    <col min="521" max="521" width="9.109375" style="320"/>
    <col min="522" max="522" width="14.5546875" style="320" customWidth="1"/>
    <col min="523" max="523" width="17.6640625" style="320" customWidth="1"/>
    <col min="524" max="524" width="7.109375" style="320" customWidth="1"/>
    <col min="525" max="525" width="15.5546875" style="320" customWidth="1"/>
    <col min="526" max="526" width="11.44140625" style="320" customWidth="1"/>
    <col min="527" max="527" width="9.109375" style="320"/>
    <col min="528" max="528" width="10.44140625" style="320" customWidth="1"/>
    <col min="529" max="769" width="9.109375" style="320"/>
    <col min="770" max="770" width="12" style="320" customWidth="1"/>
    <col min="771" max="771" width="9.5546875" style="320" customWidth="1"/>
    <col min="772" max="773" width="9.109375" style="320"/>
    <col min="774" max="774" width="11.44140625" style="320" customWidth="1"/>
    <col min="775" max="775" width="18.5546875" style="320" customWidth="1"/>
    <col min="776" max="776" width="21.33203125" style="320" bestFit="1" customWidth="1"/>
    <col min="777" max="777" width="9.109375" style="320"/>
    <col min="778" max="778" width="14.5546875" style="320" customWidth="1"/>
    <col min="779" max="779" width="17.6640625" style="320" customWidth="1"/>
    <col min="780" max="780" width="7.109375" style="320" customWidth="1"/>
    <col min="781" max="781" width="15.5546875" style="320" customWidth="1"/>
    <col min="782" max="782" width="11.44140625" style="320" customWidth="1"/>
    <col min="783" max="783" width="9.109375" style="320"/>
    <col min="784" max="784" width="10.44140625" style="320" customWidth="1"/>
    <col min="785" max="1025" width="9.109375" style="320"/>
    <col min="1026" max="1026" width="12" style="320" customWidth="1"/>
    <col min="1027" max="1027" width="9.5546875" style="320" customWidth="1"/>
    <col min="1028" max="1029" width="9.109375" style="320"/>
    <col min="1030" max="1030" width="11.44140625" style="320" customWidth="1"/>
    <col min="1031" max="1031" width="18.5546875" style="320" customWidth="1"/>
    <col min="1032" max="1032" width="21.33203125" style="320" bestFit="1" customWidth="1"/>
    <col min="1033" max="1033" width="9.109375" style="320"/>
    <col min="1034" max="1034" width="14.5546875" style="320" customWidth="1"/>
    <col min="1035" max="1035" width="17.6640625" style="320" customWidth="1"/>
    <col min="1036" max="1036" width="7.109375" style="320" customWidth="1"/>
    <col min="1037" max="1037" width="15.5546875" style="320" customWidth="1"/>
    <col min="1038" max="1038" width="11.44140625" style="320" customWidth="1"/>
    <col min="1039" max="1039" width="9.109375" style="320"/>
    <col min="1040" max="1040" width="10.44140625" style="320" customWidth="1"/>
    <col min="1041" max="1281" width="9.109375" style="320"/>
    <col min="1282" max="1282" width="12" style="320" customWidth="1"/>
    <col min="1283" max="1283" width="9.5546875" style="320" customWidth="1"/>
    <col min="1284" max="1285" width="9.109375" style="320"/>
    <col min="1286" max="1286" width="11.44140625" style="320" customWidth="1"/>
    <col min="1287" max="1287" width="18.5546875" style="320" customWidth="1"/>
    <col min="1288" max="1288" width="21.33203125" style="320" bestFit="1" customWidth="1"/>
    <col min="1289" max="1289" width="9.109375" style="320"/>
    <col min="1290" max="1290" width="14.5546875" style="320" customWidth="1"/>
    <col min="1291" max="1291" width="17.6640625" style="320" customWidth="1"/>
    <col min="1292" max="1292" width="7.109375" style="320" customWidth="1"/>
    <col min="1293" max="1293" width="15.5546875" style="320" customWidth="1"/>
    <col min="1294" max="1294" width="11.44140625" style="320" customWidth="1"/>
    <col min="1295" max="1295" width="9.109375" style="320"/>
    <col min="1296" max="1296" width="10.44140625" style="320" customWidth="1"/>
    <col min="1297" max="1537" width="9.109375" style="320"/>
    <col min="1538" max="1538" width="12" style="320" customWidth="1"/>
    <col min="1539" max="1539" width="9.5546875" style="320" customWidth="1"/>
    <col min="1540" max="1541" width="9.109375" style="320"/>
    <col min="1542" max="1542" width="11.44140625" style="320" customWidth="1"/>
    <col min="1543" max="1543" width="18.5546875" style="320" customWidth="1"/>
    <col min="1544" max="1544" width="21.33203125" style="320" bestFit="1" customWidth="1"/>
    <col min="1545" max="1545" width="9.109375" style="320"/>
    <col min="1546" max="1546" width="14.5546875" style="320" customWidth="1"/>
    <col min="1547" max="1547" width="17.6640625" style="320" customWidth="1"/>
    <col min="1548" max="1548" width="7.109375" style="320" customWidth="1"/>
    <col min="1549" max="1549" width="15.5546875" style="320" customWidth="1"/>
    <col min="1550" max="1550" width="11.44140625" style="320" customWidth="1"/>
    <col min="1551" max="1551" width="9.109375" style="320"/>
    <col min="1552" max="1552" width="10.44140625" style="320" customWidth="1"/>
    <col min="1553" max="1793" width="9.109375" style="320"/>
    <col min="1794" max="1794" width="12" style="320" customWidth="1"/>
    <col min="1795" max="1795" width="9.5546875" style="320" customWidth="1"/>
    <col min="1796" max="1797" width="9.109375" style="320"/>
    <col min="1798" max="1798" width="11.44140625" style="320" customWidth="1"/>
    <col min="1799" max="1799" width="18.5546875" style="320" customWidth="1"/>
    <col min="1800" max="1800" width="21.33203125" style="320" bestFit="1" customWidth="1"/>
    <col min="1801" max="1801" width="9.109375" style="320"/>
    <col min="1802" max="1802" width="14.5546875" style="320" customWidth="1"/>
    <col min="1803" max="1803" width="17.6640625" style="320" customWidth="1"/>
    <col min="1804" max="1804" width="7.109375" style="320" customWidth="1"/>
    <col min="1805" max="1805" width="15.5546875" style="320" customWidth="1"/>
    <col min="1806" max="1806" width="11.44140625" style="320" customWidth="1"/>
    <col min="1807" max="1807" width="9.109375" style="320"/>
    <col min="1808" max="1808" width="10.44140625" style="320" customWidth="1"/>
    <col min="1809" max="2049" width="9.109375" style="320"/>
    <col min="2050" max="2050" width="12" style="320" customWidth="1"/>
    <col min="2051" max="2051" width="9.5546875" style="320" customWidth="1"/>
    <col min="2052" max="2053" width="9.109375" style="320"/>
    <col min="2054" max="2054" width="11.44140625" style="320" customWidth="1"/>
    <col min="2055" max="2055" width="18.5546875" style="320" customWidth="1"/>
    <col min="2056" max="2056" width="21.33203125" style="320" bestFit="1" customWidth="1"/>
    <col min="2057" max="2057" width="9.109375" style="320"/>
    <col min="2058" max="2058" width="14.5546875" style="320" customWidth="1"/>
    <col min="2059" max="2059" width="17.6640625" style="320" customWidth="1"/>
    <col min="2060" max="2060" width="7.109375" style="320" customWidth="1"/>
    <col min="2061" max="2061" width="15.5546875" style="320" customWidth="1"/>
    <col min="2062" max="2062" width="11.44140625" style="320" customWidth="1"/>
    <col min="2063" max="2063" width="9.109375" style="320"/>
    <col min="2064" max="2064" width="10.44140625" style="320" customWidth="1"/>
    <col min="2065" max="2305" width="9.109375" style="320"/>
    <col min="2306" max="2306" width="12" style="320" customWidth="1"/>
    <col min="2307" max="2307" width="9.5546875" style="320" customWidth="1"/>
    <col min="2308" max="2309" width="9.109375" style="320"/>
    <col min="2310" max="2310" width="11.44140625" style="320" customWidth="1"/>
    <col min="2311" max="2311" width="18.5546875" style="320" customWidth="1"/>
    <col min="2312" max="2312" width="21.33203125" style="320" bestFit="1" customWidth="1"/>
    <col min="2313" max="2313" width="9.109375" style="320"/>
    <col min="2314" max="2314" width="14.5546875" style="320" customWidth="1"/>
    <col min="2315" max="2315" width="17.6640625" style="320" customWidth="1"/>
    <col min="2316" max="2316" width="7.109375" style="320" customWidth="1"/>
    <col min="2317" max="2317" width="15.5546875" style="320" customWidth="1"/>
    <col min="2318" max="2318" width="11.44140625" style="320" customWidth="1"/>
    <col min="2319" max="2319" width="9.109375" style="320"/>
    <col min="2320" max="2320" width="10.44140625" style="320" customWidth="1"/>
    <col min="2321" max="2561" width="9.109375" style="320"/>
    <col min="2562" max="2562" width="12" style="320" customWidth="1"/>
    <col min="2563" max="2563" width="9.5546875" style="320" customWidth="1"/>
    <col min="2564" max="2565" width="9.109375" style="320"/>
    <col min="2566" max="2566" width="11.44140625" style="320" customWidth="1"/>
    <col min="2567" max="2567" width="18.5546875" style="320" customWidth="1"/>
    <col min="2568" max="2568" width="21.33203125" style="320" bestFit="1" customWidth="1"/>
    <col min="2569" max="2569" width="9.109375" style="320"/>
    <col min="2570" max="2570" width="14.5546875" style="320" customWidth="1"/>
    <col min="2571" max="2571" width="17.6640625" style="320" customWidth="1"/>
    <col min="2572" max="2572" width="7.109375" style="320" customWidth="1"/>
    <col min="2573" max="2573" width="15.5546875" style="320" customWidth="1"/>
    <col min="2574" max="2574" width="11.44140625" style="320" customWidth="1"/>
    <col min="2575" max="2575" width="9.109375" style="320"/>
    <col min="2576" max="2576" width="10.44140625" style="320" customWidth="1"/>
    <col min="2577" max="2817" width="9.109375" style="320"/>
    <col min="2818" max="2818" width="12" style="320" customWidth="1"/>
    <col min="2819" max="2819" width="9.5546875" style="320" customWidth="1"/>
    <col min="2820" max="2821" width="9.109375" style="320"/>
    <col min="2822" max="2822" width="11.44140625" style="320" customWidth="1"/>
    <col min="2823" max="2823" width="18.5546875" style="320" customWidth="1"/>
    <col min="2824" max="2824" width="21.33203125" style="320" bestFit="1" customWidth="1"/>
    <col min="2825" max="2825" width="9.109375" style="320"/>
    <col min="2826" max="2826" width="14.5546875" style="320" customWidth="1"/>
    <col min="2827" max="2827" width="17.6640625" style="320" customWidth="1"/>
    <col min="2828" max="2828" width="7.109375" style="320" customWidth="1"/>
    <col min="2829" max="2829" width="15.5546875" style="320" customWidth="1"/>
    <col min="2830" max="2830" width="11.44140625" style="320" customWidth="1"/>
    <col min="2831" max="2831" width="9.109375" style="320"/>
    <col min="2832" max="2832" width="10.44140625" style="320" customWidth="1"/>
    <col min="2833" max="3073" width="9.109375" style="320"/>
    <col min="3074" max="3074" width="12" style="320" customWidth="1"/>
    <col min="3075" max="3075" width="9.5546875" style="320" customWidth="1"/>
    <col min="3076" max="3077" width="9.109375" style="320"/>
    <col min="3078" max="3078" width="11.44140625" style="320" customWidth="1"/>
    <col min="3079" max="3079" width="18.5546875" style="320" customWidth="1"/>
    <col min="3080" max="3080" width="21.33203125" style="320" bestFit="1" customWidth="1"/>
    <col min="3081" max="3081" width="9.109375" style="320"/>
    <col min="3082" max="3082" width="14.5546875" style="320" customWidth="1"/>
    <col min="3083" max="3083" width="17.6640625" style="320" customWidth="1"/>
    <col min="3084" max="3084" width="7.109375" style="320" customWidth="1"/>
    <col min="3085" max="3085" width="15.5546875" style="320" customWidth="1"/>
    <col min="3086" max="3086" width="11.44140625" style="320" customWidth="1"/>
    <col min="3087" max="3087" width="9.109375" style="320"/>
    <col min="3088" max="3088" width="10.44140625" style="320" customWidth="1"/>
    <col min="3089" max="3329" width="9.109375" style="320"/>
    <col min="3330" max="3330" width="12" style="320" customWidth="1"/>
    <col min="3331" max="3331" width="9.5546875" style="320" customWidth="1"/>
    <col min="3332" max="3333" width="9.109375" style="320"/>
    <col min="3334" max="3334" width="11.44140625" style="320" customWidth="1"/>
    <col min="3335" max="3335" width="18.5546875" style="320" customWidth="1"/>
    <col min="3336" max="3336" width="21.33203125" style="320" bestFit="1" customWidth="1"/>
    <col min="3337" max="3337" width="9.109375" style="320"/>
    <col min="3338" max="3338" width="14.5546875" style="320" customWidth="1"/>
    <col min="3339" max="3339" width="17.6640625" style="320" customWidth="1"/>
    <col min="3340" max="3340" width="7.109375" style="320" customWidth="1"/>
    <col min="3341" max="3341" width="15.5546875" style="320" customWidth="1"/>
    <col min="3342" max="3342" width="11.44140625" style="320" customWidth="1"/>
    <col min="3343" max="3343" width="9.109375" style="320"/>
    <col min="3344" max="3344" width="10.44140625" style="320" customWidth="1"/>
    <col min="3345" max="3585" width="9.109375" style="320"/>
    <col min="3586" max="3586" width="12" style="320" customWidth="1"/>
    <col min="3587" max="3587" width="9.5546875" style="320" customWidth="1"/>
    <col min="3588" max="3589" width="9.109375" style="320"/>
    <col min="3590" max="3590" width="11.44140625" style="320" customWidth="1"/>
    <col min="3591" max="3591" width="18.5546875" style="320" customWidth="1"/>
    <col min="3592" max="3592" width="21.33203125" style="320" bestFit="1" customWidth="1"/>
    <col min="3593" max="3593" width="9.109375" style="320"/>
    <col min="3594" max="3594" width="14.5546875" style="320" customWidth="1"/>
    <col min="3595" max="3595" width="17.6640625" style="320" customWidth="1"/>
    <col min="3596" max="3596" width="7.109375" style="320" customWidth="1"/>
    <col min="3597" max="3597" width="15.5546875" style="320" customWidth="1"/>
    <col min="3598" max="3598" width="11.44140625" style="320" customWidth="1"/>
    <col min="3599" max="3599" width="9.109375" style="320"/>
    <col min="3600" max="3600" width="10.44140625" style="320" customWidth="1"/>
    <col min="3601" max="3841" width="9.109375" style="320"/>
    <col min="3842" max="3842" width="12" style="320" customWidth="1"/>
    <col min="3843" max="3843" width="9.5546875" style="320" customWidth="1"/>
    <col min="3844" max="3845" width="9.109375" style="320"/>
    <col min="3846" max="3846" width="11.44140625" style="320" customWidth="1"/>
    <col min="3847" max="3847" width="18.5546875" style="320" customWidth="1"/>
    <col min="3848" max="3848" width="21.33203125" style="320" bestFit="1" customWidth="1"/>
    <col min="3849" max="3849" width="9.109375" style="320"/>
    <col min="3850" max="3850" width="14.5546875" style="320" customWidth="1"/>
    <col min="3851" max="3851" width="17.6640625" style="320" customWidth="1"/>
    <col min="3852" max="3852" width="7.109375" style="320" customWidth="1"/>
    <col min="3853" max="3853" width="15.5546875" style="320" customWidth="1"/>
    <col min="3854" max="3854" width="11.44140625" style="320" customWidth="1"/>
    <col min="3855" max="3855" width="9.109375" style="320"/>
    <col min="3856" max="3856" width="10.44140625" style="320" customWidth="1"/>
    <col min="3857" max="4097" width="9.109375" style="320"/>
    <col min="4098" max="4098" width="12" style="320" customWidth="1"/>
    <col min="4099" max="4099" width="9.5546875" style="320" customWidth="1"/>
    <col min="4100" max="4101" width="9.109375" style="320"/>
    <col min="4102" max="4102" width="11.44140625" style="320" customWidth="1"/>
    <col min="4103" max="4103" width="18.5546875" style="320" customWidth="1"/>
    <col min="4104" max="4104" width="21.33203125" style="320" bestFit="1" customWidth="1"/>
    <col min="4105" max="4105" width="9.109375" style="320"/>
    <col min="4106" max="4106" width="14.5546875" style="320" customWidth="1"/>
    <col min="4107" max="4107" width="17.6640625" style="320" customWidth="1"/>
    <col min="4108" max="4108" width="7.109375" style="320" customWidth="1"/>
    <col min="4109" max="4109" width="15.5546875" style="320" customWidth="1"/>
    <col min="4110" max="4110" width="11.44140625" style="320" customWidth="1"/>
    <col min="4111" max="4111" width="9.109375" style="320"/>
    <col min="4112" max="4112" width="10.44140625" style="320" customWidth="1"/>
    <col min="4113" max="4353" width="9.109375" style="320"/>
    <col min="4354" max="4354" width="12" style="320" customWidth="1"/>
    <col min="4355" max="4355" width="9.5546875" style="320" customWidth="1"/>
    <col min="4356" max="4357" width="9.109375" style="320"/>
    <col min="4358" max="4358" width="11.44140625" style="320" customWidth="1"/>
    <col min="4359" max="4359" width="18.5546875" style="320" customWidth="1"/>
    <col min="4360" max="4360" width="21.33203125" style="320" bestFit="1" customWidth="1"/>
    <col min="4361" max="4361" width="9.109375" style="320"/>
    <col min="4362" max="4362" width="14.5546875" style="320" customWidth="1"/>
    <col min="4363" max="4363" width="17.6640625" style="320" customWidth="1"/>
    <col min="4364" max="4364" width="7.109375" style="320" customWidth="1"/>
    <col min="4365" max="4365" width="15.5546875" style="320" customWidth="1"/>
    <col min="4366" max="4366" width="11.44140625" style="320" customWidth="1"/>
    <col min="4367" max="4367" width="9.109375" style="320"/>
    <col min="4368" max="4368" width="10.44140625" style="320" customWidth="1"/>
    <col min="4369" max="4609" width="9.109375" style="320"/>
    <col min="4610" max="4610" width="12" style="320" customWidth="1"/>
    <col min="4611" max="4611" width="9.5546875" style="320" customWidth="1"/>
    <col min="4612" max="4613" width="9.109375" style="320"/>
    <col min="4614" max="4614" width="11.44140625" style="320" customWidth="1"/>
    <col min="4615" max="4615" width="18.5546875" style="320" customWidth="1"/>
    <col min="4616" max="4616" width="21.33203125" style="320" bestFit="1" customWidth="1"/>
    <col min="4617" max="4617" width="9.109375" style="320"/>
    <col min="4618" max="4618" width="14.5546875" style="320" customWidth="1"/>
    <col min="4619" max="4619" width="17.6640625" style="320" customWidth="1"/>
    <col min="4620" max="4620" width="7.109375" style="320" customWidth="1"/>
    <col min="4621" max="4621" width="15.5546875" style="320" customWidth="1"/>
    <col min="4622" max="4622" width="11.44140625" style="320" customWidth="1"/>
    <col min="4623" max="4623" width="9.109375" style="320"/>
    <col min="4624" max="4624" width="10.44140625" style="320" customWidth="1"/>
    <col min="4625" max="4865" width="9.109375" style="320"/>
    <col min="4866" max="4866" width="12" style="320" customWidth="1"/>
    <col min="4867" max="4867" width="9.5546875" style="320" customWidth="1"/>
    <col min="4868" max="4869" width="9.109375" style="320"/>
    <col min="4870" max="4870" width="11.44140625" style="320" customWidth="1"/>
    <col min="4871" max="4871" width="18.5546875" style="320" customWidth="1"/>
    <col min="4872" max="4872" width="21.33203125" style="320" bestFit="1" customWidth="1"/>
    <col min="4873" max="4873" width="9.109375" style="320"/>
    <col min="4874" max="4874" width="14.5546875" style="320" customWidth="1"/>
    <col min="4875" max="4875" width="17.6640625" style="320" customWidth="1"/>
    <col min="4876" max="4876" width="7.109375" style="320" customWidth="1"/>
    <col min="4877" max="4877" width="15.5546875" style="320" customWidth="1"/>
    <col min="4878" max="4878" width="11.44140625" style="320" customWidth="1"/>
    <col min="4879" max="4879" width="9.109375" style="320"/>
    <col min="4880" max="4880" width="10.44140625" style="320" customWidth="1"/>
    <col min="4881" max="5121" width="9.109375" style="320"/>
    <col min="5122" max="5122" width="12" style="320" customWidth="1"/>
    <col min="5123" max="5123" width="9.5546875" style="320" customWidth="1"/>
    <col min="5124" max="5125" width="9.109375" style="320"/>
    <col min="5126" max="5126" width="11.44140625" style="320" customWidth="1"/>
    <col min="5127" max="5127" width="18.5546875" style="320" customWidth="1"/>
    <col min="5128" max="5128" width="21.33203125" style="320" bestFit="1" customWidth="1"/>
    <col min="5129" max="5129" width="9.109375" style="320"/>
    <col min="5130" max="5130" width="14.5546875" style="320" customWidth="1"/>
    <col min="5131" max="5131" width="17.6640625" style="320" customWidth="1"/>
    <col min="5132" max="5132" width="7.109375" style="320" customWidth="1"/>
    <col min="5133" max="5133" width="15.5546875" style="320" customWidth="1"/>
    <col min="5134" max="5134" width="11.44140625" style="320" customWidth="1"/>
    <col min="5135" max="5135" width="9.109375" style="320"/>
    <col min="5136" max="5136" width="10.44140625" style="320" customWidth="1"/>
    <col min="5137" max="5377" width="9.109375" style="320"/>
    <col min="5378" max="5378" width="12" style="320" customWidth="1"/>
    <col min="5379" max="5379" width="9.5546875" style="320" customWidth="1"/>
    <col min="5380" max="5381" width="9.109375" style="320"/>
    <col min="5382" max="5382" width="11.44140625" style="320" customWidth="1"/>
    <col min="5383" max="5383" width="18.5546875" style="320" customWidth="1"/>
    <col min="5384" max="5384" width="21.33203125" style="320" bestFit="1" customWidth="1"/>
    <col min="5385" max="5385" width="9.109375" style="320"/>
    <col min="5386" max="5386" width="14.5546875" style="320" customWidth="1"/>
    <col min="5387" max="5387" width="17.6640625" style="320" customWidth="1"/>
    <col min="5388" max="5388" width="7.109375" style="320" customWidth="1"/>
    <col min="5389" max="5389" width="15.5546875" style="320" customWidth="1"/>
    <col min="5390" max="5390" width="11.44140625" style="320" customWidth="1"/>
    <col min="5391" max="5391" width="9.109375" style="320"/>
    <col min="5392" max="5392" width="10.44140625" style="320" customWidth="1"/>
    <col min="5393" max="5633" width="9.109375" style="320"/>
    <col min="5634" max="5634" width="12" style="320" customWidth="1"/>
    <col min="5635" max="5635" width="9.5546875" style="320" customWidth="1"/>
    <col min="5636" max="5637" width="9.109375" style="320"/>
    <col min="5638" max="5638" width="11.44140625" style="320" customWidth="1"/>
    <col min="5639" max="5639" width="18.5546875" style="320" customWidth="1"/>
    <col min="5640" max="5640" width="21.33203125" style="320" bestFit="1" customWidth="1"/>
    <col min="5641" max="5641" width="9.109375" style="320"/>
    <col min="5642" max="5642" width="14.5546875" style="320" customWidth="1"/>
    <col min="5643" max="5643" width="17.6640625" style="320" customWidth="1"/>
    <col min="5644" max="5644" width="7.109375" style="320" customWidth="1"/>
    <col min="5645" max="5645" width="15.5546875" style="320" customWidth="1"/>
    <col min="5646" max="5646" width="11.44140625" style="320" customWidth="1"/>
    <col min="5647" max="5647" width="9.109375" style="320"/>
    <col min="5648" max="5648" width="10.44140625" style="320" customWidth="1"/>
    <col min="5649" max="5889" width="9.109375" style="320"/>
    <col min="5890" max="5890" width="12" style="320" customWidth="1"/>
    <col min="5891" max="5891" width="9.5546875" style="320" customWidth="1"/>
    <col min="5892" max="5893" width="9.109375" style="320"/>
    <col min="5894" max="5894" width="11.44140625" style="320" customWidth="1"/>
    <col min="5895" max="5895" width="18.5546875" style="320" customWidth="1"/>
    <col min="5896" max="5896" width="21.33203125" style="320" bestFit="1" customWidth="1"/>
    <col min="5897" max="5897" width="9.109375" style="320"/>
    <col min="5898" max="5898" width="14.5546875" style="320" customWidth="1"/>
    <col min="5899" max="5899" width="17.6640625" style="320" customWidth="1"/>
    <col min="5900" max="5900" width="7.109375" style="320" customWidth="1"/>
    <col min="5901" max="5901" width="15.5546875" style="320" customWidth="1"/>
    <col min="5902" max="5902" width="11.44140625" style="320" customWidth="1"/>
    <col min="5903" max="5903" width="9.109375" style="320"/>
    <col min="5904" max="5904" width="10.44140625" style="320" customWidth="1"/>
    <col min="5905" max="6145" width="9.109375" style="320"/>
    <col min="6146" max="6146" width="12" style="320" customWidth="1"/>
    <col min="6147" max="6147" width="9.5546875" style="320" customWidth="1"/>
    <col min="6148" max="6149" width="9.109375" style="320"/>
    <col min="6150" max="6150" width="11.44140625" style="320" customWidth="1"/>
    <col min="6151" max="6151" width="18.5546875" style="320" customWidth="1"/>
    <col min="6152" max="6152" width="21.33203125" style="320" bestFit="1" customWidth="1"/>
    <col min="6153" max="6153" width="9.109375" style="320"/>
    <col min="6154" max="6154" width="14.5546875" style="320" customWidth="1"/>
    <col min="6155" max="6155" width="17.6640625" style="320" customWidth="1"/>
    <col min="6156" max="6156" width="7.109375" style="320" customWidth="1"/>
    <col min="6157" max="6157" width="15.5546875" style="320" customWidth="1"/>
    <col min="6158" max="6158" width="11.44140625" style="320" customWidth="1"/>
    <col min="6159" max="6159" width="9.109375" style="320"/>
    <col min="6160" max="6160" width="10.44140625" style="320" customWidth="1"/>
    <col min="6161" max="6401" width="9.109375" style="320"/>
    <col min="6402" max="6402" width="12" style="320" customWidth="1"/>
    <col min="6403" max="6403" width="9.5546875" style="320" customWidth="1"/>
    <col min="6404" max="6405" width="9.109375" style="320"/>
    <col min="6406" max="6406" width="11.44140625" style="320" customWidth="1"/>
    <col min="6407" max="6407" width="18.5546875" style="320" customWidth="1"/>
    <col min="6408" max="6408" width="21.33203125" style="320" bestFit="1" customWidth="1"/>
    <col min="6409" max="6409" width="9.109375" style="320"/>
    <col min="6410" max="6410" width="14.5546875" style="320" customWidth="1"/>
    <col min="6411" max="6411" width="17.6640625" style="320" customWidth="1"/>
    <col min="6412" max="6412" width="7.109375" style="320" customWidth="1"/>
    <col min="6413" max="6413" width="15.5546875" style="320" customWidth="1"/>
    <col min="6414" max="6414" width="11.44140625" style="320" customWidth="1"/>
    <col min="6415" max="6415" width="9.109375" style="320"/>
    <col min="6416" max="6416" width="10.44140625" style="320" customWidth="1"/>
    <col min="6417" max="6657" width="9.109375" style="320"/>
    <col min="6658" max="6658" width="12" style="320" customWidth="1"/>
    <col min="6659" max="6659" width="9.5546875" style="320" customWidth="1"/>
    <col min="6660" max="6661" width="9.109375" style="320"/>
    <col min="6662" max="6662" width="11.44140625" style="320" customWidth="1"/>
    <col min="6663" max="6663" width="18.5546875" style="320" customWidth="1"/>
    <col min="6664" max="6664" width="21.33203125" style="320" bestFit="1" customWidth="1"/>
    <col min="6665" max="6665" width="9.109375" style="320"/>
    <col min="6666" max="6666" width="14.5546875" style="320" customWidth="1"/>
    <col min="6667" max="6667" width="17.6640625" style="320" customWidth="1"/>
    <col min="6668" max="6668" width="7.109375" style="320" customWidth="1"/>
    <col min="6669" max="6669" width="15.5546875" style="320" customWidth="1"/>
    <col min="6670" max="6670" width="11.44140625" style="320" customWidth="1"/>
    <col min="6671" max="6671" width="9.109375" style="320"/>
    <col min="6672" max="6672" width="10.44140625" style="320" customWidth="1"/>
    <col min="6673" max="6913" width="9.109375" style="320"/>
    <col min="6914" max="6914" width="12" style="320" customWidth="1"/>
    <col min="6915" max="6915" width="9.5546875" style="320" customWidth="1"/>
    <col min="6916" max="6917" width="9.109375" style="320"/>
    <col min="6918" max="6918" width="11.44140625" style="320" customWidth="1"/>
    <col min="6919" max="6919" width="18.5546875" style="320" customWidth="1"/>
    <col min="6920" max="6920" width="21.33203125" style="320" bestFit="1" customWidth="1"/>
    <col min="6921" max="6921" width="9.109375" style="320"/>
    <col min="6922" max="6922" width="14.5546875" style="320" customWidth="1"/>
    <col min="6923" max="6923" width="17.6640625" style="320" customWidth="1"/>
    <col min="6924" max="6924" width="7.109375" style="320" customWidth="1"/>
    <col min="6925" max="6925" width="15.5546875" style="320" customWidth="1"/>
    <col min="6926" max="6926" width="11.44140625" style="320" customWidth="1"/>
    <col min="6927" max="6927" width="9.109375" style="320"/>
    <col min="6928" max="6928" width="10.44140625" style="320" customWidth="1"/>
    <col min="6929" max="7169" width="9.109375" style="320"/>
    <col min="7170" max="7170" width="12" style="320" customWidth="1"/>
    <col min="7171" max="7171" width="9.5546875" style="320" customWidth="1"/>
    <col min="7172" max="7173" width="9.109375" style="320"/>
    <col min="7174" max="7174" width="11.44140625" style="320" customWidth="1"/>
    <col min="7175" max="7175" width="18.5546875" style="320" customWidth="1"/>
    <col min="7176" max="7176" width="21.33203125" style="320" bestFit="1" customWidth="1"/>
    <col min="7177" max="7177" width="9.109375" style="320"/>
    <col min="7178" max="7178" width="14.5546875" style="320" customWidth="1"/>
    <col min="7179" max="7179" width="17.6640625" style="320" customWidth="1"/>
    <col min="7180" max="7180" width="7.109375" style="320" customWidth="1"/>
    <col min="7181" max="7181" width="15.5546875" style="320" customWidth="1"/>
    <col min="7182" max="7182" width="11.44140625" style="320" customWidth="1"/>
    <col min="7183" max="7183" width="9.109375" style="320"/>
    <col min="7184" max="7184" width="10.44140625" style="320" customWidth="1"/>
    <col min="7185" max="7425" width="9.109375" style="320"/>
    <col min="7426" max="7426" width="12" style="320" customWidth="1"/>
    <col min="7427" max="7427" width="9.5546875" style="320" customWidth="1"/>
    <col min="7428" max="7429" width="9.109375" style="320"/>
    <col min="7430" max="7430" width="11.44140625" style="320" customWidth="1"/>
    <col min="7431" max="7431" width="18.5546875" style="320" customWidth="1"/>
    <col min="7432" max="7432" width="21.33203125" style="320" bestFit="1" customWidth="1"/>
    <col min="7433" max="7433" width="9.109375" style="320"/>
    <col min="7434" max="7434" width="14.5546875" style="320" customWidth="1"/>
    <col min="7435" max="7435" width="17.6640625" style="320" customWidth="1"/>
    <col min="7436" max="7436" width="7.109375" style="320" customWidth="1"/>
    <col min="7437" max="7437" width="15.5546875" style="320" customWidth="1"/>
    <col min="7438" max="7438" width="11.44140625" style="320" customWidth="1"/>
    <col min="7439" max="7439" width="9.109375" style="320"/>
    <col min="7440" max="7440" width="10.44140625" style="320" customWidth="1"/>
    <col min="7441" max="7681" width="9.109375" style="320"/>
    <col min="7682" max="7682" width="12" style="320" customWidth="1"/>
    <col min="7683" max="7683" width="9.5546875" style="320" customWidth="1"/>
    <col min="7684" max="7685" width="9.109375" style="320"/>
    <col min="7686" max="7686" width="11.44140625" style="320" customWidth="1"/>
    <col min="7687" max="7687" width="18.5546875" style="320" customWidth="1"/>
    <col min="7688" max="7688" width="21.33203125" style="320" bestFit="1" customWidth="1"/>
    <col min="7689" max="7689" width="9.109375" style="320"/>
    <col min="7690" max="7690" width="14.5546875" style="320" customWidth="1"/>
    <col min="7691" max="7691" width="17.6640625" style="320" customWidth="1"/>
    <col min="7692" max="7692" width="7.109375" style="320" customWidth="1"/>
    <col min="7693" max="7693" width="15.5546875" style="320" customWidth="1"/>
    <col min="7694" max="7694" width="11.44140625" style="320" customWidth="1"/>
    <col min="7695" max="7695" width="9.109375" style="320"/>
    <col min="7696" max="7696" width="10.44140625" style="320" customWidth="1"/>
    <col min="7697" max="7937" width="9.109375" style="320"/>
    <col min="7938" max="7938" width="12" style="320" customWidth="1"/>
    <col min="7939" max="7939" width="9.5546875" style="320" customWidth="1"/>
    <col min="7940" max="7941" width="9.109375" style="320"/>
    <col min="7942" max="7942" width="11.44140625" style="320" customWidth="1"/>
    <col min="7943" max="7943" width="18.5546875" style="320" customWidth="1"/>
    <col min="7944" max="7944" width="21.33203125" style="320" bestFit="1" customWidth="1"/>
    <col min="7945" max="7945" width="9.109375" style="320"/>
    <col min="7946" max="7946" width="14.5546875" style="320" customWidth="1"/>
    <col min="7947" max="7947" width="17.6640625" style="320" customWidth="1"/>
    <col min="7948" max="7948" width="7.109375" style="320" customWidth="1"/>
    <col min="7949" max="7949" width="15.5546875" style="320" customWidth="1"/>
    <col min="7950" max="7950" width="11.44140625" style="320" customWidth="1"/>
    <col min="7951" max="7951" width="9.109375" style="320"/>
    <col min="7952" max="7952" width="10.44140625" style="320" customWidth="1"/>
    <col min="7953" max="8193" width="9.109375" style="320"/>
    <col min="8194" max="8194" width="12" style="320" customWidth="1"/>
    <col min="8195" max="8195" width="9.5546875" style="320" customWidth="1"/>
    <col min="8196" max="8197" width="9.109375" style="320"/>
    <col min="8198" max="8198" width="11.44140625" style="320" customWidth="1"/>
    <col min="8199" max="8199" width="18.5546875" style="320" customWidth="1"/>
    <col min="8200" max="8200" width="21.33203125" style="320" bestFit="1" customWidth="1"/>
    <col min="8201" max="8201" width="9.109375" style="320"/>
    <col min="8202" max="8202" width="14.5546875" style="320" customWidth="1"/>
    <col min="8203" max="8203" width="17.6640625" style="320" customWidth="1"/>
    <col min="8204" max="8204" width="7.109375" style="320" customWidth="1"/>
    <col min="8205" max="8205" width="15.5546875" style="320" customWidth="1"/>
    <col min="8206" max="8206" width="11.44140625" style="320" customWidth="1"/>
    <col min="8207" max="8207" width="9.109375" style="320"/>
    <col min="8208" max="8208" width="10.44140625" style="320" customWidth="1"/>
    <col min="8209" max="8449" width="9.109375" style="320"/>
    <col min="8450" max="8450" width="12" style="320" customWidth="1"/>
    <col min="8451" max="8451" width="9.5546875" style="320" customWidth="1"/>
    <col min="8452" max="8453" width="9.109375" style="320"/>
    <col min="8454" max="8454" width="11.44140625" style="320" customWidth="1"/>
    <col min="8455" max="8455" width="18.5546875" style="320" customWidth="1"/>
    <col min="8456" max="8456" width="21.33203125" style="320" bestFit="1" customWidth="1"/>
    <col min="8457" max="8457" width="9.109375" style="320"/>
    <col min="8458" max="8458" width="14.5546875" style="320" customWidth="1"/>
    <col min="8459" max="8459" width="17.6640625" style="320" customWidth="1"/>
    <col min="8460" max="8460" width="7.109375" style="320" customWidth="1"/>
    <col min="8461" max="8461" width="15.5546875" style="320" customWidth="1"/>
    <col min="8462" max="8462" width="11.44140625" style="320" customWidth="1"/>
    <col min="8463" max="8463" width="9.109375" style="320"/>
    <col min="8464" max="8464" width="10.44140625" style="320" customWidth="1"/>
    <col min="8465" max="8705" width="9.109375" style="320"/>
    <col min="8706" max="8706" width="12" style="320" customWidth="1"/>
    <col min="8707" max="8707" width="9.5546875" style="320" customWidth="1"/>
    <col min="8708" max="8709" width="9.109375" style="320"/>
    <col min="8710" max="8710" width="11.44140625" style="320" customWidth="1"/>
    <col min="8711" max="8711" width="18.5546875" style="320" customWidth="1"/>
    <col min="8712" max="8712" width="21.33203125" style="320" bestFit="1" customWidth="1"/>
    <col min="8713" max="8713" width="9.109375" style="320"/>
    <col min="8714" max="8714" width="14.5546875" style="320" customWidth="1"/>
    <col min="8715" max="8715" width="17.6640625" style="320" customWidth="1"/>
    <col min="8716" max="8716" width="7.109375" style="320" customWidth="1"/>
    <col min="8717" max="8717" width="15.5546875" style="320" customWidth="1"/>
    <col min="8718" max="8718" width="11.44140625" style="320" customWidth="1"/>
    <col min="8719" max="8719" width="9.109375" style="320"/>
    <col min="8720" max="8720" width="10.44140625" style="320" customWidth="1"/>
    <col min="8721" max="8961" width="9.109375" style="320"/>
    <col min="8962" max="8962" width="12" style="320" customWidth="1"/>
    <col min="8963" max="8963" width="9.5546875" style="320" customWidth="1"/>
    <col min="8964" max="8965" width="9.109375" style="320"/>
    <col min="8966" max="8966" width="11.44140625" style="320" customWidth="1"/>
    <col min="8967" max="8967" width="18.5546875" style="320" customWidth="1"/>
    <col min="8968" max="8968" width="21.33203125" style="320" bestFit="1" customWidth="1"/>
    <col min="8969" max="8969" width="9.109375" style="320"/>
    <col min="8970" max="8970" width="14.5546875" style="320" customWidth="1"/>
    <col min="8971" max="8971" width="17.6640625" style="320" customWidth="1"/>
    <col min="8972" max="8972" width="7.109375" style="320" customWidth="1"/>
    <col min="8973" max="8973" width="15.5546875" style="320" customWidth="1"/>
    <col min="8974" max="8974" width="11.44140625" style="320" customWidth="1"/>
    <col min="8975" max="8975" width="9.109375" style="320"/>
    <col min="8976" max="8976" width="10.44140625" style="320" customWidth="1"/>
    <col min="8977" max="9217" width="9.109375" style="320"/>
    <col min="9218" max="9218" width="12" style="320" customWidth="1"/>
    <col min="9219" max="9219" width="9.5546875" style="320" customWidth="1"/>
    <col min="9220" max="9221" width="9.109375" style="320"/>
    <col min="9222" max="9222" width="11.44140625" style="320" customWidth="1"/>
    <col min="9223" max="9223" width="18.5546875" style="320" customWidth="1"/>
    <col min="9224" max="9224" width="21.33203125" style="320" bestFit="1" customWidth="1"/>
    <col min="9225" max="9225" width="9.109375" style="320"/>
    <col min="9226" max="9226" width="14.5546875" style="320" customWidth="1"/>
    <col min="9227" max="9227" width="17.6640625" style="320" customWidth="1"/>
    <col min="9228" max="9228" width="7.109375" style="320" customWidth="1"/>
    <col min="9229" max="9229" width="15.5546875" style="320" customWidth="1"/>
    <col min="9230" max="9230" width="11.44140625" style="320" customWidth="1"/>
    <col min="9231" max="9231" width="9.109375" style="320"/>
    <col min="9232" max="9232" width="10.44140625" style="320" customWidth="1"/>
    <col min="9233" max="9473" width="9.109375" style="320"/>
    <col min="9474" max="9474" width="12" style="320" customWidth="1"/>
    <col min="9475" max="9475" width="9.5546875" style="320" customWidth="1"/>
    <col min="9476" max="9477" width="9.109375" style="320"/>
    <col min="9478" max="9478" width="11.44140625" style="320" customWidth="1"/>
    <col min="9479" max="9479" width="18.5546875" style="320" customWidth="1"/>
    <col min="9480" max="9480" width="21.33203125" style="320" bestFit="1" customWidth="1"/>
    <col min="9481" max="9481" width="9.109375" style="320"/>
    <col min="9482" max="9482" width="14.5546875" style="320" customWidth="1"/>
    <col min="9483" max="9483" width="17.6640625" style="320" customWidth="1"/>
    <col min="9484" max="9484" width="7.109375" style="320" customWidth="1"/>
    <col min="9485" max="9485" width="15.5546875" style="320" customWidth="1"/>
    <col min="9486" max="9486" width="11.44140625" style="320" customWidth="1"/>
    <col min="9487" max="9487" width="9.109375" style="320"/>
    <col min="9488" max="9488" width="10.44140625" style="320" customWidth="1"/>
    <col min="9489" max="9729" width="9.109375" style="320"/>
    <col min="9730" max="9730" width="12" style="320" customWidth="1"/>
    <col min="9731" max="9731" width="9.5546875" style="320" customWidth="1"/>
    <col min="9732" max="9733" width="9.109375" style="320"/>
    <col min="9734" max="9734" width="11.44140625" style="320" customWidth="1"/>
    <col min="9735" max="9735" width="18.5546875" style="320" customWidth="1"/>
    <col min="9736" max="9736" width="21.33203125" style="320" bestFit="1" customWidth="1"/>
    <col min="9737" max="9737" width="9.109375" style="320"/>
    <col min="9738" max="9738" width="14.5546875" style="320" customWidth="1"/>
    <col min="9739" max="9739" width="17.6640625" style="320" customWidth="1"/>
    <col min="9740" max="9740" width="7.109375" style="320" customWidth="1"/>
    <col min="9741" max="9741" width="15.5546875" style="320" customWidth="1"/>
    <col min="9742" max="9742" width="11.44140625" style="320" customWidth="1"/>
    <col min="9743" max="9743" width="9.109375" style="320"/>
    <col min="9744" max="9744" width="10.44140625" style="320" customWidth="1"/>
    <col min="9745" max="9985" width="9.109375" style="320"/>
    <col min="9986" max="9986" width="12" style="320" customWidth="1"/>
    <col min="9987" max="9987" width="9.5546875" style="320" customWidth="1"/>
    <col min="9988" max="9989" width="9.109375" style="320"/>
    <col min="9990" max="9990" width="11.44140625" style="320" customWidth="1"/>
    <col min="9991" max="9991" width="18.5546875" style="320" customWidth="1"/>
    <col min="9992" max="9992" width="21.33203125" style="320" bestFit="1" customWidth="1"/>
    <col min="9993" max="9993" width="9.109375" style="320"/>
    <col min="9994" max="9994" width="14.5546875" style="320" customWidth="1"/>
    <col min="9995" max="9995" width="17.6640625" style="320" customWidth="1"/>
    <col min="9996" max="9996" width="7.109375" style="320" customWidth="1"/>
    <col min="9997" max="9997" width="15.5546875" style="320" customWidth="1"/>
    <col min="9998" max="9998" width="11.44140625" style="320" customWidth="1"/>
    <col min="9999" max="9999" width="9.109375" style="320"/>
    <col min="10000" max="10000" width="10.44140625" style="320" customWidth="1"/>
    <col min="10001" max="10241" width="9.109375" style="320"/>
    <col min="10242" max="10242" width="12" style="320" customWidth="1"/>
    <col min="10243" max="10243" width="9.5546875" style="320" customWidth="1"/>
    <col min="10244" max="10245" width="9.109375" style="320"/>
    <col min="10246" max="10246" width="11.44140625" style="320" customWidth="1"/>
    <col min="10247" max="10247" width="18.5546875" style="320" customWidth="1"/>
    <col min="10248" max="10248" width="21.33203125" style="320" bestFit="1" customWidth="1"/>
    <col min="10249" max="10249" width="9.109375" style="320"/>
    <col min="10250" max="10250" width="14.5546875" style="320" customWidth="1"/>
    <col min="10251" max="10251" width="17.6640625" style="320" customWidth="1"/>
    <col min="10252" max="10252" width="7.109375" style="320" customWidth="1"/>
    <col min="10253" max="10253" width="15.5546875" style="320" customWidth="1"/>
    <col min="10254" max="10254" width="11.44140625" style="320" customWidth="1"/>
    <col min="10255" max="10255" width="9.109375" style="320"/>
    <col min="10256" max="10256" width="10.44140625" style="320" customWidth="1"/>
    <col min="10257" max="10497" width="9.109375" style="320"/>
    <col min="10498" max="10498" width="12" style="320" customWidth="1"/>
    <col min="10499" max="10499" width="9.5546875" style="320" customWidth="1"/>
    <col min="10500" max="10501" width="9.109375" style="320"/>
    <col min="10502" max="10502" width="11.44140625" style="320" customWidth="1"/>
    <col min="10503" max="10503" width="18.5546875" style="320" customWidth="1"/>
    <col min="10504" max="10504" width="21.33203125" style="320" bestFit="1" customWidth="1"/>
    <col min="10505" max="10505" width="9.109375" style="320"/>
    <col min="10506" max="10506" width="14.5546875" style="320" customWidth="1"/>
    <col min="10507" max="10507" width="17.6640625" style="320" customWidth="1"/>
    <col min="10508" max="10508" width="7.109375" style="320" customWidth="1"/>
    <col min="10509" max="10509" width="15.5546875" style="320" customWidth="1"/>
    <col min="10510" max="10510" width="11.44140625" style="320" customWidth="1"/>
    <col min="10511" max="10511" width="9.109375" style="320"/>
    <col min="10512" max="10512" width="10.44140625" style="320" customWidth="1"/>
    <col min="10513" max="10753" width="9.109375" style="320"/>
    <col min="10754" max="10754" width="12" style="320" customWidth="1"/>
    <col min="10755" max="10755" width="9.5546875" style="320" customWidth="1"/>
    <col min="10756" max="10757" width="9.109375" style="320"/>
    <col min="10758" max="10758" width="11.44140625" style="320" customWidth="1"/>
    <col min="10759" max="10759" width="18.5546875" style="320" customWidth="1"/>
    <col min="10760" max="10760" width="21.33203125" style="320" bestFit="1" customWidth="1"/>
    <col min="10761" max="10761" width="9.109375" style="320"/>
    <col min="10762" max="10762" width="14.5546875" style="320" customWidth="1"/>
    <col min="10763" max="10763" width="17.6640625" style="320" customWidth="1"/>
    <col min="10764" max="10764" width="7.109375" style="320" customWidth="1"/>
    <col min="10765" max="10765" width="15.5546875" style="320" customWidth="1"/>
    <col min="10766" max="10766" width="11.44140625" style="320" customWidth="1"/>
    <col min="10767" max="10767" width="9.109375" style="320"/>
    <col min="10768" max="10768" width="10.44140625" style="320" customWidth="1"/>
    <col min="10769" max="11009" width="9.109375" style="320"/>
    <col min="11010" max="11010" width="12" style="320" customWidth="1"/>
    <col min="11011" max="11011" width="9.5546875" style="320" customWidth="1"/>
    <col min="11012" max="11013" width="9.109375" style="320"/>
    <col min="11014" max="11014" width="11.44140625" style="320" customWidth="1"/>
    <col min="11015" max="11015" width="18.5546875" style="320" customWidth="1"/>
    <col min="11016" max="11016" width="21.33203125" style="320" bestFit="1" customWidth="1"/>
    <col min="11017" max="11017" width="9.109375" style="320"/>
    <col min="11018" max="11018" width="14.5546875" style="320" customWidth="1"/>
    <col min="11019" max="11019" width="17.6640625" style="320" customWidth="1"/>
    <col min="11020" max="11020" width="7.109375" style="320" customWidth="1"/>
    <col min="11021" max="11021" width="15.5546875" style="320" customWidth="1"/>
    <col min="11022" max="11022" width="11.44140625" style="320" customWidth="1"/>
    <col min="11023" max="11023" width="9.109375" style="320"/>
    <col min="11024" max="11024" width="10.44140625" style="320" customWidth="1"/>
    <col min="11025" max="11265" width="9.109375" style="320"/>
    <col min="11266" max="11266" width="12" style="320" customWidth="1"/>
    <col min="11267" max="11267" width="9.5546875" style="320" customWidth="1"/>
    <col min="11268" max="11269" width="9.109375" style="320"/>
    <col min="11270" max="11270" width="11.44140625" style="320" customWidth="1"/>
    <col min="11271" max="11271" width="18.5546875" style="320" customWidth="1"/>
    <col min="11272" max="11272" width="21.33203125" style="320" bestFit="1" customWidth="1"/>
    <col min="11273" max="11273" width="9.109375" style="320"/>
    <col min="11274" max="11274" width="14.5546875" style="320" customWidth="1"/>
    <col min="11275" max="11275" width="17.6640625" style="320" customWidth="1"/>
    <col min="11276" max="11276" width="7.109375" style="320" customWidth="1"/>
    <col min="11277" max="11277" width="15.5546875" style="320" customWidth="1"/>
    <col min="11278" max="11278" width="11.44140625" style="320" customWidth="1"/>
    <col min="11279" max="11279" width="9.109375" style="320"/>
    <col min="11280" max="11280" width="10.44140625" style="320" customWidth="1"/>
    <col min="11281" max="11521" width="9.109375" style="320"/>
    <col min="11522" max="11522" width="12" style="320" customWidth="1"/>
    <col min="11523" max="11523" width="9.5546875" style="320" customWidth="1"/>
    <col min="11524" max="11525" width="9.109375" style="320"/>
    <col min="11526" max="11526" width="11.44140625" style="320" customWidth="1"/>
    <col min="11527" max="11527" width="18.5546875" style="320" customWidth="1"/>
    <col min="11528" max="11528" width="21.33203125" style="320" bestFit="1" customWidth="1"/>
    <col min="11529" max="11529" width="9.109375" style="320"/>
    <col min="11530" max="11530" width="14.5546875" style="320" customWidth="1"/>
    <col min="11531" max="11531" width="17.6640625" style="320" customWidth="1"/>
    <col min="11532" max="11532" width="7.109375" style="320" customWidth="1"/>
    <col min="11533" max="11533" width="15.5546875" style="320" customWidth="1"/>
    <col min="11534" max="11534" width="11.44140625" style="320" customWidth="1"/>
    <col min="11535" max="11535" width="9.109375" style="320"/>
    <col min="11536" max="11536" width="10.44140625" style="320" customWidth="1"/>
    <col min="11537" max="11777" width="9.109375" style="320"/>
    <col min="11778" max="11778" width="12" style="320" customWidth="1"/>
    <col min="11779" max="11779" width="9.5546875" style="320" customWidth="1"/>
    <col min="11780" max="11781" width="9.109375" style="320"/>
    <col min="11782" max="11782" width="11.44140625" style="320" customWidth="1"/>
    <col min="11783" max="11783" width="18.5546875" style="320" customWidth="1"/>
    <col min="11784" max="11784" width="21.33203125" style="320" bestFit="1" customWidth="1"/>
    <col min="11785" max="11785" width="9.109375" style="320"/>
    <col min="11786" max="11786" width="14.5546875" style="320" customWidth="1"/>
    <col min="11787" max="11787" width="17.6640625" style="320" customWidth="1"/>
    <col min="11788" max="11788" width="7.109375" style="320" customWidth="1"/>
    <col min="11789" max="11789" width="15.5546875" style="320" customWidth="1"/>
    <col min="11790" max="11790" width="11.44140625" style="320" customWidth="1"/>
    <col min="11791" max="11791" width="9.109375" style="320"/>
    <col min="11792" max="11792" width="10.44140625" style="320" customWidth="1"/>
    <col min="11793" max="12033" width="9.109375" style="320"/>
    <col min="12034" max="12034" width="12" style="320" customWidth="1"/>
    <col min="12035" max="12035" width="9.5546875" style="320" customWidth="1"/>
    <col min="12036" max="12037" width="9.109375" style="320"/>
    <col min="12038" max="12038" width="11.44140625" style="320" customWidth="1"/>
    <col min="12039" max="12039" width="18.5546875" style="320" customWidth="1"/>
    <col min="12040" max="12040" width="21.33203125" style="320" bestFit="1" customWidth="1"/>
    <col min="12041" max="12041" width="9.109375" style="320"/>
    <col min="12042" max="12042" width="14.5546875" style="320" customWidth="1"/>
    <col min="12043" max="12043" width="17.6640625" style="320" customWidth="1"/>
    <col min="12044" max="12044" width="7.109375" style="320" customWidth="1"/>
    <col min="12045" max="12045" width="15.5546875" style="320" customWidth="1"/>
    <col min="12046" max="12046" width="11.44140625" style="320" customWidth="1"/>
    <col min="12047" max="12047" width="9.109375" style="320"/>
    <col min="12048" max="12048" width="10.44140625" style="320" customWidth="1"/>
    <col min="12049" max="12289" width="9.109375" style="320"/>
    <col min="12290" max="12290" width="12" style="320" customWidth="1"/>
    <col min="12291" max="12291" width="9.5546875" style="320" customWidth="1"/>
    <col min="12292" max="12293" width="9.109375" style="320"/>
    <col min="12294" max="12294" width="11.44140625" style="320" customWidth="1"/>
    <col min="12295" max="12295" width="18.5546875" style="320" customWidth="1"/>
    <col min="12296" max="12296" width="21.33203125" style="320" bestFit="1" customWidth="1"/>
    <col min="12297" max="12297" width="9.109375" style="320"/>
    <col min="12298" max="12298" width="14.5546875" style="320" customWidth="1"/>
    <col min="12299" max="12299" width="17.6640625" style="320" customWidth="1"/>
    <col min="12300" max="12300" width="7.109375" style="320" customWidth="1"/>
    <col min="12301" max="12301" width="15.5546875" style="320" customWidth="1"/>
    <col min="12302" max="12302" width="11.44140625" style="320" customWidth="1"/>
    <col min="12303" max="12303" width="9.109375" style="320"/>
    <col min="12304" max="12304" width="10.44140625" style="320" customWidth="1"/>
    <col min="12305" max="12545" width="9.109375" style="320"/>
    <col min="12546" max="12546" width="12" style="320" customWidth="1"/>
    <col min="12547" max="12547" width="9.5546875" style="320" customWidth="1"/>
    <col min="12548" max="12549" width="9.109375" style="320"/>
    <col min="12550" max="12550" width="11.44140625" style="320" customWidth="1"/>
    <col min="12551" max="12551" width="18.5546875" style="320" customWidth="1"/>
    <col min="12552" max="12552" width="21.33203125" style="320" bestFit="1" customWidth="1"/>
    <col min="12553" max="12553" width="9.109375" style="320"/>
    <col min="12554" max="12554" width="14.5546875" style="320" customWidth="1"/>
    <col min="12555" max="12555" width="17.6640625" style="320" customWidth="1"/>
    <col min="12556" max="12556" width="7.109375" style="320" customWidth="1"/>
    <col min="12557" max="12557" width="15.5546875" style="320" customWidth="1"/>
    <col min="12558" max="12558" width="11.44140625" style="320" customWidth="1"/>
    <col min="12559" max="12559" width="9.109375" style="320"/>
    <col min="12560" max="12560" width="10.44140625" style="320" customWidth="1"/>
    <col min="12561" max="12801" width="9.109375" style="320"/>
    <col min="12802" max="12802" width="12" style="320" customWidth="1"/>
    <col min="12803" max="12803" width="9.5546875" style="320" customWidth="1"/>
    <col min="12804" max="12805" width="9.109375" style="320"/>
    <col min="12806" max="12806" width="11.44140625" style="320" customWidth="1"/>
    <col min="12807" max="12807" width="18.5546875" style="320" customWidth="1"/>
    <col min="12808" max="12808" width="21.33203125" style="320" bestFit="1" customWidth="1"/>
    <col min="12809" max="12809" width="9.109375" style="320"/>
    <col min="12810" max="12810" width="14.5546875" style="320" customWidth="1"/>
    <col min="12811" max="12811" width="17.6640625" style="320" customWidth="1"/>
    <col min="12812" max="12812" width="7.109375" style="320" customWidth="1"/>
    <col min="12813" max="12813" width="15.5546875" style="320" customWidth="1"/>
    <col min="12814" max="12814" width="11.44140625" style="320" customWidth="1"/>
    <col min="12815" max="12815" width="9.109375" style="320"/>
    <col min="12816" max="12816" width="10.44140625" style="320" customWidth="1"/>
    <col min="12817" max="13057" width="9.109375" style="320"/>
    <col min="13058" max="13058" width="12" style="320" customWidth="1"/>
    <col min="13059" max="13059" width="9.5546875" style="320" customWidth="1"/>
    <col min="13060" max="13061" width="9.109375" style="320"/>
    <col min="13062" max="13062" width="11.44140625" style="320" customWidth="1"/>
    <col min="13063" max="13063" width="18.5546875" style="320" customWidth="1"/>
    <col min="13064" max="13064" width="21.33203125" style="320" bestFit="1" customWidth="1"/>
    <col min="13065" max="13065" width="9.109375" style="320"/>
    <col min="13066" max="13066" width="14.5546875" style="320" customWidth="1"/>
    <col min="13067" max="13067" width="17.6640625" style="320" customWidth="1"/>
    <col min="13068" max="13068" width="7.109375" style="320" customWidth="1"/>
    <col min="13069" max="13069" width="15.5546875" style="320" customWidth="1"/>
    <col min="13070" max="13070" width="11.44140625" style="320" customWidth="1"/>
    <col min="13071" max="13071" width="9.109375" style="320"/>
    <col min="13072" max="13072" width="10.44140625" style="320" customWidth="1"/>
    <col min="13073" max="13313" width="9.109375" style="320"/>
    <col min="13314" max="13314" width="12" style="320" customWidth="1"/>
    <col min="13315" max="13315" width="9.5546875" style="320" customWidth="1"/>
    <col min="13316" max="13317" width="9.109375" style="320"/>
    <col min="13318" max="13318" width="11.44140625" style="320" customWidth="1"/>
    <col min="13319" max="13319" width="18.5546875" style="320" customWidth="1"/>
    <col min="13320" max="13320" width="21.33203125" style="320" bestFit="1" customWidth="1"/>
    <col min="13321" max="13321" width="9.109375" style="320"/>
    <col min="13322" max="13322" width="14.5546875" style="320" customWidth="1"/>
    <col min="13323" max="13323" width="17.6640625" style="320" customWidth="1"/>
    <col min="13324" max="13324" width="7.109375" style="320" customWidth="1"/>
    <col min="13325" max="13325" width="15.5546875" style="320" customWidth="1"/>
    <col min="13326" max="13326" width="11.44140625" style="320" customWidth="1"/>
    <col min="13327" max="13327" width="9.109375" style="320"/>
    <col min="13328" max="13328" width="10.44140625" style="320" customWidth="1"/>
    <col min="13329" max="13569" width="9.109375" style="320"/>
    <col min="13570" max="13570" width="12" style="320" customWidth="1"/>
    <col min="13571" max="13571" width="9.5546875" style="320" customWidth="1"/>
    <col min="13572" max="13573" width="9.109375" style="320"/>
    <col min="13574" max="13574" width="11.44140625" style="320" customWidth="1"/>
    <col min="13575" max="13575" width="18.5546875" style="320" customWidth="1"/>
    <col min="13576" max="13576" width="21.33203125" style="320" bestFit="1" customWidth="1"/>
    <col min="13577" max="13577" width="9.109375" style="320"/>
    <col min="13578" max="13578" width="14.5546875" style="320" customWidth="1"/>
    <col min="13579" max="13579" width="17.6640625" style="320" customWidth="1"/>
    <col min="13580" max="13580" width="7.109375" style="320" customWidth="1"/>
    <col min="13581" max="13581" width="15.5546875" style="320" customWidth="1"/>
    <col min="13582" max="13582" width="11.44140625" style="320" customWidth="1"/>
    <col min="13583" max="13583" width="9.109375" style="320"/>
    <col min="13584" max="13584" width="10.44140625" style="320" customWidth="1"/>
    <col min="13585" max="13825" width="9.109375" style="320"/>
    <col min="13826" max="13826" width="12" style="320" customWidth="1"/>
    <col min="13827" max="13827" width="9.5546875" style="320" customWidth="1"/>
    <col min="13828" max="13829" width="9.109375" style="320"/>
    <col min="13830" max="13830" width="11.44140625" style="320" customWidth="1"/>
    <col min="13831" max="13831" width="18.5546875" style="320" customWidth="1"/>
    <col min="13832" max="13832" width="21.33203125" style="320" bestFit="1" customWidth="1"/>
    <col min="13833" max="13833" width="9.109375" style="320"/>
    <col min="13834" max="13834" width="14.5546875" style="320" customWidth="1"/>
    <col min="13835" max="13835" width="17.6640625" style="320" customWidth="1"/>
    <col min="13836" max="13836" width="7.109375" style="320" customWidth="1"/>
    <col min="13837" max="13837" width="15.5546875" style="320" customWidth="1"/>
    <col min="13838" max="13838" width="11.44140625" style="320" customWidth="1"/>
    <col min="13839" max="13839" width="9.109375" style="320"/>
    <col min="13840" max="13840" width="10.44140625" style="320" customWidth="1"/>
    <col min="13841" max="14081" width="9.109375" style="320"/>
    <col min="14082" max="14082" width="12" style="320" customWidth="1"/>
    <col min="14083" max="14083" width="9.5546875" style="320" customWidth="1"/>
    <col min="14084" max="14085" width="9.109375" style="320"/>
    <col min="14086" max="14086" width="11.44140625" style="320" customWidth="1"/>
    <col min="14087" max="14087" width="18.5546875" style="320" customWidth="1"/>
    <col min="14088" max="14088" width="21.33203125" style="320" bestFit="1" customWidth="1"/>
    <col min="14089" max="14089" width="9.109375" style="320"/>
    <col min="14090" max="14090" width="14.5546875" style="320" customWidth="1"/>
    <col min="14091" max="14091" width="17.6640625" style="320" customWidth="1"/>
    <col min="14092" max="14092" width="7.109375" style="320" customWidth="1"/>
    <col min="14093" max="14093" width="15.5546875" style="320" customWidth="1"/>
    <col min="14094" max="14094" width="11.44140625" style="320" customWidth="1"/>
    <col min="14095" max="14095" width="9.109375" style="320"/>
    <col min="14096" max="14096" width="10.44140625" style="320" customWidth="1"/>
    <col min="14097" max="14337" width="9.109375" style="320"/>
    <col min="14338" max="14338" width="12" style="320" customWidth="1"/>
    <col min="14339" max="14339" width="9.5546875" style="320" customWidth="1"/>
    <col min="14340" max="14341" width="9.109375" style="320"/>
    <col min="14342" max="14342" width="11.44140625" style="320" customWidth="1"/>
    <col min="14343" max="14343" width="18.5546875" style="320" customWidth="1"/>
    <col min="14344" max="14344" width="21.33203125" style="320" bestFit="1" customWidth="1"/>
    <col min="14345" max="14345" width="9.109375" style="320"/>
    <col min="14346" max="14346" width="14.5546875" style="320" customWidth="1"/>
    <col min="14347" max="14347" width="17.6640625" style="320" customWidth="1"/>
    <col min="14348" max="14348" width="7.109375" style="320" customWidth="1"/>
    <col min="14349" max="14349" width="15.5546875" style="320" customWidth="1"/>
    <col min="14350" max="14350" width="11.44140625" style="320" customWidth="1"/>
    <col min="14351" max="14351" width="9.109375" style="320"/>
    <col min="14352" max="14352" width="10.44140625" style="320" customWidth="1"/>
    <col min="14353" max="14593" width="9.109375" style="320"/>
    <col min="14594" max="14594" width="12" style="320" customWidth="1"/>
    <col min="14595" max="14595" width="9.5546875" style="320" customWidth="1"/>
    <col min="14596" max="14597" width="9.109375" style="320"/>
    <col min="14598" max="14598" width="11.44140625" style="320" customWidth="1"/>
    <col min="14599" max="14599" width="18.5546875" style="320" customWidth="1"/>
    <col min="14600" max="14600" width="21.33203125" style="320" bestFit="1" customWidth="1"/>
    <col min="14601" max="14601" width="9.109375" style="320"/>
    <col min="14602" max="14602" width="14.5546875" style="320" customWidth="1"/>
    <col min="14603" max="14603" width="17.6640625" style="320" customWidth="1"/>
    <col min="14604" max="14604" width="7.109375" style="320" customWidth="1"/>
    <col min="14605" max="14605" width="15.5546875" style="320" customWidth="1"/>
    <col min="14606" max="14606" width="11.44140625" style="320" customWidth="1"/>
    <col min="14607" max="14607" width="9.109375" style="320"/>
    <col min="14608" max="14608" width="10.44140625" style="320" customWidth="1"/>
    <col min="14609" max="14849" width="9.109375" style="320"/>
    <col min="14850" max="14850" width="12" style="320" customWidth="1"/>
    <col min="14851" max="14851" width="9.5546875" style="320" customWidth="1"/>
    <col min="14852" max="14853" width="9.109375" style="320"/>
    <col min="14854" max="14854" width="11.44140625" style="320" customWidth="1"/>
    <col min="14855" max="14855" width="18.5546875" style="320" customWidth="1"/>
    <col min="14856" max="14856" width="21.33203125" style="320" bestFit="1" customWidth="1"/>
    <col min="14857" max="14857" width="9.109375" style="320"/>
    <col min="14858" max="14858" width="14.5546875" style="320" customWidth="1"/>
    <col min="14859" max="14859" width="17.6640625" style="320" customWidth="1"/>
    <col min="14860" max="14860" width="7.109375" style="320" customWidth="1"/>
    <col min="14861" max="14861" width="15.5546875" style="320" customWidth="1"/>
    <col min="14862" max="14862" width="11.44140625" style="320" customWidth="1"/>
    <col min="14863" max="14863" width="9.109375" style="320"/>
    <col min="14864" max="14864" width="10.44140625" style="320" customWidth="1"/>
    <col min="14865" max="15105" width="9.109375" style="320"/>
    <col min="15106" max="15106" width="12" style="320" customWidth="1"/>
    <col min="15107" max="15107" width="9.5546875" style="320" customWidth="1"/>
    <col min="15108" max="15109" width="9.109375" style="320"/>
    <col min="15110" max="15110" width="11.44140625" style="320" customWidth="1"/>
    <col min="15111" max="15111" width="18.5546875" style="320" customWidth="1"/>
    <col min="15112" max="15112" width="21.33203125" style="320" bestFit="1" customWidth="1"/>
    <col min="15113" max="15113" width="9.109375" style="320"/>
    <col min="15114" max="15114" width="14.5546875" style="320" customWidth="1"/>
    <col min="15115" max="15115" width="17.6640625" style="320" customWidth="1"/>
    <col min="15116" max="15116" width="7.109375" style="320" customWidth="1"/>
    <col min="15117" max="15117" width="15.5546875" style="320" customWidth="1"/>
    <col min="15118" max="15118" width="11.44140625" style="320" customWidth="1"/>
    <col min="15119" max="15119" width="9.109375" style="320"/>
    <col min="15120" max="15120" width="10.44140625" style="320" customWidth="1"/>
    <col min="15121" max="15361" width="9.109375" style="320"/>
    <col min="15362" max="15362" width="12" style="320" customWidth="1"/>
    <col min="15363" max="15363" width="9.5546875" style="320" customWidth="1"/>
    <col min="15364" max="15365" width="9.109375" style="320"/>
    <col min="15366" max="15366" width="11.44140625" style="320" customWidth="1"/>
    <col min="15367" max="15367" width="18.5546875" style="320" customWidth="1"/>
    <col min="15368" max="15368" width="21.33203125" style="320" bestFit="1" customWidth="1"/>
    <col min="15369" max="15369" width="9.109375" style="320"/>
    <col min="15370" max="15370" width="14.5546875" style="320" customWidth="1"/>
    <col min="15371" max="15371" width="17.6640625" style="320" customWidth="1"/>
    <col min="15372" max="15372" width="7.109375" style="320" customWidth="1"/>
    <col min="15373" max="15373" width="15.5546875" style="320" customWidth="1"/>
    <col min="15374" max="15374" width="11.44140625" style="320" customWidth="1"/>
    <col min="15375" max="15375" width="9.109375" style="320"/>
    <col min="15376" max="15376" width="10.44140625" style="320" customWidth="1"/>
    <col min="15377" max="15617" width="9.109375" style="320"/>
    <col min="15618" max="15618" width="12" style="320" customWidth="1"/>
    <col min="15619" max="15619" width="9.5546875" style="320" customWidth="1"/>
    <col min="15620" max="15621" width="9.109375" style="320"/>
    <col min="15622" max="15622" width="11.44140625" style="320" customWidth="1"/>
    <col min="15623" max="15623" width="18.5546875" style="320" customWidth="1"/>
    <col min="15624" max="15624" width="21.33203125" style="320" bestFit="1" customWidth="1"/>
    <col min="15625" max="15625" width="9.109375" style="320"/>
    <col min="15626" max="15626" width="14.5546875" style="320" customWidth="1"/>
    <col min="15627" max="15627" width="17.6640625" style="320" customWidth="1"/>
    <col min="15628" max="15628" width="7.109375" style="320" customWidth="1"/>
    <col min="15629" max="15629" width="15.5546875" style="320" customWidth="1"/>
    <col min="15630" max="15630" width="11.44140625" style="320" customWidth="1"/>
    <col min="15631" max="15631" width="9.109375" style="320"/>
    <col min="15632" max="15632" width="10.44140625" style="320" customWidth="1"/>
    <col min="15633" max="15873" width="9.109375" style="320"/>
    <col min="15874" max="15874" width="12" style="320" customWidth="1"/>
    <col min="15875" max="15875" width="9.5546875" style="320" customWidth="1"/>
    <col min="15876" max="15877" width="9.109375" style="320"/>
    <col min="15878" max="15878" width="11.44140625" style="320" customWidth="1"/>
    <col min="15879" max="15879" width="18.5546875" style="320" customWidth="1"/>
    <col min="15880" max="15880" width="21.33203125" style="320" bestFit="1" customWidth="1"/>
    <col min="15881" max="15881" width="9.109375" style="320"/>
    <col min="15882" max="15882" width="14.5546875" style="320" customWidth="1"/>
    <col min="15883" max="15883" width="17.6640625" style="320" customWidth="1"/>
    <col min="15884" max="15884" width="7.109375" style="320" customWidth="1"/>
    <col min="15885" max="15885" width="15.5546875" style="320" customWidth="1"/>
    <col min="15886" max="15886" width="11.44140625" style="320" customWidth="1"/>
    <col min="15887" max="15887" width="9.109375" style="320"/>
    <col min="15888" max="15888" width="10.44140625" style="320" customWidth="1"/>
    <col min="15889" max="16129" width="9.109375" style="320"/>
    <col min="16130" max="16130" width="12" style="320" customWidth="1"/>
    <col min="16131" max="16131" width="9.5546875" style="320" customWidth="1"/>
    <col min="16132" max="16133" width="9.109375" style="320"/>
    <col min="16134" max="16134" width="11.44140625" style="320" customWidth="1"/>
    <col min="16135" max="16135" width="18.5546875" style="320" customWidth="1"/>
    <col min="16136" max="16136" width="21.33203125" style="320" bestFit="1" customWidth="1"/>
    <col min="16137" max="16137" width="9.109375" style="320"/>
    <col min="16138" max="16138" width="14.5546875" style="320" customWidth="1"/>
    <col min="16139" max="16139" width="17.6640625" style="320" customWidth="1"/>
    <col min="16140" max="16140" width="7.109375" style="320" customWidth="1"/>
    <col min="16141" max="16141" width="15.5546875" style="320" customWidth="1"/>
    <col min="16142" max="16142" width="11.44140625" style="320" customWidth="1"/>
    <col min="16143" max="16143" width="9.109375" style="320"/>
    <col min="16144" max="16144" width="10.44140625" style="320" customWidth="1"/>
    <col min="16145" max="16384" width="9.109375" style="320"/>
  </cols>
  <sheetData>
    <row r="1" spans="1:16" ht="15" customHeight="1">
      <c r="A1" s="1214" t="s">
        <v>306</v>
      </c>
      <c r="B1" s="1215"/>
      <c r="C1" s="1215"/>
      <c r="D1" s="1215"/>
      <c r="E1" s="1215"/>
      <c r="F1" s="1215"/>
      <c r="G1" s="1215"/>
      <c r="H1" s="1215"/>
      <c r="I1" s="1216"/>
      <c r="J1" s="1217" t="s">
        <v>307</v>
      </c>
      <c r="K1" s="1218"/>
      <c r="L1" s="1218"/>
      <c r="M1" s="1219"/>
      <c r="N1" s="1217" t="s">
        <v>308</v>
      </c>
      <c r="O1" s="1218"/>
      <c r="P1" s="1223"/>
    </row>
    <row r="2" spans="1:16" ht="15" customHeight="1">
      <c r="A2" s="1240" t="s">
        <v>601</v>
      </c>
      <c r="B2" s="1241"/>
      <c r="C2" s="1242" t="str">
        <f>'F1 Forecast Consultant'!C3</f>
        <v>Western</v>
      </c>
      <c r="D2" s="1242"/>
      <c r="E2" s="708"/>
      <c r="F2" s="708"/>
      <c r="G2" s="708"/>
      <c r="H2" s="708"/>
      <c r="I2" s="709"/>
      <c r="J2" s="1220"/>
      <c r="K2" s="1221"/>
      <c r="L2" s="1221"/>
      <c r="M2" s="1222"/>
      <c r="N2" s="1220"/>
      <c r="O2" s="1221"/>
      <c r="P2" s="1224"/>
    </row>
    <row r="3" spans="1:16" ht="15" customHeight="1">
      <c r="A3" s="1225" t="s">
        <v>309</v>
      </c>
      <c r="B3" s="1226"/>
      <c r="C3" s="1229" t="str">
        <f>'F1 Forecast Combined'!B12</f>
        <v>PLEASE INSERT TENDERER NAME ON INPUT DATA SHEET</v>
      </c>
      <c r="D3" s="1226"/>
      <c r="E3" s="1226"/>
      <c r="F3" s="1226"/>
      <c r="G3" s="1226"/>
      <c r="H3" s="1226"/>
      <c r="I3" s="1230"/>
      <c r="J3" s="1232" t="s">
        <v>310</v>
      </c>
      <c r="K3" s="1233"/>
      <c r="L3" s="1236" t="str">
        <f>" W12/9/2 -  " &amp; K6</f>
        <v xml:space="preserve"> W12/9/2 -  NRA.N.007-040-2024/1F</v>
      </c>
      <c r="M3" s="1237"/>
      <c r="N3" s="1243"/>
      <c r="O3" s="1244"/>
      <c r="P3" s="1245"/>
    </row>
    <row r="4" spans="1:16" ht="15" customHeight="1">
      <c r="A4" s="1227"/>
      <c r="B4" s="1228"/>
      <c r="C4" s="1228"/>
      <c r="D4" s="1228"/>
      <c r="E4" s="1228"/>
      <c r="F4" s="1228"/>
      <c r="G4" s="1228"/>
      <c r="H4" s="1228"/>
      <c r="I4" s="1231"/>
      <c r="J4" s="1234"/>
      <c r="K4" s="1235"/>
      <c r="L4" s="1238"/>
      <c r="M4" s="1239"/>
      <c r="N4" s="1246"/>
      <c r="O4" s="1247"/>
      <c r="P4" s="1248"/>
    </row>
    <row r="5" spans="1:16" ht="14.25" customHeight="1">
      <c r="A5" s="1225" t="s">
        <v>311</v>
      </c>
      <c r="B5" s="1226"/>
      <c r="C5" s="1269"/>
      <c r="D5" s="1269"/>
      <c r="E5" s="1269"/>
      <c r="F5" s="1269"/>
      <c r="G5" s="1269"/>
      <c r="H5" s="1269"/>
      <c r="I5" s="1270"/>
      <c r="J5" s="362" t="s">
        <v>312</v>
      </c>
      <c r="K5" s="363"/>
      <c r="L5" s="1271"/>
      <c r="M5" s="1272"/>
      <c r="N5" s="1279" t="s">
        <v>313</v>
      </c>
      <c r="O5" s="1280"/>
      <c r="P5" s="1281"/>
    </row>
    <row r="6" spans="1:16" ht="15" customHeight="1">
      <c r="A6" s="1227"/>
      <c r="B6" s="1228"/>
      <c r="C6" s="1269"/>
      <c r="D6" s="1269"/>
      <c r="E6" s="1269"/>
      <c r="F6" s="1269"/>
      <c r="G6" s="1269"/>
      <c r="H6" s="1269"/>
      <c r="I6" s="1270"/>
      <c r="J6" s="1296" t="s">
        <v>314</v>
      </c>
      <c r="K6" s="1298" t="str">
        <f>'F1 Forecast Combined'!B8</f>
        <v>NRA.N.007-040-2024/1F</v>
      </c>
      <c r="L6" s="1298"/>
      <c r="M6" s="1299"/>
      <c r="N6" s="1282"/>
      <c r="O6" s="1283"/>
      <c r="P6" s="1284"/>
    </row>
    <row r="7" spans="1:16" ht="15" customHeight="1">
      <c r="A7" s="1225" t="s">
        <v>315</v>
      </c>
      <c r="B7" s="1226"/>
      <c r="C7" s="1289" t="str">
        <f>'F1 Forecast Combined'!B9</f>
        <v>CONSULTING ENGINEERING SERVICES FOR THE STRENGTHENING ON NATIONAL ROUTE N7 SECTION 4 FROM TRAWAL (km 42.00) TO KLAWER (km 54.00)</v>
      </c>
      <c r="D7" s="1290"/>
      <c r="E7" s="1290"/>
      <c r="F7" s="1290"/>
      <c r="G7" s="1290"/>
      <c r="H7" s="1290"/>
      <c r="I7" s="1291"/>
      <c r="J7" s="1297"/>
      <c r="K7" s="1300"/>
      <c r="L7" s="1300"/>
      <c r="M7" s="1301"/>
      <c r="N7" s="1243" t="s">
        <v>316</v>
      </c>
      <c r="O7" s="1244"/>
      <c r="P7" s="1245"/>
    </row>
    <row r="8" spans="1:16" ht="15" customHeight="1">
      <c r="A8" s="1285"/>
      <c r="B8" s="1286"/>
      <c r="C8" s="1292"/>
      <c r="D8" s="1292"/>
      <c r="E8" s="1292"/>
      <c r="F8" s="1292"/>
      <c r="G8" s="1292"/>
      <c r="H8" s="1292"/>
      <c r="I8" s="1293"/>
      <c r="J8" s="1296" t="s">
        <v>317</v>
      </c>
      <c r="K8" s="1303">
        <v>1</v>
      </c>
      <c r="L8" s="1308">
        <v>45169</v>
      </c>
      <c r="M8" s="1309"/>
      <c r="N8" s="1312"/>
      <c r="O8" s="1254"/>
      <c r="P8" s="1313"/>
    </row>
    <row r="9" spans="1:16" ht="15" customHeight="1" thickBot="1">
      <c r="A9" s="1287"/>
      <c r="B9" s="1288"/>
      <c r="C9" s="1294"/>
      <c r="D9" s="1294"/>
      <c r="E9" s="1294"/>
      <c r="F9" s="1294"/>
      <c r="G9" s="1294"/>
      <c r="H9" s="1294"/>
      <c r="I9" s="1295"/>
      <c r="J9" s="1302"/>
      <c r="K9" s="1304"/>
      <c r="L9" s="1310"/>
      <c r="M9" s="1311"/>
      <c r="N9" s="1314"/>
      <c r="O9" s="1315"/>
      <c r="P9" s="1316"/>
    </row>
    <row r="10" spans="1:16" ht="15" customHeight="1">
      <c r="A10" s="1249" t="s">
        <v>318</v>
      </c>
      <c r="B10" s="1252" t="s">
        <v>286</v>
      </c>
      <c r="C10" s="1252"/>
      <c r="D10" s="1252"/>
      <c r="E10" s="1252"/>
      <c r="F10" s="1253"/>
      <c r="G10" s="1258" t="s">
        <v>319</v>
      </c>
      <c r="H10" s="1260" t="s">
        <v>320</v>
      </c>
      <c r="I10" s="1262" t="s">
        <v>321</v>
      </c>
      <c r="J10" s="1263"/>
      <c r="K10" s="1260" t="s">
        <v>322</v>
      </c>
      <c r="L10" s="365" t="s">
        <v>323</v>
      </c>
      <c r="M10" s="1273" t="s">
        <v>324</v>
      </c>
      <c r="N10" s="1274"/>
      <c r="O10" s="1274"/>
      <c r="P10" s="1275"/>
    </row>
    <row r="11" spans="1:16" ht="15" customHeight="1">
      <c r="A11" s="1250"/>
      <c r="B11" s="1254"/>
      <c r="C11" s="1254"/>
      <c r="D11" s="1254"/>
      <c r="E11" s="1254"/>
      <c r="F11" s="1255"/>
      <c r="G11" s="1258"/>
      <c r="H11" s="1260"/>
      <c r="I11" s="1264"/>
      <c r="J11" s="1263"/>
      <c r="K11" s="1267"/>
      <c r="L11" s="366"/>
      <c r="M11" s="1276"/>
      <c r="N11" s="1277"/>
      <c r="O11" s="1277"/>
      <c r="P11" s="1278"/>
    </row>
    <row r="12" spans="1:16" ht="15" customHeight="1">
      <c r="A12" s="1251"/>
      <c r="B12" s="1256"/>
      <c r="C12" s="1256"/>
      <c r="D12" s="1256"/>
      <c r="E12" s="1256"/>
      <c r="F12" s="1257"/>
      <c r="G12" s="1259"/>
      <c r="H12" s="1261"/>
      <c r="I12" s="1265"/>
      <c r="J12" s="1266"/>
      <c r="K12" s="1268"/>
      <c r="L12" s="365"/>
      <c r="M12" s="1276"/>
      <c r="N12" s="1277"/>
      <c r="O12" s="1277"/>
      <c r="P12" s="1278"/>
    </row>
    <row r="13" spans="1:16" ht="15" customHeight="1">
      <c r="A13" s="367"/>
      <c r="B13" s="1277"/>
      <c r="C13" s="1277"/>
      <c r="D13" s="1277"/>
      <c r="E13" s="1277"/>
      <c r="F13" s="1305"/>
      <c r="G13" s="711"/>
      <c r="H13" s="365"/>
      <c r="I13" s="1243"/>
      <c r="J13" s="1306"/>
      <c r="K13" s="365"/>
      <c r="L13" s="365"/>
      <c r="M13" s="368" t="s">
        <v>325</v>
      </c>
      <c r="N13" s="1307"/>
      <c r="O13" s="1280"/>
      <c r="P13" s="1281"/>
    </row>
    <row r="14" spans="1:16" ht="15" customHeight="1">
      <c r="A14" s="369">
        <f>'Pricing Schedule'!A392</f>
        <v>3.2</v>
      </c>
      <c r="B14" s="1277" t="str">
        <f>'Pricing Schedule'!B392</f>
        <v>PROJECT ASSESSMENT STAGE</v>
      </c>
      <c r="C14" s="1277"/>
      <c r="D14" s="1277"/>
      <c r="E14" s="1277"/>
      <c r="F14" s="1305"/>
      <c r="G14" s="712">
        <f>'Pg 2 Sum Scheduled'!E9</f>
        <v>0</v>
      </c>
      <c r="H14" s="370">
        <f>'Pg 2 Sum Scheduled'!I9</f>
        <v>0</v>
      </c>
      <c r="I14" s="1317">
        <f>'Pg 2 Sum Scheduled'!G9</f>
        <v>0</v>
      </c>
      <c r="J14" s="1318"/>
      <c r="K14" s="371">
        <f>+H14-I14</f>
        <v>0</v>
      </c>
      <c r="L14" s="365" t="str">
        <f>'C3.2'!$N$1</f>
        <v>C3.2</v>
      </c>
      <c r="M14" s="368"/>
      <c r="N14" s="1280"/>
      <c r="O14" s="1280"/>
      <c r="P14" s="372"/>
    </row>
    <row r="15" spans="1:16" ht="15" customHeight="1">
      <c r="A15" s="369"/>
      <c r="B15" s="1277"/>
      <c r="C15" s="1277"/>
      <c r="D15" s="1277"/>
      <c r="E15" s="1277"/>
      <c r="F15" s="1305"/>
      <c r="G15" s="712"/>
      <c r="H15" s="373"/>
      <c r="I15" s="1317"/>
      <c r="J15" s="1318"/>
      <c r="K15" s="374"/>
      <c r="L15" s="365"/>
      <c r="M15" s="368" t="s">
        <v>327</v>
      </c>
      <c r="N15" s="1322"/>
      <c r="O15" s="1280"/>
      <c r="P15" s="1281"/>
    </row>
    <row r="16" spans="1:16" ht="15" customHeight="1">
      <c r="A16" s="369">
        <f>'Pricing Schedule'!A393</f>
        <v>3.3</v>
      </c>
      <c r="B16" s="1277" t="str">
        <f>'Pricing Schedule'!B393</f>
        <v>INVESTIGATIONS FOR DESIGN DEVELOPMENT</v>
      </c>
      <c r="C16" s="1277"/>
      <c r="D16" s="1277"/>
      <c r="E16" s="1277"/>
      <c r="F16" s="1305"/>
      <c r="G16" s="712">
        <f>'Pg 2 Sum Scheduled'!E10</f>
        <v>8950000</v>
      </c>
      <c r="H16" s="370">
        <f>'Pg 2 Sum Scheduled'!I10</f>
        <v>0</v>
      </c>
      <c r="I16" s="1317">
        <f>'Pg 2 Sum Scheduled'!G10</f>
        <v>0</v>
      </c>
      <c r="J16" s="1318"/>
      <c r="K16" s="371">
        <f>H16-I16</f>
        <v>0</v>
      </c>
      <c r="L16" s="365" t="str">
        <f>'C3.3'!$N$1</f>
        <v>C3.3</v>
      </c>
      <c r="M16" s="1319"/>
      <c r="N16" s="1280"/>
      <c r="O16" s="1280"/>
      <c r="P16" s="372"/>
    </row>
    <row r="17" spans="1:16" ht="15" customHeight="1" thickBot="1">
      <c r="A17" s="369"/>
      <c r="B17" s="1277"/>
      <c r="C17" s="1277"/>
      <c r="D17" s="1277"/>
      <c r="E17" s="1277"/>
      <c r="F17" s="1305"/>
      <c r="G17" s="712"/>
      <c r="H17" s="370"/>
      <c r="I17" s="1317"/>
      <c r="J17" s="1318"/>
      <c r="K17" s="375"/>
      <c r="L17" s="365"/>
      <c r="M17" s="1320"/>
      <c r="N17" s="1321"/>
      <c r="O17" s="1321"/>
      <c r="P17" s="376"/>
    </row>
    <row r="18" spans="1:16" ht="15" customHeight="1">
      <c r="A18" s="369">
        <f>'Pricing Schedule'!A394</f>
        <v>3.4</v>
      </c>
      <c r="B18" s="1277" t="str">
        <f>'Pricing Schedule'!B394</f>
        <v>DESIGN DEVELOPMENT STAGE</v>
      </c>
      <c r="C18" s="1277"/>
      <c r="D18" s="1277"/>
      <c r="E18" s="1277"/>
      <c r="F18" s="1305"/>
      <c r="G18" s="712">
        <f>'Pg 2 Sum Scheduled'!E11</f>
        <v>1400000</v>
      </c>
      <c r="H18" s="370">
        <f>'Pg 2 Sum Scheduled'!I11</f>
        <v>0</v>
      </c>
      <c r="I18" s="1317">
        <f>'Pg 2 Sum Scheduled'!G11</f>
        <v>0</v>
      </c>
      <c r="J18" s="1318"/>
      <c r="K18" s="371">
        <f>H18-I18</f>
        <v>0</v>
      </c>
      <c r="L18" s="365" t="str">
        <f>'C3.4'!$N$1</f>
        <v>C3.4</v>
      </c>
      <c r="M18" s="1214" t="s">
        <v>330</v>
      </c>
      <c r="N18" s="1326"/>
      <c r="O18" s="1326"/>
      <c r="P18" s="1327"/>
    </row>
    <row r="19" spans="1:16" ht="15" customHeight="1">
      <c r="A19" s="369"/>
      <c r="B19" s="1277"/>
      <c r="C19" s="1277"/>
      <c r="D19" s="1277"/>
      <c r="E19" s="1277"/>
      <c r="F19" s="1305"/>
      <c r="G19" s="712"/>
      <c r="H19" s="370"/>
      <c r="I19" s="1317"/>
      <c r="J19" s="1318"/>
      <c r="K19" s="371"/>
      <c r="L19" s="365"/>
      <c r="M19" s="1328"/>
      <c r="N19" s="1329"/>
      <c r="O19" s="1329"/>
      <c r="P19" s="1330"/>
    </row>
    <row r="20" spans="1:16" ht="15" customHeight="1">
      <c r="A20" s="369">
        <f>'Pricing Schedule'!A395</f>
        <v>3.5</v>
      </c>
      <c r="B20" s="1277" t="str">
        <f>'Pricing Schedule'!B395</f>
        <v>TENDER DOCUMENTATION</v>
      </c>
      <c r="C20" s="1277"/>
      <c r="D20" s="1277"/>
      <c r="E20" s="1277"/>
      <c r="F20" s="1305"/>
      <c r="G20" s="712">
        <f>'Pg 2 Sum Scheduled'!E12</f>
        <v>0</v>
      </c>
      <c r="H20" s="370">
        <f>'Pg 2 Sum Scheduled'!I12</f>
        <v>0</v>
      </c>
      <c r="I20" s="1317">
        <f>'Pg 2 Sum Scheduled'!G12</f>
        <v>0</v>
      </c>
      <c r="J20" s="1318"/>
      <c r="K20" s="371">
        <f t="shared" ref="K20:K30" si="0">H20-I20</f>
        <v>0</v>
      </c>
      <c r="L20" s="365" t="str">
        <f>'C3.5'!$N$1</f>
        <v>C3.5</v>
      </c>
      <c r="M20" s="1331" t="s">
        <v>599</v>
      </c>
      <c r="N20" s="1233"/>
      <c r="O20" s="1233"/>
      <c r="P20" s="1332"/>
    </row>
    <row r="21" spans="1:16" ht="15" customHeight="1">
      <c r="A21" s="369"/>
      <c r="B21" s="1277"/>
      <c r="C21" s="1277"/>
      <c r="D21" s="1277"/>
      <c r="E21" s="1277"/>
      <c r="F21" s="1305"/>
      <c r="G21" s="712"/>
      <c r="H21" s="370"/>
      <c r="I21" s="1317"/>
      <c r="J21" s="1318"/>
      <c r="K21" s="371"/>
      <c r="L21" s="365"/>
      <c r="M21" s="1333"/>
      <c r="N21" s="1235"/>
      <c r="O21" s="1235"/>
      <c r="P21" s="1334"/>
    </row>
    <row r="22" spans="1:16" ht="15" customHeight="1">
      <c r="A22" s="369">
        <f>'Pricing Schedule'!A396</f>
        <v>3.6</v>
      </c>
      <c r="B22" s="1277" t="str">
        <f>'Pricing Schedule'!B396</f>
        <v>CLARIFICATION MEETING, TENDER PERIOD AND TENDER EVALUATION</v>
      </c>
      <c r="C22" s="1277"/>
      <c r="D22" s="1277"/>
      <c r="E22" s="1277"/>
      <c r="F22" s="1305"/>
      <c r="G22" s="712">
        <f>'Pg 2 Sum Scheduled'!E13</f>
        <v>20000</v>
      </c>
      <c r="H22" s="370">
        <f>'Pg 2 Sum Scheduled'!I13</f>
        <v>0</v>
      </c>
      <c r="I22" s="1317">
        <f>'Pg 2 Sum Scheduled'!G13</f>
        <v>0</v>
      </c>
      <c r="J22" s="1318"/>
      <c r="K22" s="371">
        <f t="shared" si="0"/>
        <v>0</v>
      </c>
      <c r="L22" s="365" t="str">
        <f>'C3.6'!$N$1</f>
        <v>C3.6</v>
      </c>
      <c r="M22" s="1323"/>
      <c r="N22" s="1324"/>
      <c r="O22" s="1324"/>
      <c r="P22" s="1325"/>
    </row>
    <row r="23" spans="1:16" ht="15" customHeight="1">
      <c r="A23" s="369"/>
      <c r="B23" s="1277"/>
      <c r="C23" s="1277"/>
      <c r="D23" s="1277"/>
      <c r="E23" s="1277"/>
      <c r="F23" s="1305"/>
      <c r="G23" s="712"/>
      <c r="H23" s="370"/>
      <c r="I23" s="1317"/>
      <c r="J23" s="1318"/>
      <c r="K23" s="371"/>
      <c r="L23" s="365"/>
      <c r="M23" s="1276" t="s">
        <v>333</v>
      </c>
      <c r="N23" s="1277"/>
      <c r="O23" s="1277" t="s">
        <v>333</v>
      </c>
      <c r="P23" s="1278"/>
    </row>
    <row r="24" spans="1:16" ht="15" customHeight="1">
      <c r="A24" s="369">
        <f>'Pricing Schedule'!A397</f>
        <v>3.7</v>
      </c>
      <c r="B24" s="1277" t="str">
        <f>'Pricing Schedule'!B397</f>
        <v>ADMINISTRATION AND MONITORING OF THE WORKS CONTRACT</v>
      </c>
      <c r="C24" s="1277"/>
      <c r="D24" s="1277"/>
      <c r="E24" s="1277"/>
      <c r="F24" s="1305"/>
      <c r="G24" s="712">
        <f>'Pg 2 Sum Scheduled'!E14</f>
        <v>16130000</v>
      </c>
      <c r="H24" s="370">
        <f>'Pg 2 Sum Scheduled'!I14</f>
        <v>0</v>
      </c>
      <c r="I24" s="1317">
        <f>'Pg 2 Sum Scheduled'!G14</f>
        <v>0</v>
      </c>
      <c r="J24" s="1318"/>
      <c r="K24" s="371">
        <f t="shared" si="0"/>
        <v>0</v>
      </c>
      <c r="L24" s="365" t="str">
        <f>'C3.7'!$N$1</f>
        <v>C3.7</v>
      </c>
      <c r="M24" s="1335" t="s">
        <v>335</v>
      </c>
      <c r="N24" s="1336"/>
      <c r="O24" s="1336" t="s">
        <v>336</v>
      </c>
      <c r="P24" s="1337"/>
    </row>
    <row r="25" spans="1:16" ht="15" customHeight="1">
      <c r="A25" s="369"/>
      <c r="B25" s="1277"/>
      <c r="C25" s="1277"/>
      <c r="D25" s="1277"/>
      <c r="E25" s="1277"/>
      <c r="F25" s="1305"/>
      <c r="G25" s="712"/>
      <c r="H25" s="370"/>
      <c r="I25" s="1317"/>
      <c r="J25" s="1318"/>
      <c r="K25" s="371"/>
      <c r="L25" s="365"/>
      <c r="M25" s="1338" t="s">
        <v>598</v>
      </c>
      <c r="N25" s="1339"/>
      <c r="O25" s="1339"/>
      <c r="P25" s="1340"/>
    </row>
    <row r="26" spans="1:16" ht="15" customHeight="1">
      <c r="A26" s="369">
        <f>'Pricing Schedule'!A398</f>
        <v>3.8</v>
      </c>
      <c r="B26" s="1277" t="str">
        <f>'Pricing Schedule'!B398</f>
        <v>ADDITIONAL DUTIES, SPECIAL SERVICES AND SPECIALIST ADVICE</v>
      </c>
      <c r="C26" s="1277"/>
      <c r="D26" s="1277"/>
      <c r="E26" s="1277"/>
      <c r="F26" s="1305"/>
      <c r="G26" s="712">
        <f>'Pg 2 Sum Scheduled'!E15</f>
        <v>1840630</v>
      </c>
      <c r="H26" s="370">
        <f>'Pg 2 Sum Scheduled'!I15</f>
        <v>0</v>
      </c>
      <c r="I26" s="1317">
        <f>'Pg 2 Sum Scheduled'!G15</f>
        <v>0</v>
      </c>
      <c r="J26" s="1318"/>
      <c r="K26" s="371">
        <f t="shared" si="0"/>
        <v>0</v>
      </c>
      <c r="L26" s="365" t="str">
        <f>'C3.8'!$N$1</f>
        <v>C3.8</v>
      </c>
      <c r="M26" s="1341"/>
      <c r="N26" s="1342"/>
      <c r="O26" s="1342"/>
      <c r="P26" s="1343"/>
    </row>
    <row r="27" spans="1:16" ht="15" customHeight="1">
      <c r="A27" s="369"/>
      <c r="B27" s="1277"/>
      <c r="C27" s="1277"/>
      <c r="D27" s="1277"/>
      <c r="E27" s="1277"/>
      <c r="F27" s="1305"/>
      <c r="G27" s="712"/>
      <c r="H27" s="370"/>
      <c r="I27" s="1317"/>
      <c r="J27" s="1318"/>
      <c r="K27" s="371"/>
      <c r="L27" s="365"/>
      <c r="M27" s="1319"/>
      <c r="N27" s="1280"/>
      <c r="O27" s="1244"/>
      <c r="P27" s="1245"/>
    </row>
    <row r="28" spans="1:16" ht="15" customHeight="1">
      <c r="A28" s="369">
        <f>'Pricing Schedule'!A399</f>
        <v>3.9</v>
      </c>
      <c r="B28" s="1277" t="str">
        <f>'Pricing Schedule'!B399</f>
        <v>QUALITY CONTROL: WORKS CONTRACT</v>
      </c>
      <c r="C28" s="1277"/>
      <c r="D28" s="1277"/>
      <c r="E28" s="1277"/>
      <c r="F28" s="1305"/>
      <c r="G28" s="712">
        <f>'Pg 2 Sum Scheduled'!E16</f>
        <v>18250000</v>
      </c>
      <c r="H28" s="370">
        <f>'Pg 2 Sum Scheduled'!I16</f>
        <v>0</v>
      </c>
      <c r="I28" s="1317">
        <f>'Pg 2 Sum Scheduled'!G16</f>
        <v>0</v>
      </c>
      <c r="J28" s="1318"/>
      <c r="K28" s="371">
        <f t="shared" si="0"/>
        <v>0</v>
      </c>
      <c r="L28" s="365" t="str">
        <f>'C3.9'!$N$1</f>
        <v>C3.9</v>
      </c>
      <c r="M28" s="1276" t="s">
        <v>333</v>
      </c>
      <c r="N28" s="1277"/>
      <c r="O28" s="1277" t="s">
        <v>333</v>
      </c>
      <c r="P28" s="1278"/>
    </row>
    <row r="29" spans="1:16" ht="15" customHeight="1">
      <c r="A29" s="369"/>
      <c r="B29" s="1349"/>
      <c r="C29" s="1350"/>
      <c r="D29" s="1350"/>
      <c r="E29" s="1350"/>
      <c r="F29" s="1351"/>
      <c r="G29" s="712"/>
      <c r="H29" s="370"/>
      <c r="I29" s="1317"/>
      <c r="J29" s="1318"/>
      <c r="K29" s="371"/>
      <c r="L29" s="365"/>
      <c r="M29" s="1352" t="s">
        <v>600</v>
      </c>
      <c r="N29" s="1353"/>
      <c r="O29" s="1336" t="s">
        <v>336</v>
      </c>
      <c r="P29" s="1337"/>
    </row>
    <row r="30" spans="1:16" ht="15" customHeight="1">
      <c r="A30" s="702">
        <f>'Pricing Schedule'!A400</f>
        <v>3.1</v>
      </c>
      <c r="B30" s="1277" t="str">
        <f>'Pricing Schedule'!B400</f>
        <v>CLOSE OUT</v>
      </c>
      <c r="C30" s="1277"/>
      <c r="D30" s="1277"/>
      <c r="E30" s="1277"/>
      <c r="F30" s="1305"/>
      <c r="G30" s="712">
        <f>'Pg 2 Sum Scheduled'!E17</f>
        <v>0</v>
      </c>
      <c r="H30" s="370">
        <f>'Pg 2 Sum Scheduled'!I17</f>
        <v>0</v>
      </c>
      <c r="I30" s="1317">
        <f>'Pg 2 Sum Scheduled'!G17</f>
        <v>0</v>
      </c>
      <c r="J30" s="1318"/>
      <c r="K30" s="371">
        <f t="shared" si="0"/>
        <v>0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349"/>
      <c r="C31" s="1350"/>
      <c r="D31" s="1350"/>
      <c r="E31" s="1350"/>
      <c r="F31" s="1351"/>
      <c r="G31" s="712"/>
      <c r="H31" s="370"/>
      <c r="I31" s="1317"/>
      <c r="J31" s="1318"/>
      <c r="K31" s="375"/>
      <c r="L31" s="365"/>
      <c r="M31" s="904" t="s">
        <v>333</v>
      </c>
      <c r="N31" s="711"/>
      <c r="O31" s="711" t="s">
        <v>342</v>
      </c>
      <c r="P31" s="907"/>
    </row>
    <row r="32" spans="1:16" ht="15" customHeight="1">
      <c r="A32" s="369" t="s">
        <v>339</v>
      </c>
      <c r="B32" s="1349" t="s">
        <v>340</v>
      </c>
      <c r="C32" s="1350"/>
      <c r="D32" s="1350"/>
      <c r="E32" s="1350"/>
      <c r="F32" s="1351"/>
      <c r="G32" s="712"/>
      <c r="H32" s="370">
        <f>'Pg 1 Payment'!L17</f>
        <v>0</v>
      </c>
      <c r="I32" s="1354">
        <f>DATA!O52</f>
        <v>0</v>
      </c>
      <c r="J32" s="1355"/>
      <c r="K32" s="371">
        <f t="shared" ref="K32:K34" si="1">H32-I32</f>
        <v>0</v>
      </c>
      <c r="L32" s="365" t="s">
        <v>341</v>
      </c>
      <c r="M32" s="380" t="s">
        <v>343</v>
      </c>
      <c r="N32" s="381"/>
      <c r="O32" s="381" t="s">
        <v>336</v>
      </c>
      <c r="P32" s="382"/>
    </row>
    <row r="33" spans="1:16" ht="15" customHeight="1">
      <c r="A33" s="369"/>
      <c r="B33" s="1349"/>
      <c r="C33" s="1350"/>
      <c r="D33" s="1350"/>
      <c r="E33" s="1350"/>
      <c r="F33" s="1351"/>
      <c r="G33" s="712"/>
      <c r="H33" s="370"/>
      <c r="I33" s="1317"/>
      <c r="J33" s="1318"/>
      <c r="K33" s="375"/>
      <c r="L33" s="365"/>
      <c r="M33" s="1338" t="s">
        <v>344</v>
      </c>
      <c r="N33" s="1344"/>
      <c r="O33" s="1344"/>
      <c r="P33" s="1345"/>
    </row>
    <row r="34" spans="1:16" ht="15" customHeight="1">
      <c r="A34" s="369" t="s">
        <v>843</v>
      </c>
      <c r="B34" s="1349" t="s">
        <v>843</v>
      </c>
      <c r="C34" s="1350"/>
      <c r="D34" s="1350"/>
      <c r="E34" s="1350"/>
      <c r="F34" s="1351"/>
      <c r="G34" s="712"/>
      <c r="H34" s="370">
        <f>SUM('Pg 1 Payment'!L13:L14)</f>
        <v>0</v>
      </c>
      <c r="I34" s="1354">
        <f>DATA!GN52</f>
        <v>0</v>
      </c>
      <c r="J34" s="1355"/>
      <c r="K34" s="371">
        <f t="shared" si="1"/>
        <v>0</v>
      </c>
      <c r="L34" s="366" t="s">
        <v>844</v>
      </c>
      <c r="M34" s="1346"/>
      <c r="N34" s="1347"/>
      <c r="O34" s="1347"/>
      <c r="P34" s="1348"/>
    </row>
    <row r="35" spans="1:16" ht="15" customHeight="1">
      <c r="A35" s="369"/>
      <c r="B35" s="1349"/>
      <c r="C35" s="1350"/>
      <c r="D35" s="1350"/>
      <c r="E35" s="1350"/>
      <c r="F35" s="1351"/>
      <c r="G35" s="712"/>
      <c r="H35" s="370"/>
      <c r="I35" s="1317"/>
      <c r="J35" s="1318"/>
      <c r="K35" s="371"/>
      <c r="L35" s="366"/>
      <c r="M35" s="905"/>
      <c r="N35" s="906"/>
      <c r="O35" s="906"/>
      <c r="P35" s="912"/>
    </row>
    <row r="36" spans="1:16" ht="15" customHeight="1">
      <c r="A36" s="369" t="s">
        <v>845</v>
      </c>
      <c r="B36" s="1349" t="s">
        <v>846</v>
      </c>
      <c r="C36" s="1350"/>
      <c r="D36" s="1350"/>
      <c r="E36" s="1350"/>
      <c r="F36" s="1351"/>
      <c r="G36" s="712"/>
      <c r="H36" s="370">
        <f>'Pg 1 Payment'!L23*-1</f>
        <v>0</v>
      </c>
      <c r="I36" s="1354">
        <f>DATA!GO52</f>
        <v>0</v>
      </c>
      <c r="J36" s="1355"/>
      <c r="K36" s="371">
        <f>(H36-I36)</f>
        <v>0</v>
      </c>
      <c r="L36" s="366" t="s">
        <v>847</v>
      </c>
      <c r="M36" s="905"/>
      <c r="N36" s="906"/>
      <c r="O36" s="906"/>
      <c r="P36" s="912"/>
    </row>
    <row r="37" spans="1:16" ht="15" customHeight="1">
      <c r="A37" s="369"/>
      <c r="B37" s="1349"/>
      <c r="C37" s="1350"/>
      <c r="D37" s="1350"/>
      <c r="E37" s="1350"/>
      <c r="F37" s="1351"/>
      <c r="G37" s="712"/>
      <c r="H37" s="373"/>
      <c r="I37" s="1317"/>
      <c r="J37" s="1318"/>
      <c r="K37" s="375"/>
      <c r="L37" s="366"/>
      <c r="M37" s="904" t="s">
        <v>333</v>
      </c>
      <c r="N37" s="711"/>
      <c r="O37" s="711" t="s">
        <v>342</v>
      </c>
      <c r="P37" s="907"/>
    </row>
    <row r="38" spans="1:16" ht="15" customHeight="1">
      <c r="A38" s="911" t="s">
        <v>848</v>
      </c>
      <c r="B38" s="1277" t="s">
        <v>345</v>
      </c>
      <c r="C38" s="1350"/>
      <c r="D38" s="1350"/>
      <c r="E38" s="1350"/>
      <c r="F38" s="1351"/>
      <c r="G38" s="713"/>
      <c r="H38" s="370">
        <f>'Pg 1 Payment'!L20*-1</f>
        <v>0</v>
      </c>
      <c r="I38" s="1356">
        <f>DATA!P56</f>
        <v>0</v>
      </c>
      <c r="J38" s="1357"/>
      <c r="K38" s="371">
        <f>(H38-I38)</f>
        <v>0</v>
      </c>
      <c r="L38" s="366" t="s">
        <v>844</v>
      </c>
      <c r="M38" s="380" t="s">
        <v>343</v>
      </c>
      <c r="N38" s="381"/>
      <c r="O38" s="381" t="s">
        <v>336</v>
      </c>
      <c r="P38" s="382"/>
    </row>
    <row r="39" spans="1:16" ht="15" customHeight="1">
      <c r="A39" s="383"/>
      <c r="B39" s="1368"/>
      <c r="C39" s="1368"/>
      <c r="D39" s="1368"/>
      <c r="E39" s="1368"/>
      <c r="F39" s="1369"/>
      <c r="G39" s="714"/>
      <c r="H39" s="384"/>
      <c r="I39" s="1370"/>
      <c r="J39" s="1371"/>
      <c r="K39" s="385"/>
      <c r="L39" s="366"/>
      <c r="M39" s="386"/>
      <c r="N39" s="387"/>
      <c r="O39" s="387"/>
      <c r="P39" s="388"/>
    </row>
    <row r="40" spans="1:16" ht="15" customHeight="1">
      <c r="A40" s="1360" t="s">
        <v>346</v>
      </c>
      <c r="B40" s="1350"/>
      <c r="C40" s="1350"/>
      <c r="D40" s="1350"/>
      <c r="E40" s="1350"/>
      <c r="F40" s="1351"/>
      <c r="G40" s="1362">
        <f>SUM(G14:G38)</f>
        <v>46590630</v>
      </c>
      <c r="H40" s="1358">
        <f>SUM(H13:H39)</f>
        <v>0</v>
      </c>
      <c r="I40" s="1364">
        <f>SUM(I13:J39)</f>
        <v>0</v>
      </c>
      <c r="J40" s="1365"/>
      <c r="K40" s="1358">
        <f>+H40-I40</f>
        <v>0</v>
      </c>
      <c r="L40" s="366"/>
      <c r="M40" s="368"/>
      <c r="P40" s="372"/>
    </row>
    <row r="41" spans="1:16" ht="15" customHeight="1">
      <c r="A41" s="1361"/>
      <c r="B41" s="1350"/>
      <c r="C41" s="1350"/>
      <c r="D41" s="1350"/>
      <c r="E41" s="1350"/>
      <c r="F41" s="1351"/>
      <c r="G41" s="1363"/>
      <c r="H41" s="1359"/>
      <c r="I41" s="1366"/>
      <c r="J41" s="1367"/>
      <c r="K41" s="1359"/>
      <c r="L41" s="366"/>
      <c r="M41" s="904" t="s">
        <v>333</v>
      </c>
      <c r="N41" s="711"/>
      <c r="O41" s="711" t="s">
        <v>342</v>
      </c>
      <c r="P41" s="907"/>
    </row>
    <row r="42" spans="1:16" ht="15" customHeight="1" thickBot="1">
      <c r="A42" s="1360" t="str">
        <f>"VAT (" &amp; DATA!$C$1032*100 &amp;"%)"</f>
        <v>VAT (15%)</v>
      </c>
      <c r="B42" s="1350"/>
      <c r="C42" s="1350"/>
      <c r="D42" s="1350"/>
      <c r="E42" s="1350"/>
      <c r="F42" s="1351"/>
      <c r="G42" s="1362">
        <f>+G40*DATA!$C$1032</f>
        <v>6988594.5</v>
      </c>
      <c r="H42" s="1358">
        <f>DATA!$C$1032*H40</f>
        <v>0</v>
      </c>
      <c r="I42" s="1364">
        <f>DATA!$C$1032*I40</f>
        <v>0</v>
      </c>
      <c r="J42" s="1365"/>
      <c r="K42" s="1358">
        <f>DATA!$C$1032*K40</f>
        <v>0</v>
      </c>
      <c r="L42" s="366"/>
      <c r="M42" s="704" t="s">
        <v>348</v>
      </c>
      <c r="N42" s="705"/>
      <c r="O42" s="705" t="s">
        <v>336</v>
      </c>
      <c r="P42" s="706"/>
    </row>
    <row r="43" spans="1:16" ht="15" customHeight="1" thickBot="1">
      <c r="A43" s="1361"/>
      <c r="B43" s="1350"/>
      <c r="C43" s="1350"/>
      <c r="D43" s="1350"/>
      <c r="E43" s="1350"/>
      <c r="F43" s="1351"/>
      <c r="G43" s="1363"/>
      <c r="H43" s="1359"/>
      <c r="I43" s="1366"/>
      <c r="J43" s="1367"/>
      <c r="K43" s="1359"/>
      <c r="L43" s="366"/>
    </row>
    <row r="44" spans="1:16" ht="15" customHeight="1">
      <c r="A44" s="1360" t="s">
        <v>347</v>
      </c>
      <c r="B44" s="1350"/>
      <c r="C44" s="1350"/>
      <c r="D44" s="1350"/>
      <c r="E44" s="1350"/>
      <c r="F44" s="1351"/>
      <c r="G44" s="1362">
        <f>+G42+G40</f>
        <v>53579224.5</v>
      </c>
      <c r="H44" s="1358">
        <f>H40+H42</f>
        <v>0</v>
      </c>
      <c r="I44" s="1364">
        <f>I40+I42</f>
        <v>0</v>
      </c>
      <c r="J44" s="1365"/>
      <c r="K44" s="1358">
        <f>ROUND((K40+K42),2)</f>
        <v>0</v>
      </c>
      <c r="L44" s="366"/>
      <c r="M44" s="390"/>
      <c r="N44" s="391"/>
      <c r="O44" s="391"/>
      <c r="P44" s="392"/>
    </row>
    <row r="45" spans="1:16" ht="15" customHeight="1" thickBot="1">
      <c r="A45" s="1361"/>
      <c r="B45" s="1350"/>
      <c r="C45" s="1350"/>
      <c r="D45" s="1350"/>
      <c r="E45" s="1350"/>
      <c r="F45" s="1351"/>
      <c r="G45" s="1363"/>
      <c r="H45" s="1359"/>
      <c r="I45" s="1366"/>
      <c r="J45" s="1367"/>
      <c r="K45" s="1377"/>
      <c r="L45" s="366"/>
      <c r="M45" s="368"/>
      <c r="P45" s="372"/>
    </row>
    <row r="46" spans="1:16" ht="15" customHeight="1" thickTop="1">
      <c r="A46" s="1360" t="s">
        <v>349</v>
      </c>
      <c r="B46" s="1350"/>
      <c r="C46" s="1350"/>
      <c r="D46" s="1350"/>
      <c r="E46" s="1350"/>
      <c r="F46" s="1350"/>
      <c r="G46" s="1350"/>
      <c r="H46" s="1350"/>
      <c r="I46" s="1350"/>
      <c r="J46" s="1378"/>
      <c r="K46" s="1379">
        <f>K44</f>
        <v>0</v>
      </c>
      <c r="L46" s="389"/>
      <c r="M46" s="368"/>
      <c r="P46" s="372"/>
    </row>
    <row r="47" spans="1:16" ht="15" customHeight="1" thickBot="1">
      <c r="A47" s="1361"/>
      <c r="B47" s="1350"/>
      <c r="C47" s="1350"/>
      <c r="D47" s="1350"/>
      <c r="E47" s="1350"/>
      <c r="F47" s="1350"/>
      <c r="G47" s="1350"/>
      <c r="H47" s="1350"/>
      <c r="I47" s="1350"/>
      <c r="J47" s="1378"/>
      <c r="K47" s="1380"/>
      <c r="M47" s="904"/>
      <c r="N47" s="711"/>
      <c r="O47" s="711"/>
      <c r="P47" s="907"/>
    </row>
    <row r="48" spans="1:16" ht="15" customHeight="1" thickTop="1">
      <c r="A48" s="1360" t="s">
        <v>350</v>
      </c>
      <c r="B48" s="1350"/>
      <c r="C48" s="1350"/>
      <c r="D48" s="1350"/>
      <c r="E48" s="1350"/>
      <c r="F48" s="1350"/>
      <c r="G48" s="1350"/>
      <c r="H48" s="1350"/>
      <c r="I48" s="1350"/>
      <c r="J48" s="1351"/>
      <c r="K48" s="1375">
        <f>VLOOKUP(DATA!C301,'F1 Forecast Consultant'!$A$20:$F$123,5,FALSE)</f>
        <v>0</v>
      </c>
      <c r="M48" s="1276" t="s">
        <v>351</v>
      </c>
      <c r="N48" s="1277"/>
      <c r="O48" s="711" t="s">
        <v>352</v>
      </c>
      <c r="P48" s="372"/>
    </row>
    <row r="49" spans="1:16" ht="15" customHeight="1" thickBot="1">
      <c r="A49" s="1372"/>
      <c r="B49" s="1373"/>
      <c r="C49" s="1373"/>
      <c r="D49" s="1373"/>
      <c r="E49" s="1373"/>
      <c r="F49" s="1373"/>
      <c r="G49" s="1373"/>
      <c r="H49" s="1373"/>
      <c r="I49" s="1373"/>
      <c r="J49" s="1374"/>
      <c r="K49" s="1376"/>
      <c r="L49" s="393"/>
      <c r="M49" s="703" t="s">
        <v>353</v>
      </c>
      <c r="N49" s="394"/>
      <c r="O49" s="394" t="s">
        <v>354</v>
      </c>
      <c r="P49" s="395"/>
    </row>
    <row r="54" spans="1:16" ht="15" customHeight="1">
      <c r="K54" s="396"/>
    </row>
  </sheetData>
  <mergeCells count="129"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182880</xdr:colOff>
                    <xdr:row>0</xdr:row>
                    <xdr:rowOff>152400</xdr:rowOff>
                  </from>
                  <to>
                    <xdr:col>20</xdr:col>
                    <xdr:colOff>220980</xdr:colOff>
                    <xdr:row>2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workbookViewId="0"/>
  </sheetViews>
  <sheetFormatPr defaultColWidth="12.5546875" defaultRowHeight="15"/>
  <cols>
    <col min="1" max="1" width="8.44140625" style="397" customWidth="1"/>
    <col min="2" max="2" width="20.109375" style="397" customWidth="1"/>
    <col min="3" max="3" width="20" style="397" customWidth="1"/>
    <col min="4" max="4" width="10.88671875" style="397" customWidth="1"/>
    <col min="5" max="5" width="3.6640625" style="397" customWidth="1"/>
    <col min="6" max="6" width="7.6640625" style="397" customWidth="1"/>
    <col min="7" max="11" width="16.88671875" style="397" customWidth="1"/>
    <col min="12" max="12" width="18.33203125" style="397" customWidth="1"/>
    <col min="13" max="13" width="4.6640625" style="397" customWidth="1"/>
    <col min="14" max="14" width="26.5546875" style="397" customWidth="1"/>
    <col min="15" max="256" width="12.5546875" style="397"/>
    <col min="257" max="257" width="8.44140625" style="397" customWidth="1"/>
    <col min="258" max="258" width="20.109375" style="397" customWidth="1"/>
    <col min="259" max="259" width="20" style="397" customWidth="1"/>
    <col min="260" max="260" width="10.88671875" style="397" customWidth="1"/>
    <col min="261" max="261" width="3.6640625" style="397" customWidth="1"/>
    <col min="262" max="262" width="7.6640625" style="397" customWidth="1"/>
    <col min="263" max="267" width="16.88671875" style="397" customWidth="1"/>
    <col min="268" max="268" width="18.33203125" style="397" customWidth="1"/>
    <col min="269" max="269" width="4.6640625" style="397" customWidth="1"/>
    <col min="270" max="270" width="26.5546875" style="397" customWidth="1"/>
    <col min="271" max="512" width="12.5546875" style="397"/>
    <col min="513" max="513" width="8.44140625" style="397" customWidth="1"/>
    <col min="514" max="514" width="20.109375" style="397" customWidth="1"/>
    <col min="515" max="515" width="20" style="397" customWidth="1"/>
    <col min="516" max="516" width="10.88671875" style="397" customWidth="1"/>
    <col min="517" max="517" width="3.6640625" style="397" customWidth="1"/>
    <col min="518" max="518" width="7.6640625" style="397" customWidth="1"/>
    <col min="519" max="523" width="16.88671875" style="397" customWidth="1"/>
    <col min="524" max="524" width="18.33203125" style="397" customWidth="1"/>
    <col min="525" max="525" width="4.6640625" style="397" customWidth="1"/>
    <col min="526" max="526" width="26.5546875" style="397" customWidth="1"/>
    <col min="527" max="768" width="12.5546875" style="397"/>
    <col min="769" max="769" width="8.44140625" style="397" customWidth="1"/>
    <col min="770" max="770" width="20.109375" style="397" customWidth="1"/>
    <col min="771" max="771" width="20" style="397" customWidth="1"/>
    <col min="772" max="772" width="10.88671875" style="397" customWidth="1"/>
    <col min="773" max="773" width="3.6640625" style="397" customWidth="1"/>
    <col min="774" max="774" width="7.6640625" style="397" customWidth="1"/>
    <col min="775" max="779" width="16.88671875" style="397" customWidth="1"/>
    <col min="780" max="780" width="18.33203125" style="397" customWidth="1"/>
    <col min="781" max="781" width="4.6640625" style="397" customWidth="1"/>
    <col min="782" max="782" width="26.5546875" style="397" customWidth="1"/>
    <col min="783" max="1024" width="12.5546875" style="397"/>
    <col min="1025" max="1025" width="8.44140625" style="397" customWidth="1"/>
    <col min="1026" max="1026" width="20.109375" style="397" customWidth="1"/>
    <col min="1027" max="1027" width="20" style="397" customWidth="1"/>
    <col min="1028" max="1028" width="10.88671875" style="397" customWidth="1"/>
    <col min="1029" max="1029" width="3.6640625" style="397" customWidth="1"/>
    <col min="1030" max="1030" width="7.6640625" style="397" customWidth="1"/>
    <col min="1031" max="1035" width="16.88671875" style="397" customWidth="1"/>
    <col min="1036" max="1036" width="18.33203125" style="397" customWidth="1"/>
    <col min="1037" max="1037" width="4.6640625" style="397" customWidth="1"/>
    <col min="1038" max="1038" width="26.5546875" style="397" customWidth="1"/>
    <col min="1039" max="1280" width="12.5546875" style="397"/>
    <col min="1281" max="1281" width="8.44140625" style="397" customWidth="1"/>
    <col min="1282" max="1282" width="20.109375" style="397" customWidth="1"/>
    <col min="1283" max="1283" width="20" style="397" customWidth="1"/>
    <col min="1284" max="1284" width="10.88671875" style="397" customWidth="1"/>
    <col min="1285" max="1285" width="3.6640625" style="397" customWidth="1"/>
    <col min="1286" max="1286" width="7.6640625" style="397" customWidth="1"/>
    <col min="1287" max="1291" width="16.88671875" style="397" customWidth="1"/>
    <col min="1292" max="1292" width="18.33203125" style="397" customWidth="1"/>
    <col min="1293" max="1293" width="4.6640625" style="397" customWidth="1"/>
    <col min="1294" max="1294" width="26.5546875" style="397" customWidth="1"/>
    <col min="1295" max="1536" width="12.5546875" style="397"/>
    <col min="1537" max="1537" width="8.44140625" style="397" customWidth="1"/>
    <col min="1538" max="1538" width="20.109375" style="397" customWidth="1"/>
    <col min="1539" max="1539" width="20" style="397" customWidth="1"/>
    <col min="1540" max="1540" width="10.88671875" style="397" customWidth="1"/>
    <col min="1541" max="1541" width="3.6640625" style="397" customWidth="1"/>
    <col min="1542" max="1542" width="7.6640625" style="397" customWidth="1"/>
    <col min="1543" max="1547" width="16.88671875" style="397" customWidth="1"/>
    <col min="1548" max="1548" width="18.33203125" style="397" customWidth="1"/>
    <col min="1549" max="1549" width="4.6640625" style="397" customWidth="1"/>
    <col min="1550" max="1550" width="26.5546875" style="397" customWidth="1"/>
    <col min="1551" max="1792" width="12.5546875" style="397"/>
    <col min="1793" max="1793" width="8.44140625" style="397" customWidth="1"/>
    <col min="1794" max="1794" width="20.109375" style="397" customWidth="1"/>
    <col min="1795" max="1795" width="20" style="397" customWidth="1"/>
    <col min="1796" max="1796" width="10.88671875" style="397" customWidth="1"/>
    <col min="1797" max="1797" width="3.6640625" style="397" customWidth="1"/>
    <col min="1798" max="1798" width="7.6640625" style="397" customWidth="1"/>
    <col min="1799" max="1803" width="16.88671875" style="397" customWidth="1"/>
    <col min="1804" max="1804" width="18.33203125" style="397" customWidth="1"/>
    <col min="1805" max="1805" width="4.6640625" style="397" customWidth="1"/>
    <col min="1806" max="1806" width="26.5546875" style="397" customWidth="1"/>
    <col min="1807" max="2048" width="12.5546875" style="397"/>
    <col min="2049" max="2049" width="8.44140625" style="397" customWidth="1"/>
    <col min="2050" max="2050" width="20.109375" style="397" customWidth="1"/>
    <col min="2051" max="2051" width="20" style="397" customWidth="1"/>
    <col min="2052" max="2052" width="10.88671875" style="397" customWidth="1"/>
    <col min="2053" max="2053" width="3.6640625" style="397" customWidth="1"/>
    <col min="2054" max="2054" width="7.6640625" style="397" customWidth="1"/>
    <col min="2055" max="2059" width="16.88671875" style="397" customWidth="1"/>
    <col min="2060" max="2060" width="18.33203125" style="397" customWidth="1"/>
    <col min="2061" max="2061" width="4.6640625" style="397" customWidth="1"/>
    <col min="2062" max="2062" width="26.5546875" style="397" customWidth="1"/>
    <col min="2063" max="2304" width="12.5546875" style="397"/>
    <col min="2305" max="2305" width="8.44140625" style="397" customWidth="1"/>
    <col min="2306" max="2306" width="20.109375" style="397" customWidth="1"/>
    <col min="2307" max="2307" width="20" style="397" customWidth="1"/>
    <col min="2308" max="2308" width="10.88671875" style="397" customWidth="1"/>
    <col min="2309" max="2309" width="3.6640625" style="397" customWidth="1"/>
    <col min="2310" max="2310" width="7.6640625" style="397" customWidth="1"/>
    <col min="2311" max="2315" width="16.88671875" style="397" customWidth="1"/>
    <col min="2316" max="2316" width="18.33203125" style="397" customWidth="1"/>
    <col min="2317" max="2317" width="4.6640625" style="397" customWidth="1"/>
    <col min="2318" max="2318" width="26.5546875" style="397" customWidth="1"/>
    <col min="2319" max="2560" width="12.5546875" style="397"/>
    <col min="2561" max="2561" width="8.44140625" style="397" customWidth="1"/>
    <col min="2562" max="2562" width="20.109375" style="397" customWidth="1"/>
    <col min="2563" max="2563" width="20" style="397" customWidth="1"/>
    <col min="2564" max="2564" width="10.88671875" style="397" customWidth="1"/>
    <col min="2565" max="2565" width="3.6640625" style="397" customWidth="1"/>
    <col min="2566" max="2566" width="7.6640625" style="397" customWidth="1"/>
    <col min="2567" max="2571" width="16.88671875" style="397" customWidth="1"/>
    <col min="2572" max="2572" width="18.33203125" style="397" customWidth="1"/>
    <col min="2573" max="2573" width="4.6640625" style="397" customWidth="1"/>
    <col min="2574" max="2574" width="26.5546875" style="397" customWidth="1"/>
    <col min="2575" max="2816" width="12.5546875" style="397"/>
    <col min="2817" max="2817" width="8.44140625" style="397" customWidth="1"/>
    <col min="2818" max="2818" width="20.109375" style="397" customWidth="1"/>
    <col min="2819" max="2819" width="20" style="397" customWidth="1"/>
    <col min="2820" max="2820" width="10.88671875" style="397" customWidth="1"/>
    <col min="2821" max="2821" width="3.6640625" style="397" customWidth="1"/>
    <col min="2822" max="2822" width="7.6640625" style="397" customWidth="1"/>
    <col min="2823" max="2827" width="16.88671875" style="397" customWidth="1"/>
    <col min="2828" max="2828" width="18.33203125" style="397" customWidth="1"/>
    <col min="2829" max="2829" width="4.6640625" style="397" customWidth="1"/>
    <col min="2830" max="2830" width="26.5546875" style="397" customWidth="1"/>
    <col min="2831" max="3072" width="12.5546875" style="397"/>
    <col min="3073" max="3073" width="8.44140625" style="397" customWidth="1"/>
    <col min="3074" max="3074" width="20.109375" style="397" customWidth="1"/>
    <col min="3075" max="3075" width="20" style="397" customWidth="1"/>
    <col min="3076" max="3076" width="10.88671875" style="397" customWidth="1"/>
    <col min="3077" max="3077" width="3.6640625" style="397" customWidth="1"/>
    <col min="3078" max="3078" width="7.6640625" style="397" customWidth="1"/>
    <col min="3079" max="3083" width="16.88671875" style="397" customWidth="1"/>
    <col min="3084" max="3084" width="18.33203125" style="397" customWidth="1"/>
    <col min="3085" max="3085" width="4.6640625" style="397" customWidth="1"/>
    <col min="3086" max="3086" width="26.5546875" style="397" customWidth="1"/>
    <col min="3087" max="3328" width="12.5546875" style="397"/>
    <col min="3329" max="3329" width="8.44140625" style="397" customWidth="1"/>
    <col min="3330" max="3330" width="20.109375" style="397" customWidth="1"/>
    <col min="3331" max="3331" width="20" style="397" customWidth="1"/>
    <col min="3332" max="3332" width="10.88671875" style="397" customWidth="1"/>
    <col min="3333" max="3333" width="3.6640625" style="397" customWidth="1"/>
    <col min="3334" max="3334" width="7.6640625" style="397" customWidth="1"/>
    <col min="3335" max="3339" width="16.88671875" style="397" customWidth="1"/>
    <col min="3340" max="3340" width="18.33203125" style="397" customWidth="1"/>
    <col min="3341" max="3341" width="4.6640625" style="397" customWidth="1"/>
    <col min="3342" max="3342" width="26.5546875" style="397" customWidth="1"/>
    <col min="3343" max="3584" width="12.5546875" style="397"/>
    <col min="3585" max="3585" width="8.44140625" style="397" customWidth="1"/>
    <col min="3586" max="3586" width="20.109375" style="397" customWidth="1"/>
    <col min="3587" max="3587" width="20" style="397" customWidth="1"/>
    <col min="3588" max="3588" width="10.88671875" style="397" customWidth="1"/>
    <col min="3589" max="3589" width="3.6640625" style="397" customWidth="1"/>
    <col min="3590" max="3590" width="7.6640625" style="397" customWidth="1"/>
    <col min="3591" max="3595" width="16.88671875" style="397" customWidth="1"/>
    <col min="3596" max="3596" width="18.33203125" style="397" customWidth="1"/>
    <col min="3597" max="3597" width="4.6640625" style="397" customWidth="1"/>
    <col min="3598" max="3598" width="26.5546875" style="397" customWidth="1"/>
    <col min="3599" max="3840" width="12.5546875" style="397"/>
    <col min="3841" max="3841" width="8.44140625" style="397" customWidth="1"/>
    <col min="3842" max="3842" width="20.109375" style="397" customWidth="1"/>
    <col min="3843" max="3843" width="20" style="397" customWidth="1"/>
    <col min="3844" max="3844" width="10.88671875" style="397" customWidth="1"/>
    <col min="3845" max="3845" width="3.6640625" style="397" customWidth="1"/>
    <col min="3846" max="3846" width="7.6640625" style="397" customWidth="1"/>
    <col min="3847" max="3851" width="16.88671875" style="397" customWidth="1"/>
    <col min="3852" max="3852" width="18.33203125" style="397" customWidth="1"/>
    <col min="3853" max="3853" width="4.6640625" style="397" customWidth="1"/>
    <col min="3854" max="3854" width="26.5546875" style="397" customWidth="1"/>
    <col min="3855" max="4096" width="12.5546875" style="397"/>
    <col min="4097" max="4097" width="8.44140625" style="397" customWidth="1"/>
    <col min="4098" max="4098" width="20.109375" style="397" customWidth="1"/>
    <col min="4099" max="4099" width="20" style="397" customWidth="1"/>
    <col min="4100" max="4100" width="10.88671875" style="397" customWidth="1"/>
    <col min="4101" max="4101" width="3.6640625" style="397" customWidth="1"/>
    <col min="4102" max="4102" width="7.6640625" style="397" customWidth="1"/>
    <col min="4103" max="4107" width="16.88671875" style="397" customWidth="1"/>
    <col min="4108" max="4108" width="18.33203125" style="397" customWidth="1"/>
    <col min="4109" max="4109" width="4.6640625" style="397" customWidth="1"/>
    <col min="4110" max="4110" width="26.5546875" style="397" customWidth="1"/>
    <col min="4111" max="4352" width="12.5546875" style="397"/>
    <col min="4353" max="4353" width="8.44140625" style="397" customWidth="1"/>
    <col min="4354" max="4354" width="20.109375" style="397" customWidth="1"/>
    <col min="4355" max="4355" width="20" style="397" customWidth="1"/>
    <col min="4356" max="4356" width="10.88671875" style="397" customWidth="1"/>
    <col min="4357" max="4357" width="3.6640625" style="397" customWidth="1"/>
    <col min="4358" max="4358" width="7.6640625" style="397" customWidth="1"/>
    <col min="4359" max="4363" width="16.88671875" style="397" customWidth="1"/>
    <col min="4364" max="4364" width="18.33203125" style="397" customWidth="1"/>
    <col min="4365" max="4365" width="4.6640625" style="397" customWidth="1"/>
    <col min="4366" max="4366" width="26.5546875" style="397" customWidth="1"/>
    <col min="4367" max="4608" width="12.5546875" style="397"/>
    <col min="4609" max="4609" width="8.44140625" style="397" customWidth="1"/>
    <col min="4610" max="4610" width="20.109375" style="397" customWidth="1"/>
    <col min="4611" max="4611" width="20" style="397" customWidth="1"/>
    <col min="4612" max="4612" width="10.88671875" style="397" customWidth="1"/>
    <col min="4613" max="4613" width="3.6640625" style="397" customWidth="1"/>
    <col min="4614" max="4614" width="7.6640625" style="397" customWidth="1"/>
    <col min="4615" max="4619" width="16.88671875" style="397" customWidth="1"/>
    <col min="4620" max="4620" width="18.33203125" style="397" customWidth="1"/>
    <col min="4621" max="4621" width="4.6640625" style="397" customWidth="1"/>
    <col min="4622" max="4622" width="26.5546875" style="397" customWidth="1"/>
    <col min="4623" max="4864" width="12.5546875" style="397"/>
    <col min="4865" max="4865" width="8.44140625" style="397" customWidth="1"/>
    <col min="4866" max="4866" width="20.109375" style="397" customWidth="1"/>
    <col min="4867" max="4867" width="20" style="397" customWidth="1"/>
    <col min="4868" max="4868" width="10.88671875" style="397" customWidth="1"/>
    <col min="4869" max="4869" width="3.6640625" style="397" customWidth="1"/>
    <col min="4870" max="4870" width="7.6640625" style="397" customWidth="1"/>
    <col min="4871" max="4875" width="16.88671875" style="397" customWidth="1"/>
    <col min="4876" max="4876" width="18.33203125" style="397" customWidth="1"/>
    <col min="4877" max="4877" width="4.6640625" style="397" customWidth="1"/>
    <col min="4878" max="4878" width="26.5546875" style="397" customWidth="1"/>
    <col min="4879" max="5120" width="12.5546875" style="397"/>
    <col min="5121" max="5121" width="8.44140625" style="397" customWidth="1"/>
    <col min="5122" max="5122" width="20.109375" style="397" customWidth="1"/>
    <col min="5123" max="5123" width="20" style="397" customWidth="1"/>
    <col min="5124" max="5124" width="10.88671875" style="397" customWidth="1"/>
    <col min="5125" max="5125" width="3.6640625" style="397" customWidth="1"/>
    <col min="5126" max="5126" width="7.6640625" style="397" customWidth="1"/>
    <col min="5127" max="5131" width="16.88671875" style="397" customWidth="1"/>
    <col min="5132" max="5132" width="18.33203125" style="397" customWidth="1"/>
    <col min="5133" max="5133" width="4.6640625" style="397" customWidth="1"/>
    <col min="5134" max="5134" width="26.5546875" style="397" customWidth="1"/>
    <col min="5135" max="5376" width="12.5546875" style="397"/>
    <col min="5377" max="5377" width="8.44140625" style="397" customWidth="1"/>
    <col min="5378" max="5378" width="20.109375" style="397" customWidth="1"/>
    <col min="5379" max="5379" width="20" style="397" customWidth="1"/>
    <col min="5380" max="5380" width="10.88671875" style="397" customWidth="1"/>
    <col min="5381" max="5381" width="3.6640625" style="397" customWidth="1"/>
    <col min="5382" max="5382" width="7.6640625" style="397" customWidth="1"/>
    <col min="5383" max="5387" width="16.88671875" style="397" customWidth="1"/>
    <col min="5388" max="5388" width="18.33203125" style="397" customWidth="1"/>
    <col min="5389" max="5389" width="4.6640625" style="397" customWidth="1"/>
    <col min="5390" max="5390" width="26.5546875" style="397" customWidth="1"/>
    <col min="5391" max="5632" width="12.5546875" style="397"/>
    <col min="5633" max="5633" width="8.44140625" style="397" customWidth="1"/>
    <col min="5634" max="5634" width="20.109375" style="397" customWidth="1"/>
    <col min="5635" max="5635" width="20" style="397" customWidth="1"/>
    <col min="5636" max="5636" width="10.88671875" style="397" customWidth="1"/>
    <col min="5637" max="5637" width="3.6640625" style="397" customWidth="1"/>
    <col min="5638" max="5638" width="7.6640625" style="397" customWidth="1"/>
    <col min="5639" max="5643" width="16.88671875" style="397" customWidth="1"/>
    <col min="5644" max="5644" width="18.33203125" style="397" customWidth="1"/>
    <col min="5645" max="5645" width="4.6640625" style="397" customWidth="1"/>
    <col min="5646" max="5646" width="26.5546875" style="397" customWidth="1"/>
    <col min="5647" max="5888" width="12.5546875" style="397"/>
    <col min="5889" max="5889" width="8.44140625" style="397" customWidth="1"/>
    <col min="5890" max="5890" width="20.109375" style="397" customWidth="1"/>
    <col min="5891" max="5891" width="20" style="397" customWidth="1"/>
    <col min="5892" max="5892" width="10.88671875" style="397" customWidth="1"/>
    <col min="5893" max="5893" width="3.6640625" style="397" customWidth="1"/>
    <col min="5894" max="5894" width="7.6640625" style="397" customWidth="1"/>
    <col min="5895" max="5899" width="16.88671875" style="397" customWidth="1"/>
    <col min="5900" max="5900" width="18.33203125" style="397" customWidth="1"/>
    <col min="5901" max="5901" width="4.6640625" style="397" customWidth="1"/>
    <col min="5902" max="5902" width="26.5546875" style="397" customWidth="1"/>
    <col min="5903" max="6144" width="12.5546875" style="397"/>
    <col min="6145" max="6145" width="8.44140625" style="397" customWidth="1"/>
    <col min="6146" max="6146" width="20.109375" style="397" customWidth="1"/>
    <col min="6147" max="6147" width="20" style="397" customWidth="1"/>
    <col min="6148" max="6148" width="10.88671875" style="397" customWidth="1"/>
    <col min="6149" max="6149" width="3.6640625" style="397" customWidth="1"/>
    <col min="6150" max="6150" width="7.6640625" style="397" customWidth="1"/>
    <col min="6151" max="6155" width="16.88671875" style="397" customWidth="1"/>
    <col min="6156" max="6156" width="18.33203125" style="397" customWidth="1"/>
    <col min="6157" max="6157" width="4.6640625" style="397" customWidth="1"/>
    <col min="6158" max="6158" width="26.5546875" style="397" customWidth="1"/>
    <col min="6159" max="6400" width="12.5546875" style="397"/>
    <col min="6401" max="6401" width="8.44140625" style="397" customWidth="1"/>
    <col min="6402" max="6402" width="20.109375" style="397" customWidth="1"/>
    <col min="6403" max="6403" width="20" style="397" customWidth="1"/>
    <col min="6404" max="6404" width="10.88671875" style="397" customWidth="1"/>
    <col min="6405" max="6405" width="3.6640625" style="397" customWidth="1"/>
    <col min="6406" max="6406" width="7.6640625" style="397" customWidth="1"/>
    <col min="6407" max="6411" width="16.88671875" style="397" customWidth="1"/>
    <col min="6412" max="6412" width="18.33203125" style="397" customWidth="1"/>
    <col min="6413" max="6413" width="4.6640625" style="397" customWidth="1"/>
    <col min="6414" max="6414" width="26.5546875" style="397" customWidth="1"/>
    <col min="6415" max="6656" width="12.5546875" style="397"/>
    <col min="6657" max="6657" width="8.44140625" style="397" customWidth="1"/>
    <col min="6658" max="6658" width="20.109375" style="397" customWidth="1"/>
    <col min="6659" max="6659" width="20" style="397" customWidth="1"/>
    <col min="6660" max="6660" width="10.88671875" style="397" customWidth="1"/>
    <col min="6661" max="6661" width="3.6640625" style="397" customWidth="1"/>
    <col min="6662" max="6662" width="7.6640625" style="397" customWidth="1"/>
    <col min="6663" max="6667" width="16.88671875" style="397" customWidth="1"/>
    <col min="6668" max="6668" width="18.33203125" style="397" customWidth="1"/>
    <col min="6669" max="6669" width="4.6640625" style="397" customWidth="1"/>
    <col min="6670" max="6670" width="26.5546875" style="397" customWidth="1"/>
    <col min="6671" max="6912" width="12.5546875" style="397"/>
    <col min="6913" max="6913" width="8.44140625" style="397" customWidth="1"/>
    <col min="6914" max="6914" width="20.109375" style="397" customWidth="1"/>
    <col min="6915" max="6915" width="20" style="397" customWidth="1"/>
    <col min="6916" max="6916" width="10.88671875" style="397" customWidth="1"/>
    <col min="6917" max="6917" width="3.6640625" style="397" customWidth="1"/>
    <col min="6918" max="6918" width="7.6640625" style="397" customWidth="1"/>
    <col min="6919" max="6923" width="16.88671875" style="397" customWidth="1"/>
    <col min="6924" max="6924" width="18.33203125" style="397" customWidth="1"/>
    <col min="6925" max="6925" width="4.6640625" style="397" customWidth="1"/>
    <col min="6926" max="6926" width="26.5546875" style="397" customWidth="1"/>
    <col min="6927" max="7168" width="12.5546875" style="397"/>
    <col min="7169" max="7169" width="8.44140625" style="397" customWidth="1"/>
    <col min="7170" max="7170" width="20.109375" style="397" customWidth="1"/>
    <col min="7171" max="7171" width="20" style="397" customWidth="1"/>
    <col min="7172" max="7172" width="10.88671875" style="397" customWidth="1"/>
    <col min="7173" max="7173" width="3.6640625" style="397" customWidth="1"/>
    <col min="7174" max="7174" width="7.6640625" style="397" customWidth="1"/>
    <col min="7175" max="7179" width="16.88671875" style="397" customWidth="1"/>
    <col min="7180" max="7180" width="18.33203125" style="397" customWidth="1"/>
    <col min="7181" max="7181" width="4.6640625" style="397" customWidth="1"/>
    <col min="7182" max="7182" width="26.5546875" style="397" customWidth="1"/>
    <col min="7183" max="7424" width="12.5546875" style="397"/>
    <col min="7425" max="7425" width="8.44140625" style="397" customWidth="1"/>
    <col min="7426" max="7426" width="20.109375" style="397" customWidth="1"/>
    <col min="7427" max="7427" width="20" style="397" customWidth="1"/>
    <col min="7428" max="7428" width="10.88671875" style="397" customWidth="1"/>
    <col min="7429" max="7429" width="3.6640625" style="397" customWidth="1"/>
    <col min="7430" max="7430" width="7.6640625" style="397" customWidth="1"/>
    <col min="7431" max="7435" width="16.88671875" style="397" customWidth="1"/>
    <col min="7436" max="7436" width="18.33203125" style="397" customWidth="1"/>
    <col min="7437" max="7437" width="4.6640625" style="397" customWidth="1"/>
    <col min="7438" max="7438" width="26.5546875" style="397" customWidth="1"/>
    <col min="7439" max="7680" width="12.5546875" style="397"/>
    <col min="7681" max="7681" width="8.44140625" style="397" customWidth="1"/>
    <col min="7682" max="7682" width="20.109375" style="397" customWidth="1"/>
    <col min="7683" max="7683" width="20" style="397" customWidth="1"/>
    <col min="7684" max="7684" width="10.88671875" style="397" customWidth="1"/>
    <col min="7685" max="7685" width="3.6640625" style="397" customWidth="1"/>
    <col min="7686" max="7686" width="7.6640625" style="397" customWidth="1"/>
    <col min="7687" max="7691" width="16.88671875" style="397" customWidth="1"/>
    <col min="7692" max="7692" width="18.33203125" style="397" customWidth="1"/>
    <col min="7693" max="7693" width="4.6640625" style="397" customWidth="1"/>
    <col min="7694" max="7694" width="26.5546875" style="397" customWidth="1"/>
    <col min="7695" max="7936" width="12.5546875" style="397"/>
    <col min="7937" max="7937" width="8.44140625" style="397" customWidth="1"/>
    <col min="7938" max="7938" width="20.109375" style="397" customWidth="1"/>
    <col min="7939" max="7939" width="20" style="397" customWidth="1"/>
    <col min="7940" max="7940" width="10.88671875" style="397" customWidth="1"/>
    <col min="7941" max="7941" width="3.6640625" style="397" customWidth="1"/>
    <col min="7942" max="7942" width="7.6640625" style="397" customWidth="1"/>
    <col min="7943" max="7947" width="16.88671875" style="397" customWidth="1"/>
    <col min="7948" max="7948" width="18.33203125" style="397" customWidth="1"/>
    <col min="7949" max="7949" width="4.6640625" style="397" customWidth="1"/>
    <col min="7950" max="7950" width="26.5546875" style="397" customWidth="1"/>
    <col min="7951" max="8192" width="12.5546875" style="397"/>
    <col min="8193" max="8193" width="8.44140625" style="397" customWidth="1"/>
    <col min="8194" max="8194" width="20.109375" style="397" customWidth="1"/>
    <col min="8195" max="8195" width="20" style="397" customWidth="1"/>
    <col min="8196" max="8196" width="10.88671875" style="397" customWidth="1"/>
    <col min="8197" max="8197" width="3.6640625" style="397" customWidth="1"/>
    <col min="8198" max="8198" width="7.6640625" style="397" customWidth="1"/>
    <col min="8199" max="8203" width="16.88671875" style="397" customWidth="1"/>
    <col min="8204" max="8204" width="18.33203125" style="397" customWidth="1"/>
    <col min="8205" max="8205" width="4.6640625" style="397" customWidth="1"/>
    <col min="8206" max="8206" width="26.5546875" style="397" customWidth="1"/>
    <col min="8207" max="8448" width="12.5546875" style="397"/>
    <col min="8449" max="8449" width="8.44140625" style="397" customWidth="1"/>
    <col min="8450" max="8450" width="20.109375" style="397" customWidth="1"/>
    <col min="8451" max="8451" width="20" style="397" customWidth="1"/>
    <col min="8452" max="8452" width="10.88671875" style="397" customWidth="1"/>
    <col min="8453" max="8453" width="3.6640625" style="397" customWidth="1"/>
    <col min="8454" max="8454" width="7.6640625" style="397" customWidth="1"/>
    <col min="8455" max="8459" width="16.88671875" style="397" customWidth="1"/>
    <col min="8460" max="8460" width="18.33203125" style="397" customWidth="1"/>
    <col min="8461" max="8461" width="4.6640625" style="397" customWidth="1"/>
    <col min="8462" max="8462" width="26.5546875" style="397" customWidth="1"/>
    <col min="8463" max="8704" width="12.5546875" style="397"/>
    <col min="8705" max="8705" width="8.44140625" style="397" customWidth="1"/>
    <col min="8706" max="8706" width="20.109375" style="397" customWidth="1"/>
    <col min="8707" max="8707" width="20" style="397" customWidth="1"/>
    <col min="8708" max="8708" width="10.88671875" style="397" customWidth="1"/>
    <col min="8709" max="8709" width="3.6640625" style="397" customWidth="1"/>
    <col min="8710" max="8710" width="7.6640625" style="397" customWidth="1"/>
    <col min="8711" max="8715" width="16.88671875" style="397" customWidth="1"/>
    <col min="8716" max="8716" width="18.33203125" style="397" customWidth="1"/>
    <col min="8717" max="8717" width="4.6640625" style="397" customWidth="1"/>
    <col min="8718" max="8718" width="26.5546875" style="397" customWidth="1"/>
    <col min="8719" max="8960" width="12.5546875" style="397"/>
    <col min="8961" max="8961" width="8.44140625" style="397" customWidth="1"/>
    <col min="8962" max="8962" width="20.109375" style="397" customWidth="1"/>
    <col min="8963" max="8963" width="20" style="397" customWidth="1"/>
    <col min="8964" max="8964" width="10.88671875" style="397" customWidth="1"/>
    <col min="8965" max="8965" width="3.6640625" style="397" customWidth="1"/>
    <col min="8966" max="8966" width="7.6640625" style="397" customWidth="1"/>
    <col min="8967" max="8971" width="16.88671875" style="397" customWidth="1"/>
    <col min="8972" max="8972" width="18.33203125" style="397" customWidth="1"/>
    <col min="8973" max="8973" width="4.6640625" style="397" customWidth="1"/>
    <col min="8974" max="8974" width="26.5546875" style="397" customWidth="1"/>
    <col min="8975" max="9216" width="12.5546875" style="397"/>
    <col min="9217" max="9217" width="8.44140625" style="397" customWidth="1"/>
    <col min="9218" max="9218" width="20.109375" style="397" customWidth="1"/>
    <col min="9219" max="9219" width="20" style="397" customWidth="1"/>
    <col min="9220" max="9220" width="10.88671875" style="397" customWidth="1"/>
    <col min="9221" max="9221" width="3.6640625" style="397" customWidth="1"/>
    <col min="9222" max="9222" width="7.6640625" style="397" customWidth="1"/>
    <col min="9223" max="9227" width="16.88671875" style="397" customWidth="1"/>
    <col min="9228" max="9228" width="18.33203125" style="397" customWidth="1"/>
    <col min="9229" max="9229" width="4.6640625" style="397" customWidth="1"/>
    <col min="9230" max="9230" width="26.5546875" style="397" customWidth="1"/>
    <col min="9231" max="9472" width="12.5546875" style="397"/>
    <col min="9473" max="9473" width="8.44140625" style="397" customWidth="1"/>
    <col min="9474" max="9474" width="20.109375" style="397" customWidth="1"/>
    <col min="9475" max="9475" width="20" style="397" customWidth="1"/>
    <col min="9476" max="9476" width="10.88671875" style="397" customWidth="1"/>
    <col min="9477" max="9477" width="3.6640625" style="397" customWidth="1"/>
    <col min="9478" max="9478" width="7.6640625" style="397" customWidth="1"/>
    <col min="9479" max="9483" width="16.88671875" style="397" customWidth="1"/>
    <col min="9484" max="9484" width="18.33203125" style="397" customWidth="1"/>
    <col min="9485" max="9485" width="4.6640625" style="397" customWidth="1"/>
    <col min="9486" max="9486" width="26.5546875" style="397" customWidth="1"/>
    <col min="9487" max="9728" width="12.5546875" style="397"/>
    <col min="9729" max="9729" width="8.44140625" style="397" customWidth="1"/>
    <col min="9730" max="9730" width="20.109375" style="397" customWidth="1"/>
    <col min="9731" max="9731" width="20" style="397" customWidth="1"/>
    <col min="9732" max="9732" width="10.88671875" style="397" customWidth="1"/>
    <col min="9733" max="9733" width="3.6640625" style="397" customWidth="1"/>
    <col min="9734" max="9734" width="7.6640625" style="397" customWidth="1"/>
    <col min="9735" max="9739" width="16.88671875" style="397" customWidth="1"/>
    <col min="9740" max="9740" width="18.33203125" style="397" customWidth="1"/>
    <col min="9741" max="9741" width="4.6640625" style="397" customWidth="1"/>
    <col min="9742" max="9742" width="26.5546875" style="397" customWidth="1"/>
    <col min="9743" max="9984" width="12.5546875" style="397"/>
    <col min="9985" max="9985" width="8.44140625" style="397" customWidth="1"/>
    <col min="9986" max="9986" width="20.109375" style="397" customWidth="1"/>
    <col min="9987" max="9987" width="20" style="397" customWidth="1"/>
    <col min="9988" max="9988" width="10.88671875" style="397" customWidth="1"/>
    <col min="9989" max="9989" width="3.6640625" style="397" customWidth="1"/>
    <col min="9990" max="9990" width="7.6640625" style="397" customWidth="1"/>
    <col min="9991" max="9995" width="16.88671875" style="397" customWidth="1"/>
    <col min="9996" max="9996" width="18.33203125" style="397" customWidth="1"/>
    <col min="9997" max="9997" width="4.6640625" style="397" customWidth="1"/>
    <col min="9998" max="9998" width="26.5546875" style="397" customWidth="1"/>
    <col min="9999" max="10240" width="12.5546875" style="397"/>
    <col min="10241" max="10241" width="8.44140625" style="397" customWidth="1"/>
    <col min="10242" max="10242" width="20.109375" style="397" customWidth="1"/>
    <col min="10243" max="10243" width="20" style="397" customWidth="1"/>
    <col min="10244" max="10244" width="10.88671875" style="397" customWidth="1"/>
    <col min="10245" max="10245" width="3.6640625" style="397" customWidth="1"/>
    <col min="10246" max="10246" width="7.6640625" style="397" customWidth="1"/>
    <col min="10247" max="10251" width="16.88671875" style="397" customWidth="1"/>
    <col min="10252" max="10252" width="18.33203125" style="397" customWidth="1"/>
    <col min="10253" max="10253" width="4.6640625" style="397" customWidth="1"/>
    <col min="10254" max="10254" width="26.5546875" style="397" customWidth="1"/>
    <col min="10255" max="10496" width="12.5546875" style="397"/>
    <col min="10497" max="10497" width="8.44140625" style="397" customWidth="1"/>
    <col min="10498" max="10498" width="20.109375" style="397" customWidth="1"/>
    <col min="10499" max="10499" width="20" style="397" customWidth="1"/>
    <col min="10500" max="10500" width="10.88671875" style="397" customWidth="1"/>
    <col min="10501" max="10501" width="3.6640625" style="397" customWidth="1"/>
    <col min="10502" max="10502" width="7.6640625" style="397" customWidth="1"/>
    <col min="10503" max="10507" width="16.88671875" style="397" customWidth="1"/>
    <col min="10508" max="10508" width="18.33203125" style="397" customWidth="1"/>
    <col min="10509" max="10509" width="4.6640625" style="397" customWidth="1"/>
    <col min="10510" max="10510" width="26.5546875" style="397" customWidth="1"/>
    <col min="10511" max="10752" width="12.5546875" style="397"/>
    <col min="10753" max="10753" width="8.44140625" style="397" customWidth="1"/>
    <col min="10754" max="10754" width="20.109375" style="397" customWidth="1"/>
    <col min="10755" max="10755" width="20" style="397" customWidth="1"/>
    <col min="10756" max="10756" width="10.88671875" style="397" customWidth="1"/>
    <col min="10757" max="10757" width="3.6640625" style="397" customWidth="1"/>
    <col min="10758" max="10758" width="7.6640625" style="397" customWidth="1"/>
    <col min="10759" max="10763" width="16.88671875" style="397" customWidth="1"/>
    <col min="10764" max="10764" width="18.33203125" style="397" customWidth="1"/>
    <col min="10765" max="10765" width="4.6640625" style="397" customWidth="1"/>
    <col min="10766" max="10766" width="26.5546875" style="397" customWidth="1"/>
    <col min="10767" max="11008" width="12.5546875" style="397"/>
    <col min="11009" max="11009" width="8.44140625" style="397" customWidth="1"/>
    <col min="11010" max="11010" width="20.109375" style="397" customWidth="1"/>
    <col min="11011" max="11011" width="20" style="397" customWidth="1"/>
    <col min="11012" max="11012" width="10.88671875" style="397" customWidth="1"/>
    <col min="11013" max="11013" width="3.6640625" style="397" customWidth="1"/>
    <col min="11014" max="11014" width="7.6640625" style="397" customWidth="1"/>
    <col min="11015" max="11019" width="16.88671875" style="397" customWidth="1"/>
    <col min="11020" max="11020" width="18.33203125" style="397" customWidth="1"/>
    <col min="11021" max="11021" width="4.6640625" style="397" customWidth="1"/>
    <col min="11022" max="11022" width="26.5546875" style="397" customWidth="1"/>
    <col min="11023" max="11264" width="12.5546875" style="397"/>
    <col min="11265" max="11265" width="8.44140625" style="397" customWidth="1"/>
    <col min="11266" max="11266" width="20.109375" style="397" customWidth="1"/>
    <col min="11267" max="11267" width="20" style="397" customWidth="1"/>
    <col min="11268" max="11268" width="10.88671875" style="397" customWidth="1"/>
    <col min="11269" max="11269" width="3.6640625" style="397" customWidth="1"/>
    <col min="11270" max="11270" width="7.6640625" style="397" customWidth="1"/>
    <col min="11271" max="11275" width="16.88671875" style="397" customWidth="1"/>
    <col min="11276" max="11276" width="18.33203125" style="397" customWidth="1"/>
    <col min="11277" max="11277" width="4.6640625" style="397" customWidth="1"/>
    <col min="11278" max="11278" width="26.5546875" style="397" customWidth="1"/>
    <col min="11279" max="11520" width="12.5546875" style="397"/>
    <col min="11521" max="11521" width="8.44140625" style="397" customWidth="1"/>
    <col min="11522" max="11522" width="20.109375" style="397" customWidth="1"/>
    <col min="11523" max="11523" width="20" style="397" customWidth="1"/>
    <col min="11524" max="11524" width="10.88671875" style="397" customWidth="1"/>
    <col min="11525" max="11525" width="3.6640625" style="397" customWidth="1"/>
    <col min="11526" max="11526" width="7.6640625" style="397" customWidth="1"/>
    <col min="11527" max="11531" width="16.88671875" style="397" customWidth="1"/>
    <col min="11532" max="11532" width="18.33203125" style="397" customWidth="1"/>
    <col min="11533" max="11533" width="4.6640625" style="397" customWidth="1"/>
    <col min="11534" max="11534" width="26.5546875" style="397" customWidth="1"/>
    <col min="11535" max="11776" width="12.5546875" style="397"/>
    <col min="11777" max="11777" width="8.44140625" style="397" customWidth="1"/>
    <col min="11778" max="11778" width="20.109375" style="397" customWidth="1"/>
    <col min="11779" max="11779" width="20" style="397" customWidth="1"/>
    <col min="11780" max="11780" width="10.88671875" style="397" customWidth="1"/>
    <col min="11781" max="11781" width="3.6640625" style="397" customWidth="1"/>
    <col min="11782" max="11782" width="7.6640625" style="397" customWidth="1"/>
    <col min="11783" max="11787" width="16.88671875" style="397" customWidth="1"/>
    <col min="11788" max="11788" width="18.33203125" style="397" customWidth="1"/>
    <col min="11789" max="11789" width="4.6640625" style="397" customWidth="1"/>
    <col min="11790" max="11790" width="26.5546875" style="397" customWidth="1"/>
    <col min="11791" max="12032" width="12.5546875" style="397"/>
    <col min="12033" max="12033" width="8.44140625" style="397" customWidth="1"/>
    <col min="12034" max="12034" width="20.109375" style="397" customWidth="1"/>
    <col min="12035" max="12035" width="20" style="397" customWidth="1"/>
    <col min="12036" max="12036" width="10.88671875" style="397" customWidth="1"/>
    <col min="12037" max="12037" width="3.6640625" style="397" customWidth="1"/>
    <col min="12038" max="12038" width="7.6640625" style="397" customWidth="1"/>
    <col min="12039" max="12043" width="16.88671875" style="397" customWidth="1"/>
    <col min="12044" max="12044" width="18.33203125" style="397" customWidth="1"/>
    <col min="12045" max="12045" width="4.6640625" style="397" customWidth="1"/>
    <col min="12046" max="12046" width="26.5546875" style="397" customWidth="1"/>
    <col min="12047" max="12288" width="12.5546875" style="397"/>
    <col min="12289" max="12289" width="8.44140625" style="397" customWidth="1"/>
    <col min="12290" max="12290" width="20.109375" style="397" customWidth="1"/>
    <col min="12291" max="12291" width="20" style="397" customWidth="1"/>
    <col min="12292" max="12292" width="10.88671875" style="397" customWidth="1"/>
    <col min="12293" max="12293" width="3.6640625" style="397" customWidth="1"/>
    <col min="12294" max="12294" width="7.6640625" style="397" customWidth="1"/>
    <col min="12295" max="12299" width="16.88671875" style="397" customWidth="1"/>
    <col min="12300" max="12300" width="18.33203125" style="397" customWidth="1"/>
    <col min="12301" max="12301" width="4.6640625" style="397" customWidth="1"/>
    <col min="12302" max="12302" width="26.5546875" style="397" customWidth="1"/>
    <col min="12303" max="12544" width="12.5546875" style="397"/>
    <col min="12545" max="12545" width="8.44140625" style="397" customWidth="1"/>
    <col min="12546" max="12546" width="20.109375" style="397" customWidth="1"/>
    <col min="12547" max="12547" width="20" style="397" customWidth="1"/>
    <col min="12548" max="12548" width="10.88671875" style="397" customWidth="1"/>
    <col min="12549" max="12549" width="3.6640625" style="397" customWidth="1"/>
    <col min="12550" max="12550" width="7.6640625" style="397" customWidth="1"/>
    <col min="12551" max="12555" width="16.88671875" style="397" customWidth="1"/>
    <col min="12556" max="12556" width="18.33203125" style="397" customWidth="1"/>
    <col min="12557" max="12557" width="4.6640625" style="397" customWidth="1"/>
    <col min="12558" max="12558" width="26.5546875" style="397" customWidth="1"/>
    <col min="12559" max="12800" width="12.5546875" style="397"/>
    <col min="12801" max="12801" width="8.44140625" style="397" customWidth="1"/>
    <col min="12802" max="12802" width="20.109375" style="397" customWidth="1"/>
    <col min="12803" max="12803" width="20" style="397" customWidth="1"/>
    <col min="12804" max="12804" width="10.88671875" style="397" customWidth="1"/>
    <col min="12805" max="12805" width="3.6640625" style="397" customWidth="1"/>
    <col min="12806" max="12806" width="7.6640625" style="397" customWidth="1"/>
    <col min="12807" max="12811" width="16.88671875" style="397" customWidth="1"/>
    <col min="12812" max="12812" width="18.33203125" style="397" customWidth="1"/>
    <col min="12813" max="12813" width="4.6640625" style="397" customWidth="1"/>
    <col min="12814" max="12814" width="26.5546875" style="397" customWidth="1"/>
    <col min="12815" max="13056" width="12.5546875" style="397"/>
    <col min="13057" max="13057" width="8.44140625" style="397" customWidth="1"/>
    <col min="13058" max="13058" width="20.109375" style="397" customWidth="1"/>
    <col min="13059" max="13059" width="20" style="397" customWidth="1"/>
    <col min="13060" max="13060" width="10.88671875" style="397" customWidth="1"/>
    <col min="13061" max="13061" width="3.6640625" style="397" customWidth="1"/>
    <col min="13062" max="13062" width="7.6640625" style="397" customWidth="1"/>
    <col min="13063" max="13067" width="16.88671875" style="397" customWidth="1"/>
    <col min="13068" max="13068" width="18.33203125" style="397" customWidth="1"/>
    <col min="13069" max="13069" width="4.6640625" style="397" customWidth="1"/>
    <col min="13070" max="13070" width="26.5546875" style="397" customWidth="1"/>
    <col min="13071" max="13312" width="12.5546875" style="397"/>
    <col min="13313" max="13313" width="8.44140625" style="397" customWidth="1"/>
    <col min="13314" max="13314" width="20.109375" style="397" customWidth="1"/>
    <col min="13315" max="13315" width="20" style="397" customWidth="1"/>
    <col min="13316" max="13316" width="10.88671875" style="397" customWidth="1"/>
    <col min="13317" max="13317" width="3.6640625" style="397" customWidth="1"/>
    <col min="13318" max="13318" width="7.6640625" style="397" customWidth="1"/>
    <col min="13319" max="13323" width="16.88671875" style="397" customWidth="1"/>
    <col min="13324" max="13324" width="18.33203125" style="397" customWidth="1"/>
    <col min="13325" max="13325" width="4.6640625" style="397" customWidth="1"/>
    <col min="13326" max="13326" width="26.5546875" style="397" customWidth="1"/>
    <col min="13327" max="13568" width="12.5546875" style="397"/>
    <col min="13569" max="13569" width="8.44140625" style="397" customWidth="1"/>
    <col min="13570" max="13570" width="20.109375" style="397" customWidth="1"/>
    <col min="13571" max="13571" width="20" style="397" customWidth="1"/>
    <col min="13572" max="13572" width="10.88671875" style="397" customWidth="1"/>
    <col min="13573" max="13573" width="3.6640625" style="397" customWidth="1"/>
    <col min="13574" max="13574" width="7.6640625" style="397" customWidth="1"/>
    <col min="13575" max="13579" width="16.88671875" style="397" customWidth="1"/>
    <col min="13580" max="13580" width="18.33203125" style="397" customWidth="1"/>
    <col min="13581" max="13581" width="4.6640625" style="397" customWidth="1"/>
    <col min="13582" max="13582" width="26.5546875" style="397" customWidth="1"/>
    <col min="13583" max="13824" width="12.5546875" style="397"/>
    <col min="13825" max="13825" width="8.44140625" style="397" customWidth="1"/>
    <col min="13826" max="13826" width="20.109375" style="397" customWidth="1"/>
    <col min="13827" max="13827" width="20" style="397" customWidth="1"/>
    <col min="13828" max="13828" width="10.88671875" style="397" customWidth="1"/>
    <col min="13829" max="13829" width="3.6640625" style="397" customWidth="1"/>
    <col min="13830" max="13830" width="7.6640625" style="397" customWidth="1"/>
    <col min="13831" max="13835" width="16.88671875" style="397" customWidth="1"/>
    <col min="13836" max="13836" width="18.33203125" style="397" customWidth="1"/>
    <col min="13837" max="13837" width="4.6640625" style="397" customWidth="1"/>
    <col min="13838" max="13838" width="26.5546875" style="397" customWidth="1"/>
    <col min="13839" max="14080" width="12.5546875" style="397"/>
    <col min="14081" max="14081" width="8.44140625" style="397" customWidth="1"/>
    <col min="14082" max="14082" width="20.109375" style="397" customWidth="1"/>
    <col min="14083" max="14083" width="20" style="397" customWidth="1"/>
    <col min="14084" max="14084" width="10.88671875" style="397" customWidth="1"/>
    <col min="14085" max="14085" width="3.6640625" style="397" customWidth="1"/>
    <col min="14086" max="14086" width="7.6640625" style="397" customWidth="1"/>
    <col min="14087" max="14091" width="16.88671875" style="397" customWidth="1"/>
    <col min="14092" max="14092" width="18.33203125" style="397" customWidth="1"/>
    <col min="14093" max="14093" width="4.6640625" style="397" customWidth="1"/>
    <col min="14094" max="14094" width="26.5546875" style="397" customWidth="1"/>
    <col min="14095" max="14336" width="12.5546875" style="397"/>
    <col min="14337" max="14337" width="8.44140625" style="397" customWidth="1"/>
    <col min="14338" max="14338" width="20.109375" style="397" customWidth="1"/>
    <col min="14339" max="14339" width="20" style="397" customWidth="1"/>
    <col min="14340" max="14340" width="10.88671875" style="397" customWidth="1"/>
    <col min="14341" max="14341" width="3.6640625" style="397" customWidth="1"/>
    <col min="14342" max="14342" width="7.6640625" style="397" customWidth="1"/>
    <col min="14343" max="14347" width="16.88671875" style="397" customWidth="1"/>
    <col min="14348" max="14348" width="18.33203125" style="397" customWidth="1"/>
    <col min="14349" max="14349" width="4.6640625" style="397" customWidth="1"/>
    <col min="14350" max="14350" width="26.5546875" style="397" customWidth="1"/>
    <col min="14351" max="14592" width="12.5546875" style="397"/>
    <col min="14593" max="14593" width="8.44140625" style="397" customWidth="1"/>
    <col min="14594" max="14594" width="20.109375" style="397" customWidth="1"/>
    <col min="14595" max="14595" width="20" style="397" customWidth="1"/>
    <col min="14596" max="14596" width="10.88671875" style="397" customWidth="1"/>
    <col min="14597" max="14597" width="3.6640625" style="397" customWidth="1"/>
    <col min="14598" max="14598" width="7.6640625" style="397" customWidth="1"/>
    <col min="14599" max="14603" width="16.88671875" style="397" customWidth="1"/>
    <col min="14604" max="14604" width="18.33203125" style="397" customWidth="1"/>
    <col min="14605" max="14605" width="4.6640625" style="397" customWidth="1"/>
    <col min="14606" max="14606" width="26.5546875" style="397" customWidth="1"/>
    <col min="14607" max="14848" width="12.5546875" style="397"/>
    <col min="14849" max="14849" width="8.44140625" style="397" customWidth="1"/>
    <col min="14850" max="14850" width="20.109375" style="397" customWidth="1"/>
    <col min="14851" max="14851" width="20" style="397" customWidth="1"/>
    <col min="14852" max="14852" width="10.88671875" style="397" customWidth="1"/>
    <col min="14853" max="14853" width="3.6640625" style="397" customWidth="1"/>
    <col min="14854" max="14854" width="7.6640625" style="397" customWidth="1"/>
    <col min="14855" max="14859" width="16.88671875" style="397" customWidth="1"/>
    <col min="14860" max="14860" width="18.33203125" style="397" customWidth="1"/>
    <col min="14861" max="14861" width="4.6640625" style="397" customWidth="1"/>
    <col min="14862" max="14862" width="26.5546875" style="397" customWidth="1"/>
    <col min="14863" max="15104" width="12.5546875" style="397"/>
    <col min="15105" max="15105" width="8.44140625" style="397" customWidth="1"/>
    <col min="15106" max="15106" width="20.109375" style="397" customWidth="1"/>
    <col min="15107" max="15107" width="20" style="397" customWidth="1"/>
    <col min="15108" max="15108" width="10.88671875" style="397" customWidth="1"/>
    <col min="15109" max="15109" width="3.6640625" style="397" customWidth="1"/>
    <col min="15110" max="15110" width="7.6640625" style="397" customWidth="1"/>
    <col min="15111" max="15115" width="16.88671875" style="397" customWidth="1"/>
    <col min="15116" max="15116" width="18.33203125" style="397" customWidth="1"/>
    <col min="15117" max="15117" width="4.6640625" style="397" customWidth="1"/>
    <col min="15118" max="15118" width="26.5546875" style="397" customWidth="1"/>
    <col min="15119" max="15360" width="12.5546875" style="397"/>
    <col min="15361" max="15361" width="8.44140625" style="397" customWidth="1"/>
    <col min="15362" max="15362" width="20.109375" style="397" customWidth="1"/>
    <col min="15363" max="15363" width="20" style="397" customWidth="1"/>
    <col min="15364" max="15364" width="10.88671875" style="397" customWidth="1"/>
    <col min="15365" max="15365" width="3.6640625" style="397" customWidth="1"/>
    <col min="15366" max="15366" width="7.6640625" style="397" customWidth="1"/>
    <col min="15367" max="15371" width="16.88671875" style="397" customWidth="1"/>
    <col min="15372" max="15372" width="18.33203125" style="397" customWidth="1"/>
    <col min="15373" max="15373" width="4.6640625" style="397" customWidth="1"/>
    <col min="15374" max="15374" width="26.5546875" style="397" customWidth="1"/>
    <col min="15375" max="15616" width="12.5546875" style="397"/>
    <col min="15617" max="15617" width="8.44140625" style="397" customWidth="1"/>
    <col min="15618" max="15618" width="20.109375" style="397" customWidth="1"/>
    <col min="15619" max="15619" width="20" style="397" customWidth="1"/>
    <col min="15620" max="15620" width="10.88671875" style="397" customWidth="1"/>
    <col min="15621" max="15621" width="3.6640625" style="397" customWidth="1"/>
    <col min="15622" max="15622" width="7.6640625" style="397" customWidth="1"/>
    <col min="15623" max="15627" width="16.88671875" style="397" customWidth="1"/>
    <col min="15628" max="15628" width="18.33203125" style="397" customWidth="1"/>
    <col min="15629" max="15629" width="4.6640625" style="397" customWidth="1"/>
    <col min="15630" max="15630" width="26.5546875" style="397" customWidth="1"/>
    <col min="15631" max="15872" width="12.5546875" style="397"/>
    <col min="15873" max="15873" width="8.44140625" style="397" customWidth="1"/>
    <col min="15874" max="15874" width="20.109375" style="397" customWidth="1"/>
    <col min="15875" max="15875" width="20" style="397" customWidth="1"/>
    <col min="15876" max="15876" width="10.88671875" style="397" customWidth="1"/>
    <col min="15877" max="15877" width="3.6640625" style="397" customWidth="1"/>
    <col min="15878" max="15878" width="7.6640625" style="397" customWidth="1"/>
    <col min="15879" max="15883" width="16.88671875" style="397" customWidth="1"/>
    <col min="15884" max="15884" width="18.33203125" style="397" customWidth="1"/>
    <col min="15885" max="15885" width="4.6640625" style="397" customWidth="1"/>
    <col min="15886" max="15886" width="26.5546875" style="397" customWidth="1"/>
    <col min="15887" max="16128" width="12.5546875" style="397"/>
    <col min="16129" max="16129" width="8.44140625" style="397" customWidth="1"/>
    <col min="16130" max="16130" width="20.109375" style="397" customWidth="1"/>
    <col min="16131" max="16131" width="20" style="397" customWidth="1"/>
    <col min="16132" max="16132" width="10.88671875" style="397" customWidth="1"/>
    <col min="16133" max="16133" width="3.6640625" style="397" customWidth="1"/>
    <col min="16134" max="16134" width="7.6640625" style="397" customWidth="1"/>
    <col min="16135" max="16139" width="16.88671875" style="397" customWidth="1"/>
    <col min="16140" max="16140" width="18.33203125" style="397" customWidth="1"/>
    <col min="16141" max="16141" width="4.6640625" style="397" customWidth="1"/>
    <col min="16142" max="16142" width="26.5546875" style="397" customWidth="1"/>
    <col min="16143" max="16384" width="12.5546875" style="397"/>
  </cols>
  <sheetData>
    <row r="1" spans="1:14" ht="16.5" customHeight="1">
      <c r="L1" s="969" t="s">
        <v>355</v>
      </c>
    </row>
    <row r="2" spans="1:14" ht="7.5" customHeight="1">
      <c r="L2" s="858"/>
    </row>
    <row r="3" spans="1:14" ht="15.75" customHeight="1">
      <c r="A3" s="400"/>
      <c r="B3" s="401"/>
      <c r="C3" s="1384" t="str">
        <f>'F1  Cover'!K6</f>
        <v>NRA.N.007-040-2024/1F</v>
      </c>
      <c r="D3" s="1385"/>
      <c r="E3" s="402"/>
      <c r="F3" s="1386"/>
      <c r="G3" s="1386"/>
      <c r="H3" s="853">
        <f>'F1  Cover'!L8</f>
        <v>45169</v>
      </c>
      <c r="I3" s="403"/>
      <c r="J3" s="968" t="s">
        <v>356</v>
      </c>
      <c r="K3" s="1387">
        <f>'F1  Cover'!K8</f>
        <v>1</v>
      </c>
      <c r="L3" s="1388"/>
    </row>
    <row r="4" spans="1:14" ht="15.75" customHeight="1" thickBot="1">
      <c r="A4" s="970"/>
      <c r="B4" s="404"/>
      <c r="C4" s="404"/>
      <c r="D4" s="404"/>
      <c r="E4" s="404"/>
      <c r="F4" s="404"/>
      <c r="G4" s="404"/>
      <c r="H4" s="404"/>
      <c r="I4" s="404"/>
      <c r="J4" s="404"/>
      <c r="K4" s="971"/>
      <c r="L4" s="971"/>
      <c r="M4" s="404"/>
    </row>
    <row r="5" spans="1:14" ht="15.75" customHeight="1">
      <c r="A5" s="972"/>
      <c r="B5" s="973"/>
      <c r="C5" s="973"/>
      <c r="D5" s="973"/>
      <c r="E5" s="973"/>
      <c r="F5" s="973"/>
      <c r="G5" s="973"/>
      <c r="H5" s="973"/>
      <c r="I5" s="973"/>
      <c r="J5" s="973"/>
      <c r="K5" s="974"/>
      <c r="L5" s="975"/>
      <c r="M5" s="404"/>
    </row>
    <row r="6" spans="1:14" ht="15.75" customHeight="1">
      <c r="A6" s="1389" t="s">
        <v>357</v>
      </c>
      <c r="B6" s="1390"/>
      <c r="C6" s="1390"/>
      <c r="D6" s="1390"/>
      <c r="E6" s="1390"/>
      <c r="F6" s="1390"/>
      <c r="G6" s="1390"/>
      <c r="H6" s="1390"/>
      <c r="I6" s="1390"/>
      <c r="J6" s="1390"/>
      <c r="K6" s="1390"/>
      <c r="L6" s="1391"/>
      <c r="M6" s="404"/>
    </row>
    <row r="7" spans="1:14" ht="15.75" customHeight="1" thickBot="1">
      <c r="A7" s="976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7"/>
      <c r="M7" s="404"/>
    </row>
    <row r="8" spans="1:14" ht="15.75" customHeight="1">
      <c r="A8" s="978"/>
      <c r="B8" s="979"/>
      <c r="C8" s="979"/>
      <c r="D8" s="979"/>
      <c r="E8" s="979"/>
      <c r="F8" s="980"/>
      <c r="G8" s="981"/>
      <c r="H8" s="981"/>
      <c r="I8" s="981"/>
      <c r="J8" s="981"/>
      <c r="K8" s="982"/>
      <c r="L8" s="983"/>
      <c r="M8" s="404"/>
    </row>
    <row r="9" spans="1:14" ht="15.75" customHeight="1">
      <c r="A9" s="984"/>
      <c r="B9" s="985" t="s">
        <v>286</v>
      </c>
      <c r="D9" s="985"/>
      <c r="E9" s="985"/>
      <c r="F9" s="986" t="s">
        <v>358</v>
      </c>
      <c r="G9" s="987"/>
      <c r="H9" s="987"/>
      <c r="I9" s="987"/>
      <c r="J9" s="987"/>
      <c r="K9" s="988"/>
      <c r="L9" s="989" t="s">
        <v>48</v>
      </c>
      <c r="M9" s="404"/>
    </row>
    <row r="10" spans="1:14" ht="15.6">
      <c r="A10" s="984"/>
      <c r="B10" s="985"/>
      <c r="C10" s="985"/>
      <c r="D10" s="985"/>
      <c r="E10" s="985"/>
      <c r="F10" s="990" t="s">
        <v>359</v>
      </c>
      <c r="G10" s="991"/>
      <c r="H10" s="992" t="s">
        <v>360</v>
      </c>
      <c r="I10" s="991"/>
      <c r="J10" s="992" t="s">
        <v>361</v>
      </c>
      <c r="K10" s="365"/>
      <c r="L10" s="989"/>
      <c r="M10" s="404"/>
    </row>
    <row r="11" spans="1:14" ht="15.75" customHeight="1" thickBot="1">
      <c r="A11" s="993"/>
      <c r="B11" s="994"/>
      <c r="C11" s="994"/>
      <c r="D11" s="994"/>
      <c r="E11" s="994"/>
      <c r="F11" s="995"/>
      <c r="G11" s="996"/>
      <c r="H11" s="997" t="s">
        <v>362</v>
      </c>
      <c r="I11" s="996"/>
      <c r="J11" s="997" t="s">
        <v>362</v>
      </c>
      <c r="K11" s="998"/>
      <c r="L11" s="999" t="s">
        <v>362</v>
      </c>
      <c r="M11" s="404"/>
    </row>
    <row r="12" spans="1:14" ht="15.6">
      <c r="A12" s="1000">
        <v>1</v>
      </c>
      <c r="B12" s="1001" t="s">
        <v>363</v>
      </c>
      <c r="C12" s="1001"/>
      <c r="D12" s="1001"/>
      <c r="E12" s="1001"/>
      <c r="F12" s="1002">
        <v>2</v>
      </c>
      <c r="G12" s="1003"/>
      <c r="H12" s="1004">
        <f>'Pg 2 Sum Scheduled'!$J$19</f>
        <v>0</v>
      </c>
      <c r="I12" s="1003"/>
      <c r="J12" s="1004">
        <f>'Pg 2 Sum Scheduled'!$J$20</f>
        <v>0</v>
      </c>
      <c r="K12" s="1005"/>
      <c r="L12" s="1006">
        <f>H12+J12</f>
        <v>0</v>
      </c>
      <c r="M12" s="404"/>
      <c r="N12" s="406"/>
    </row>
    <row r="13" spans="1:14" ht="15.6">
      <c r="A13" s="1007">
        <v>2</v>
      </c>
      <c r="B13" s="1008" t="s">
        <v>364</v>
      </c>
      <c r="C13" s="1008"/>
      <c r="D13" s="1008"/>
      <c r="E13" s="1008"/>
      <c r="F13" s="1009">
        <v>6</v>
      </c>
      <c r="G13" s="1003"/>
      <c r="H13" s="1004">
        <f>'Pg 6 WAF with CPI'!$L$31</f>
        <v>0</v>
      </c>
      <c r="I13" s="1003"/>
      <c r="J13" s="1004">
        <f>'Pg 6 WAF with CPI'!$L$32</f>
        <v>0</v>
      </c>
      <c r="K13" s="1005"/>
      <c r="L13" s="1010">
        <f>H13+J13</f>
        <v>0</v>
      </c>
      <c r="M13" s="404"/>
      <c r="N13" s="406"/>
    </row>
    <row r="14" spans="1:14" ht="15.6">
      <c r="A14" s="1007">
        <v>2</v>
      </c>
      <c r="B14" s="1008" t="s">
        <v>365</v>
      </c>
      <c r="C14" s="1008"/>
      <c r="D14" s="1008"/>
      <c r="E14" s="1008"/>
      <c r="F14" s="1009">
        <v>7</v>
      </c>
      <c r="G14" s="1003"/>
      <c r="H14" s="1004">
        <f>'Pg 7 WAF No CPI'!$L$31</f>
        <v>0</v>
      </c>
      <c r="I14" s="1003"/>
      <c r="J14" s="1004">
        <f>'Pg 7 WAF No CPI'!$L$32</f>
        <v>0</v>
      </c>
      <c r="K14" s="1005"/>
      <c r="L14" s="1010">
        <f>H14+J14</f>
        <v>0</v>
      </c>
      <c r="M14" s="404"/>
      <c r="N14" s="406"/>
    </row>
    <row r="15" spans="1:14" ht="15.6">
      <c r="A15" s="1007">
        <v>3</v>
      </c>
      <c r="B15" s="1008"/>
      <c r="C15" s="1008" t="s">
        <v>366</v>
      </c>
      <c r="D15" s="1008"/>
      <c r="E15" s="1008"/>
      <c r="F15" s="1009"/>
      <c r="G15" s="1011"/>
      <c r="H15" s="1012">
        <f>SUM(H12:H14)</f>
        <v>0</v>
      </c>
      <c r="I15" s="1013"/>
      <c r="J15" s="1012">
        <f>SUM(J12:J14)</f>
        <v>0</v>
      </c>
      <c r="K15" s="1014"/>
      <c r="L15" s="1015">
        <f>SUM(L12:L14)</f>
        <v>0</v>
      </c>
      <c r="M15" s="404"/>
      <c r="N15" s="406"/>
    </row>
    <row r="16" spans="1:14" ht="15.6">
      <c r="A16" s="1007"/>
      <c r="B16" s="1008"/>
      <c r="C16" s="1008"/>
      <c r="D16" s="1008"/>
      <c r="E16" s="1008"/>
      <c r="F16" s="1009"/>
      <c r="G16" s="1013"/>
      <c r="H16" s="1012"/>
      <c r="I16" s="1013"/>
      <c r="J16" s="1012"/>
      <c r="K16" s="1014"/>
      <c r="L16" s="1010"/>
      <c r="M16" s="404"/>
      <c r="N16" s="406"/>
    </row>
    <row r="17" spans="1:14" ht="15.6">
      <c r="A17" s="1007">
        <v>4</v>
      </c>
      <c r="B17" s="1008" t="s">
        <v>367</v>
      </c>
      <c r="C17" s="1008"/>
      <c r="D17" s="1008"/>
      <c r="E17" s="1008"/>
      <c r="F17" s="1009">
        <v>9</v>
      </c>
      <c r="G17" s="1013"/>
      <c r="H17" s="1012">
        <f>'Pg 9 CPI'!$G$35</f>
        <v>0</v>
      </c>
      <c r="I17" s="1016"/>
      <c r="J17" s="1012">
        <f>'Pg 9 CPI'!$N$53</f>
        <v>0</v>
      </c>
      <c r="K17" s="1017"/>
      <c r="L17" s="1010">
        <f>H17+J17</f>
        <v>0</v>
      </c>
      <c r="M17" s="404"/>
      <c r="N17" s="406"/>
    </row>
    <row r="18" spans="1:14" ht="15.6">
      <c r="A18" s="1007">
        <v>5</v>
      </c>
      <c r="B18" s="1008"/>
      <c r="C18" s="1008" t="s">
        <v>366</v>
      </c>
      <c r="D18" s="1008"/>
      <c r="E18" s="1008"/>
      <c r="F18" s="1009"/>
      <c r="G18" s="1016"/>
      <c r="H18" s="1012">
        <f>H15+H17</f>
        <v>0</v>
      </c>
      <c r="I18" s="1018"/>
      <c r="J18" s="1012">
        <f>J15+J17</f>
        <v>0</v>
      </c>
      <c r="K18" s="1019"/>
      <c r="L18" s="1015">
        <f>L15+L17</f>
        <v>0</v>
      </c>
      <c r="M18" s="404"/>
      <c r="N18" s="406"/>
    </row>
    <row r="19" spans="1:14" ht="15.6">
      <c r="A19" s="1007"/>
      <c r="B19" s="1008"/>
      <c r="C19" s="1008"/>
      <c r="D19" s="1008"/>
      <c r="E19" s="1008"/>
      <c r="F19" s="1009"/>
      <c r="G19" s="1016"/>
      <c r="H19" s="1012"/>
      <c r="I19" s="1016"/>
      <c r="J19" s="1012"/>
      <c r="K19" s="1017"/>
      <c r="L19" s="1010"/>
      <c r="M19" s="404"/>
      <c r="N19" s="406"/>
    </row>
    <row r="20" spans="1:14" ht="15.6">
      <c r="A20" s="1007">
        <v>6</v>
      </c>
      <c r="B20" s="1008" t="str">
        <f>"Deduct: Retention - 10% of subtotal (R" &amp;DATA!D13 &amp; " maximum)"</f>
        <v>Deduct: Retention - 10% of subtotal (R300000 maximum)</v>
      </c>
      <c r="C20" s="1008"/>
      <c r="D20" s="1008"/>
      <c r="E20" s="1008"/>
      <c r="F20" s="1009"/>
      <c r="G20" s="1020">
        <f>DATA!D13</f>
        <v>300000</v>
      </c>
      <c r="H20" s="1012">
        <f>IF((H18*10%)&gt;G20,G20,(H18*10%))</f>
        <v>0</v>
      </c>
      <c r="I20" s="1013"/>
      <c r="J20" s="1012">
        <f>IF(((J18*10%)+(H18*10%))&gt;G20,(G20-H20),(J18*10%))</f>
        <v>0</v>
      </c>
      <c r="K20" s="931"/>
      <c r="L20" s="1010">
        <f>(H20+J20)+L21+L22</f>
        <v>0</v>
      </c>
      <c r="M20" s="404"/>
      <c r="N20" s="406"/>
    </row>
    <row r="21" spans="1:14" ht="57" customHeight="1">
      <c r="A21" s="928"/>
      <c r="B21" s="1392" t="s">
        <v>873</v>
      </c>
      <c r="C21" s="1393"/>
      <c r="D21" s="1393"/>
      <c r="E21" s="1394"/>
      <c r="F21" s="929"/>
      <c r="G21" s="930"/>
      <c r="H21" s="934">
        <f>ROUND((H20*G21),2)</f>
        <v>0</v>
      </c>
      <c r="I21" s="935"/>
      <c r="J21" s="934">
        <f>ROUND((J20*G21),2)</f>
        <v>0</v>
      </c>
      <c r="K21" s="931"/>
      <c r="L21" s="932">
        <f>((H20+J20)*G21)*-1</f>
        <v>0</v>
      </c>
      <c r="M21" s="404"/>
      <c r="N21" s="406"/>
    </row>
    <row r="22" spans="1:14" ht="57" customHeight="1">
      <c r="A22" s="928"/>
      <c r="B22" s="1381" t="s">
        <v>874</v>
      </c>
      <c r="C22" s="1382"/>
      <c r="D22" s="1382"/>
      <c r="E22" s="1383"/>
      <c r="F22" s="929"/>
      <c r="G22" s="933">
        <v>0</v>
      </c>
      <c r="H22" s="934">
        <f>ROUND((H21*G22),2)</f>
        <v>0</v>
      </c>
      <c r="I22" s="935"/>
      <c r="J22" s="934">
        <f>ROUND((J21*G22),2)</f>
        <v>0</v>
      </c>
      <c r="K22" s="931"/>
      <c r="L22" s="932">
        <f>((H20+J20)*G22)*-1</f>
        <v>0</v>
      </c>
      <c r="M22" s="404"/>
      <c r="N22" s="406"/>
    </row>
    <row r="23" spans="1:14" ht="15.6">
      <c r="A23" s="928">
        <v>7</v>
      </c>
      <c r="B23" s="1021" t="s">
        <v>368</v>
      </c>
      <c r="C23" s="1021"/>
      <c r="D23" s="1021"/>
      <c r="E23" s="1021"/>
      <c r="F23" s="1022">
        <v>8</v>
      </c>
      <c r="G23" s="1023"/>
      <c r="H23" s="1024">
        <f>'Pg 8 Penalties'!$L$32</f>
        <v>0</v>
      </c>
      <c r="I23" s="1023"/>
      <c r="J23" s="1024">
        <f>'Pg 8 Penalties'!$L$33</f>
        <v>0</v>
      </c>
      <c r="K23" s="931"/>
      <c r="L23" s="1010">
        <f>H23+J23</f>
        <v>0</v>
      </c>
      <c r="M23" s="404"/>
      <c r="N23" s="406"/>
    </row>
    <row r="24" spans="1:14" ht="15.6">
      <c r="A24" s="1007">
        <v>8</v>
      </c>
      <c r="B24" s="1008"/>
      <c r="C24" s="1008" t="s">
        <v>369</v>
      </c>
      <c r="D24" s="1008"/>
      <c r="E24" s="1008"/>
      <c r="F24" s="1009"/>
      <c r="G24" s="1013"/>
      <c r="H24" s="1012">
        <f>H18-H20-H23+H21+H22</f>
        <v>0</v>
      </c>
      <c r="I24" s="1013"/>
      <c r="J24" s="1012">
        <f>J18-J20-J23+J21+J22</f>
        <v>0</v>
      </c>
      <c r="K24" s="1017"/>
      <c r="L24" s="1010">
        <f>L18-L20-L23</f>
        <v>0</v>
      </c>
      <c r="M24" s="404"/>
      <c r="N24" s="406"/>
    </row>
    <row r="25" spans="1:14" ht="15.6">
      <c r="A25" s="1007"/>
      <c r="B25" s="1008"/>
      <c r="C25" s="1008"/>
      <c r="D25" s="1008"/>
      <c r="E25" s="1008"/>
      <c r="F25" s="1009"/>
      <c r="G25" s="1025"/>
      <c r="H25" s="1024"/>
      <c r="I25" s="1026"/>
      <c r="J25" s="1024"/>
      <c r="K25" s="1027"/>
      <c r="L25" s="1028"/>
      <c r="M25" s="404"/>
      <c r="N25" s="406"/>
    </row>
    <row r="26" spans="1:14" ht="16.2" thickBot="1">
      <c r="A26" s="928">
        <v>9</v>
      </c>
      <c r="B26" s="1021" t="s">
        <v>370</v>
      </c>
      <c r="C26" s="1021"/>
      <c r="D26" s="1021"/>
      <c r="E26" s="1021"/>
      <c r="F26" s="1022"/>
      <c r="G26" s="1025"/>
      <c r="H26" s="1029">
        <f>DATA!Q52</f>
        <v>0</v>
      </c>
      <c r="I26" s="1025"/>
      <c r="J26" s="1029">
        <f>DATA!R52</f>
        <v>0</v>
      </c>
      <c r="K26" s="1027"/>
      <c r="L26" s="1030">
        <f>H26+J26</f>
        <v>0</v>
      </c>
      <c r="M26" s="404"/>
      <c r="N26" s="406"/>
    </row>
    <row r="27" spans="1:14" ht="15.6">
      <c r="A27" s="1031">
        <v>10</v>
      </c>
      <c r="B27" s="1032"/>
      <c r="C27" s="1032" t="s">
        <v>371</v>
      </c>
      <c r="D27" s="1032"/>
      <c r="E27" s="1032"/>
      <c r="F27" s="1033"/>
      <c r="G27" s="1034"/>
      <c r="H27" s="1035">
        <f>ROUND((H24-H26),2)</f>
        <v>0</v>
      </c>
      <c r="I27" s="1034"/>
      <c r="J27" s="1035">
        <f>ROUND((J24-J26),2)</f>
        <v>0</v>
      </c>
      <c r="K27" s="1036"/>
      <c r="L27" s="1006">
        <f>ROUND((L24-L26),2)</f>
        <v>0</v>
      </c>
      <c r="M27" s="404"/>
      <c r="N27" s="406"/>
    </row>
    <row r="28" spans="1:14" ht="17.25" customHeight="1" thickBot="1">
      <c r="A28" s="928">
        <v>11</v>
      </c>
      <c r="B28" s="1021" t="str">
        <f>"Add:  V.A.T. (" &amp; DATA!$C$1032*100 &amp; "%)"</f>
        <v>Add:  V.A.T. (15%)</v>
      </c>
      <c r="C28" s="1021"/>
      <c r="D28" s="1021"/>
      <c r="E28" s="1021"/>
      <c r="F28" s="1022"/>
      <c r="G28" s="1025"/>
      <c r="H28" s="1024">
        <f>ROUND((H27*DATA!$C$1032),2)</f>
        <v>0</v>
      </c>
      <c r="I28" s="1025"/>
      <c r="J28" s="1024">
        <f>ROUND((J27*DATA!$C$1032),2)</f>
        <v>0</v>
      </c>
      <c r="K28" s="1027"/>
      <c r="L28" s="1037">
        <f>ROUND((L27*DATA!$C$1032),2)</f>
        <v>0</v>
      </c>
      <c r="M28" s="404"/>
      <c r="N28" s="406"/>
    </row>
    <row r="29" spans="1:14" ht="24" customHeight="1" thickBot="1">
      <c r="A29" s="1038">
        <v>12</v>
      </c>
      <c r="B29" s="1039" t="s">
        <v>372</v>
      </c>
      <c r="C29" s="1040"/>
      <c r="D29" s="1040"/>
      <c r="E29" s="1040"/>
      <c r="F29" s="1041"/>
      <c r="G29" s="1042"/>
      <c r="H29" s="1043">
        <f>H27+H28</f>
        <v>0</v>
      </c>
      <c r="I29" s="1044"/>
      <c r="J29" s="1043">
        <f>J27+J28</f>
        <v>0</v>
      </c>
      <c r="K29" s="1045"/>
      <c r="L29" s="1046">
        <f>L27+L28</f>
        <v>0</v>
      </c>
      <c r="M29" s="404"/>
      <c r="N29" s="406"/>
    </row>
    <row r="30" spans="1:14" ht="16.5" customHeight="1">
      <c r="A30" s="1047"/>
      <c r="B30" s="1048"/>
      <c r="C30" s="1048"/>
      <c r="D30" s="1048"/>
      <c r="E30" s="1048"/>
      <c r="F30" s="1048"/>
      <c r="G30" s="1048"/>
      <c r="H30" s="1048"/>
      <c r="I30" s="1048"/>
      <c r="J30" s="1048"/>
      <c r="K30" s="1048"/>
      <c r="L30" s="1049"/>
      <c r="M30" s="404"/>
      <c r="N30" s="407"/>
    </row>
    <row r="31" spans="1:14" ht="16.5" customHeight="1">
      <c r="A31" s="1047"/>
      <c r="B31" s="1048"/>
      <c r="C31" s="1048"/>
      <c r="D31" s="1048"/>
      <c r="E31" s="1048"/>
      <c r="F31" s="1048"/>
      <c r="G31" s="1048"/>
      <c r="H31" s="1048"/>
      <c r="I31" s="1048"/>
      <c r="J31" s="1048"/>
      <c r="K31" s="1048"/>
      <c r="L31" s="1049"/>
    </row>
    <row r="32" spans="1:14" ht="16.5" customHeight="1">
      <c r="A32" s="1047"/>
      <c r="B32" s="1048"/>
      <c r="C32" s="1048"/>
      <c r="D32" s="1048"/>
      <c r="E32" s="1048"/>
      <c r="F32" s="1048"/>
      <c r="G32" s="1050"/>
      <c r="H32" s="1050"/>
      <c r="I32" s="1050"/>
      <c r="J32" s="1050"/>
      <c r="K32" s="1050"/>
      <c r="L32" s="1051"/>
    </row>
    <row r="33" spans="1:12">
      <c r="A33" s="1047"/>
      <c r="B33" s="1048"/>
      <c r="C33" s="1048"/>
      <c r="D33" s="1048"/>
      <c r="E33" s="1048"/>
      <c r="F33" s="1048"/>
      <c r="G33" s="1048"/>
      <c r="H33" s="1048"/>
      <c r="I33" s="1048"/>
      <c r="J33" s="1048"/>
      <c r="K33" s="1048"/>
      <c r="L33" s="1049"/>
    </row>
    <row r="34" spans="1:12">
      <c r="A34" s="1047"/>
      <c r="B34" s="1048"/>
      <c r="C34" s="1048"/>
      <c r="D34" s="1048"/>
      <c r="E34" s="1048"/>
      <c r="F34" s="1048"/>
      <c r="G34" s="1048"/>
      <c r="H34" s="1048"/>
      <c r="I34" s="1048"/>
      <c r="J34" s="1048"/>
      <c r="K34" s="1048"/>
      <c r="L34" s="1049"/>
    </row>
    <row r="35" spans="1:12">
      <c r="A35" s="1047"/>
      <c r="B35" s="1048"/>
      <c r="C35" s="1048"/>
      <c r="D35" s="1048"/>
      <c r="E35" s="1048"/>
      <c r="F35" s="1048"/>
      <c r="G35" s="1048"/>
      <c r="H35" s="1048"/>
      <c r="I35" s="1048"/>
      <c r="J35" s="1048"/>
      <c r="K35" s="1048"/>
      <c r="L35" s="1049"/>
    </row>
    <row r="36" spans="1:12">
      <c r="A36" s="1047"/>
      <c r="B36" s="1048"/>
      <c r="C36" s="1048"/>
      <c r="D36" s="1048"/>
      <c r="E36" s="1048"/>
      <c r="F36" s="1048"/>
      <c r="G36" s="1048"/>
      <c r="H36" s="1048"/>
      <c r="I36" s="1048"/>
      <c r="J36" s="1048"/>
      <c r="K36" s="1048"/>
      <c r="L36" s="1049"/>
    </row>
    <row r="37" spans="1:12">
      <c r="A37" s="1052"/>
      <c r="B37" s="1053"/>
      <c r="C37" s="1053"/>
      <c r="D37" s="1053"/>
      <c r="E37" s="1048"/>
      <c r="F37" s="1048"/>
      <c r="G37" s="1048"/>
      <c r="H37" s="1048"/>
      <c r="I37" s="1048"/>
      <c r="J37" s="1048"/>
      <c r="K37" s="1048"/>
      <c r="L37" s="1049"/>
    </row>
    <row r="38" spans="1:12">
      <c r="A38" s="1047" t="s">
        <v>373</v>
      </c>
      <c r="B38" s="1048"/>
      <c r="C38" s="1054" t="s">
        <v>374</v>
      </c>
      <c r="E38" s="1048"/>
      <c r="F38" s="1048"/>
      <c r="G38" s="1048"/>
      <c r="H38" s="1048"/>
      <c r="I38" s="1048"/>
      <c r="J38" s="1048" t="s">
        <v>375</v>
      </c>
      <c r="K38" s="1048"/>
      <c r="L38" s="1049" t="s">
        <v>374</v>
      </c>
    </row>
    <row r="39" spans="1:12" ht="15.6" thickBot="1">
      <c r="A39" s="1055"/>
      <c r="B39" s="1056"/>
      <c r="C39" s="1056"/>
      <c r="D39" s="1056"/>
      <c r="E39" s="1056"/>
      <c r="F39" s="1056"/>
      <c r="G39" s="1056"/>
      <c r="H39" s="1056"/>
      <c r="I39" s="1056"/>
      <c r="J39" s="1056"/>
      <c r="K39" s="1056"/>
      <c r="L39" s="1057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/>
  </sheetViews>
  <sheetFormatPr defaultRowHeight="13.2"/>
  <cols>
    <col min="1" max="1" width="8.44140625" style="314" customWidth="1"/>
    <col min="2" max="2" width="11" style="314" customWidth="1"/>
    <col min="3" max="3" width="35.5546875" style="314" customWidth="1"/>
    <col min="4" max="4" width="7.33203125" style="314" customWidth="1"/>
    <col min="5" max="8" width="14.109375" style="314" customWidth="1"/>
    <col min="9" max="9" width="14.109375" style="464" customWidth="1"/>
    <col min="10" max="10" width="15.44140625" style="314" bestFit="1" customWidth="1"/>
    <col min="11" max="11" width="4.33203125" style="314" customWidth="1"/>
    <col min="12" max="256" width="9.109375" style="314"/>
    <col min="257" max="257" width="8.44140625" style="314" customWidth="1"/>
    <col min="258" max="258" width="11" style="314" customWidth="1"/>
    <col min="259" max="259" width="35.5546875" style="314" customWidth="1"/>
    <col min="260" max="260" width="7.33203125" style="314" customWidth="1"/>
    <col min="261" max="261" width="13.33203125" style="314" bestFit="1" customWidth="1"/>
    <col min="262" max="265" width="13.33203125" style="314" customWidth="1"/>
    <col min="266" max="266" width="15.44140625" style="314" bestFit="1" customWidth="1"/>
    <col min="267" max="267" width="4.33203125" style="314" customWidth="1"/>
    <col min="268" max="512" width="9.109375" style="314"/>
    <col min="513" max="513" width="8.44140625" style="314" customWidth="1"/>
    <col min="514" max="514" width="11" style="314" customWidth="1"/>
    <col min="515" max="515" width="35.5546875" style="314" customWidth="1"/>
    <col min="516" max="516" width="7.33203125" style="314" customWidth="1"/>
    <col min="517" max="517" width="13.33203125" style="314" bestFit="1" customWidth="1"/>
    <col min="518" max="521" width="13.33203125" style="314" customWidth="1"/>
    <col min="522" max="522" width="15.44140625" style="314" bestFit="1" customWidth="1"/>
    <col min="523" max="523" width="4.33203125" style="314" customWidth="1"/>
    <col min="524" max="768" width="9.109375" style="314"/>
    <col min="769" max="769" width="8.44140625" style="314" customWidth="1"/>
    <col min="770" max="770" width="11" style="314" customWidth="1"/>
    <col min="771" max="771" width="35.5546875" style="314" customWidth="1"/>
    <col min="772" max="772" width="7.33203125" style="314" customWidth="1"/>
    <col min="773" max="773" width="13.33203125" style="314" bestFit="1" customWidth="1"/>
    <col min="774" max="777" width="13.33203125" style="314" customWidth="1"/>
    <col min="778" max="778" width="15.44140625" style="314" bestFit="1" customWidth="1"/>
    <col min="779" max="779" width="4.33203125" style="314" customWidth="1"/>
    <col min="780" max="1024" width="9.109375" style="314"/>
    <col min="1025" max="1025" width="8.44140625" style="314" customWidth="1"/>
    <col min="1026" max="1026" width="11" style="314" customWidth="1"/>
    <col min="1027" max="1027" width="35.5546875" style="314" customWidth="1"/>
    <col min="1028" max="1028" width="7.33203125" style="314" customWidth="1"/>
    <col min="1029" max="1029" width="13.33203125" style="314" bestFit="1" customWidth="1"/>
    <col min="1030" max="1033" width="13.33203125" style="314" customWidth="1"/>
    <col min="1034" max="1034" width="15.44140625" style="314" bestFit="1" customWidth="1"/>
    <col min="1035" max="1035" width="4.33203125" style="314" customWidth="1"/>
    <col min="1036" max="1280" width="9.109375" style="314"/>
    <col min="1281" max="1281" width="8.44140625" style="314" customWidth="1"/>
    <col min="1282" max="1282" width="11" style="314" customWidth="1"/>
    <col min="1283" max="1283" width="35.5546875" style="314" customWidth="1"/>
    <col min="1284" max="1284" width="7.33203125" style="314" customWidth="1"/>
    <col min="1285" max="1285" width="13.33203125" style="314" bestFit="1" customWidth="1"/>
    <col min="1286" max="1289" width="13.33203125" style="314" customWidth="1"/>
    <col min="1290" max="1290" width="15.44140625" style="314" bestFit="1" customWidth="1"/>
    <col min="1291" max="1291" width="4.33203125" style="314" customWidth="1"/>
    <col min="1292" max="1536" width="9.109375" style="314"/>
    <col min="1537" max="1537" width="8.44140625" style="314" customWidth="1"/>
    <col min="1538" max="1538" width="11" style="314" customWidth="1"/>
    <col min="1539" max="1539" width="35.5546875" style="314" customWidth="1"/>
    <col min="1540" max="1540" width="7.33203125" style="314" customWidth="1"/>
    <col min="1541" max="1541" width="13.33203125" style="314" bestFit="1" customWidth="1"/>
    <col min="1542" max="1545" width="13.33203125" style="314" customWidth="1"/>
    <col min="1546" max="1546" width="15.44140625" style="314" bestFit="1" customWidth="1"/>
    <col min="1547" max="1547" width="4.33203125" style="314" customWidth="1"/>
    <col min="1548" max="1792" width="9.109375" style="314"/>
    <col min="1793" max="1793" width="8.44140625" style="314" customWidth="1"/>
    <col min="1794" max="1794" width="11" style="314" customWidth="1"/>
    <col min="1795" max="1795" width="35.5546875" style="314" customWidth="1"/>
    <col min="1796" max="1796" width="7.33203125" style="314" customWidth="1"/>
    <col min="1797" max="1797" width="13.33203125" style="314" bestFit="1" customWidth="1"/>
    <col min="1798" max="1801" width="13.33203125" style="314" customWidth="1"/>
    <col min="1802" max="1802" width="15.44140625" style="314" bestFit="1" customWidth="1"/>
    <col min="1803" max="1803" width="4.33203125" style="314" customWidth="1"/>
    <col min="1804" max="2048" width="9.109375" style="314"/>
    <col min="2049" max="2049" width="8.44140625" style="314" customWidth="1"/>
    <col min="2050" max="2050" width="11" style="314" customWidth="1"/>
    <col min="2051" max="2051" width="35.5546875" style="314" customWidth="1"/>
    <col min="2052" max="2052" width="7.33203125" style="314" customWidth="1"/>
    <col min="2053" max="2053" width="13.33203125" style="314" bestFit="1" customWidth="1"/>
    <col min="2054" max="2057" width="13.33203125" style="314" customWidth="1"/>
    <col min="2058" max="2058" width="15.44140625" style="314" bestFit="1" customWidth="1"/>
    <col min="2059" max="2059" width="4.33203125" style="314" customWidth="1"/>
    <col min="2060" max="2304" width="9.109375" style="314"/>
    <col min="2305" max="2305" width="8.44140625" style="314" customWidth="1"/>
    <col min="2306" max="2306" width="11" style="314" customWidth="1"/>
    <col min="2307" max="2307" width="35.5546875" style="314" customWidth="1"/>
    <col min="2308" max="2308" width="7.33203125" style="314" customWidth="1"/>
    <col min="2309" max="2309" width="13.33203125" style="314" bestFit="1" customWidth="1"/>
    <col min="2310" max="2313" width="13.33203125" style="314" customWidth="1"/>
    <col min="2314" max="2314" width="15.44140625" style="314" bestFit="1" customWidth="1"/>
    <col min="2315" max="2315" width="4.33203125" style="314" customWidth="1"/>
    <col min="2316" max="2560" width="9.109375" style="314"/>
    <col min="2561" max="2561" width="8.44140625" style="314" customWidth="1"/>
    <col min="2562" max="2562" width="11" style="314" customWidth="1"/>
    <col min="2563" max="2563" width="35.5546875" style="314" customWidth="1"/>
    <col min="2564" max="2564" width="7.33203125" style="314" customWidth="1"/>
    <col min="2565" max="2565" width="13.33203125" style="314" bestFit="1" customWidth="1"/>
    <col min="2566" max="2569" width="13.33203125" style="314" customWidth="1"/>
    <col min="2570" max="2570" width="15.44140625" style="314" bestFit="1" customWidth="1"/>
    <col min="2571" max="2571" width="4.33203125" style="314" customWidth="1"/>
    <col min="2572" max="2816" width="9.109375" style="314"/>
    <col min="2817" max="2817" width="8.44140625" style="314" customWidth="1"/>
    <col min="2818" max="2818" width="11" style="314" customWidth="1"/>
    <col min="2819" max="2819" width="35.5546875" style="314" customWidth="1"/>
    <col min="2820" max="2820" width="7.33203125" style="314" customWidth="1"/>
    <col min="2821" max="2821" width="13.33203125" style="314" bestFit="1" customWidth="1"/>
    <col min="2822" max="2825" width="13.33203125" style="314" customWidth="1"/>
    <col min="2826" max="2826" width="15.44140625" style="314" bestFit="1" customWidth="1"/>
    <col min="2827" max="2827" width="4.33203125" style="314" customWidth="1"/>
    <col min="2828" max="3072" width="9.109375" style="314"/>
    <col min="3073" max="3073" width="8.44140625" style="314" customWidth="1"/>
    <col min="3074" max="3074" width="11" style="314" customWidth="1"/>
    <col min="3075" max="3075" width="35.5546875" style="314" customWidth="1"/>
    <col min="3076" max="3076" width="7.33203125" style="314" customWidth="1"/>
    <col min="3077" max="3077" width="13.33203125" style="314" bestFit="1" customWidth="1"/>
    <col min="3078" max="3081" width="13.33203125" style="314" customWidth="1"/>
    <col min="3082" max="3082" width="15.44140625" style="314" bestFit="1" customWidth="1"/>
    <col min="3083" max="3083" width="4.33203125" style="314" customWidth="1"/>
    <col min="3084" max="3328" width="9.109375" style="314"/>
    <col min="3329" max="3329" width="8.44140625" style="314" customWidth="1"/>
    <col min="3330" max="3330" width="11" style="314" customWidth="1"/>
    <col min="3331" max="3331" width="35.5546875" style="314" customWidth="1"/>
    <col min="3332" max="3332" width="7.33203125" style="314" customWidth="1"/>
    <col min="3333" max="3333" width="13.33203125" style="314" bestFit="1" customWidth="1"/>
    <col min="3334" max="3337" width="13.33203125" style="314" customWidth="1"/>
    <col min="3338" max="3338" width="15.44140625" style="314" bestFit="1" customWidth="1"/>
    <col min="3339" max="3339" width="4.33203125" style="314" customWidth="1"/>
    <col min="3340" max="3584" width="9.109375" style="314"/>
    <col min="3585" max="3585" width="8.44140625" style="314" customWidth="1"/>
    <col min="3586" max="3586" width="11" style="314" customWidth="1"/>
    <col min="3587" max="3587" width="35.5546875" style="314" customWidth="1"/>
    <col min="3588" max="3588" width="7.33203125" style="314" customWidth="1"/>
    <col min="3589" max="3589" width="13.33203125" style="314" bestFit="1" customWidth="1"/>
    <col min="3590" max="3593" width="13.33203125" style="314" customWidth="1"/>
    <col min="3594" max="3594" width="15.44140625" style="314" bestFit="1" customWidth="1"/>
    <col min="3595" max="3595" width="4.33203125" style="314" customWidth="1"/>
    <col min="3596" max="3840" width="9.109375" style="314"/>
    <col min="3841" max="3841" width="8.44140625" style="314" customWidth="1"/>
    <col min="3842" max="3842" width="11" style="314" customWidth="1"/>
    <col min="3843" max="3843" width="35.5546875" style="314" customWidth="1"/>
    <col min="3844" max="3844" width="7.33203125" style="314" customWidth="1"/>
    <col min="3845" max="3845" width="13.33203125" style="314" bestFit="1" customWidth="1"/>
    <col min="3846" max="3849" width="13.33203125" style="314" customWidth="1"/>
    <col min="3850" max="3850" width="15.44140625" style="314" bestFit="1" customWidth="1"/>
    <col min="3851" max="3851" width="4.33203125" style="314" customWidth="1"/>
    <col min="3852" max="4096" width="9.109375" style="314"/>
    <col min="4097" max="4097" width="8.44140625" style="314" customWidth="1"/>
    <col min="4098" max="4098" width="11" style="314" customWidth="1"/>
    <col min="4099" max="4099" width="35.5546875" style="314" customWidth="1"/>
    <col min="4100" max="4100" width="7.33203125" style="314" customWidth="1"/>
    <col min="4101" max="4101" width="13.33203125" style="314" bestFit="1" customWidth="1"/>
    <col min="4102" max="4105" width="13.33203125" style="314" customWidth="1"/>
    <col min="4106" max="4106" width="15.44140625" style="314" bestFit="1" customWidth="1"/>
    <col min="4107" max="4107" width="4.33203125" style="314" customWidth="1"/>
    <col min="4108" max="4352" width="9.109375" style="314"/>
    <col min="4353" max="4353" width="8.44140625" style="314" customWidth="1"/>
    <col min="4354" max="4354" width="11" style="314" customWidth="1"/>
    <col min="4355" max="4355" width="35.5546875" style="314" customWidth="1"/>
    <col min="4356" max="4356" width="7.33203125" style="314" customWidth="1"/>
    <col min="4357" max="4357" width="13.33203125" style="314" bestFit="1" customWidth="1"/>
    <col min="4358" max="4361" width="13.33203125" style="314" customWidth="1"/>
    <col min="4362" max="4362" width="15.44140625" style="314" bestFit="1" customWidth="1"/>
    <col min="4363" max="4363" width="4.33203125" style="314" customWidth="1"/>
    <col min="4364" max="4608" width="9.109375" style="314"/>
    <col min="4609" max="4609" width="8.44140625" style="314" customWidth="1"/>
    <col min="4610" max="4610" width="11" style="314" customWidth="1"/>
    <col min="4611" max="4611" width="35.5546875" style="314" customWidth="1"/>
    <col min="4612" max="4612" width="7.33203125" style="314" customWidth="1"/>
    <col min="4613" max="4613" width="13.33203125" style="314" bestFit="1" customWidth="1"/>
    <col min="4614" max="4617" width="13.33203125" style="314" customWidth="1"/>
    <col min="4618" max="4618" width="15.44140625" style="314" bestFit="1" customWidth="1"/>
    <col min="4619" max="4619" width="4.33203125" style="314" customWidth="1"/>
    <col min="4620" max="4864" width="9.109375" style="314"/>
    <col min="4865" max="4865" width="8.44140625" style="314" customWidth="1"/>
    <col min="4866" max="4866" width="11" style="314" customWidth="1"/>
    <col min="4867" max="4867" width="35.5546875" style="314" customWidth="1"/>
    <col min="4868" max="4868" width="7.33203125" style="314" customWidth="1"/>
    <col min="4869" max="4869" width="13.33203125" style="314" bestFit="1" customWidth="1"/>
    <col min="4870" max="4873" width="13.33203125" style="314" customWidth="1"/>
    <col min="4874" max="4874" width="15.44140625" style="314" bestFit="1" customWidth="1"/>
    <col min="4875" max="4875" width="4.33203125" style="314" customWidth="1"/>
    <col min="4876" max="5120" width="9.109375" style="314"/>
    <col min="5121" max="5121" width="8.44140625" style="314" customWidth="1"/>
    <col min="5122" max="5122" width="11" style="314" customWidth="1"/>
    <col min="5123" max="5123" width="35.5546875" style="314" customWidth="1"/>
    <col min="5124" max="5124" width="7.33203125" style="314" customWidth="1"/>
    <col min="5125" max="5125" width="13.33203125" style="314" bestFit="1" customWidth="1"/>
    <col min="5126" max="5129" width="13.33203125" style="314" customWidth="1"/>
    <col min="5130" max="5130" width="15.44140625" style="314" bestFit="1" customWidth="1"/>
    <col min="5131" max="5131" width="4.33203125" style="314" customWidth="1"/>
    <col min="5132" max="5376" width="9.109375" style="314"/>
    <col min="5377" max="5377" width="8.44140625" style="314" customWidth="1"/>
    <col min="5378" max="5378" width="11" style="314" customWidth="1"/>
    <col min="5379" max="5379" width="35.5546875" style="314" customWidth="1"/>
    <col min="5380" max="5380" width="7.33203125" style="314" customWidth="1"/>
    <col min="5381" max="5381" width="13.33203125" style="314" bestFit="1" customWidth="1"/>
    <col min="5382" max="5385" width="13.33203125" style="314" customWidth="1"/>
    <col min="5386" max="5386" width="15.44140625" style="314" bestFit="1" customWidth="1"/>
    <col min="5387" max="5387" width="4.33203125" style="314" customWidth="1"/>
    <col min="5388" max="5632" width="9.109375" style="314"/>
    <col min="5633" max="5633" width="8.44140625" style="314" customWidth="1"/>
    <col min="5634" max="5634" width="11" style="314" customWidth="1"/>
    <col min="5635" max="5635" width="35.5546875" style="314" customWidth="1"/>
    <col min="5636" max="5636" width="7.33203125" style="314" customWidth="1"/>
    <col min="5637" max="5637" width="13.33203125" style="314" bestFit="1" customWidth="1"/>
    <col min="5638" max="5641" width="13.33203125" style="314" customWidth="1"/>
    <col min="5642" max="5642" width="15.44140625" style="314" bestFit="1" customWidth="1"/>
    <col min="5643" max="5643" width="4.33203125" style="314" customWidth="1"/>
    <col min="5644" max="5888" width="9.109375" style="314"/>
    <col min="5889" max="5889" width="8.44140625" style="314" customWidth="1"/>
    <col min="5890" max="5890" width="11" style="314" customWidth="1"/>
    <col min="5891" max="5891" width="35.5546875" style="314" customWidth="1"/>
    <col min="5892" max="5892" width="7.33203125" style="314" customWidth="1"/>
    <col min="5893" max="5893" width="13.33203125" style="314" bestFit="1" customWidth="1"/>
    <col min="5894" max="5897" width="13.33203125" style="314" customWidth="1"/>
    <col min="5898" max="5898" width="15.44140625" style="314" bestFit="1" customWidth="1"/>
    <col min="5899" max="5899" width="4.33203125" style="314" customWidth="1"/>
    <col min="5900" max="6144" width="9.109375" style="314"/>
    <col min="6145" max="6145" width="8.44140625" style="314" customWidth="1"/>
    <col min="6146" max="6146" width="11" style="314" customWidth="1"/>
    <col min="6147" max="6147" width="35.5546875" style="314" customWidth="1"/>
    <col min="6148" max="6148" width="7.33203125" style="314" customWidth="1"/>
    <col min="6149" max="6149" width="13.33203125" style="314" bestFit="1" customWidth="1"/>
    <col min="6150" max="6153" width="13.33203125" style="314" customWidth="1"/>
    <col min="6154" max="6154" width="15.44140625" style="314" bestFit="1" customWidth="1"/>
    <col min="6155" max="6155" width="4.33203125" style="314" customWidth="1"/>
    <col min="6156" max="6400" width="9.109375" style="314"/>
    <col min="6401" max="6401" width="8.44140625" style="314" customWidth="1"/>
    <col min="6402" max="6402" width="11" style="314" customWidth="1"/>
    <col min="6403" max="6403" width="35.5546875" style="314" customWidth="1"/>
    <col min="6404" max="6404" width="7.33203125" style="314" customWidth="1"/>
    <col min="6405" max="6405" width="13.33203125" style="314" bestFit="1" customWidth="1"/>
    <col min="6406" max="6409" width="13.33203125" style="314" customWidth="1"/>
    <col min="6410" max="6410" width="15.44140625" style="314" bestFit="1" customWidth="1"/>
    <col min="6411" max="6411" width="4.33203125" style="314" customWidth="1"/>
    <col min="6412" max="6656" width="9.109375" style="314"/>
    <col min="6657" max="6657" width="8.44140625" style="314" customWidth="1"/>
    <col min="6658" max="6658" width="11" style="314" customWidth="1"/>
    <col min="6659" max="6659" width="35.5546875" style="314" customWidth="1"/>
    <col min="6660" max="6660" width="7.33203125" style="314" customWidth="1"/>
    <col min="6661" max="6661" width="13.33203125" style="314" bestFit="1" customWidth="1"/>
    <col min="6662" max="6665" width="13.33203125" style="314" customWidth="1"/>
    <col min="6666" max="6666" width="15.44140625" style="314" bestFit="1" customWidth="1"/>
    <col min="6667" max="6667" width="4.33203125" style="314" customWidth="1"/>
    <col min="6668" max="6912" width="9.109375" style="314"/>
    <col min="6913" max="6913" width="8.44140625" style="314" customWidth="1"/>
    <col min="6914" max="6914" width="11" style="314" customWidth="1"/>
    <col min="6915" max="6915" width="35.5546875" style="314" customWidth="1"/>
    <col min="6916" max="6916" width="7.33203125" style="314" customWidth="1"/>
    <col min="6917" max="6917" width="13.33203125" style="314" bestFit="1" customWidth="1"/>
    <col min="6918" max="6921" width="13.33203125" style="314" customWidth="1"/>
    <col min="6922" max="6922" width="15.44140625" style="314" bestFit="1" customWidth="1"/>
    <col min="6923" max="6923" width="4.33203125" style="314" customWidth="1"/>
    <col min="6924" max="7168" width="9.109375" style="314"/>
    <col min="7169" max="7169" width="8.44140625" style="314" customWidth="1"/>
    <col min="7170" max="7170" width="11" style="314" customWidth="1"/>
    <col min="7171" max="7171" width="35.5546875" style="314" customWidth="1"/>
    <col min="7172" max="7172" width="7.33203125" style="314" customWidth="1"/>
    <col min="7173" max="7173" width="13.33203125" style="314" bestFit="1" customWidth="1"/>
    <col min="7174" max="7177" width="13.33203125" style="314" customWidth="1"/>
    <col min="7178" max="7178" width="15.44140625" style="314" bestFit="1" customWidth="1"/>
    <col min="7179" max="7179" width="4.33203125" style="314" customWidth="1"/>
    <col min="7180" max="7424" width="9.109375" style="314"/>
    <col min="7425" max="7425" width="8.44140625" style="314" customWidth="1"/>
    <col min="7426" max="7426" width="11" style="314" customWidth="1"/>
    <col min="7427" max="7427" width="35.5546875" style="314" customWidth="1"/>
    <col min="7428" max="7428" width="7.33203125" style="314" customWidth="1"/>
    <col min="7429" max="7429" width="13.33203125" style="314" bestFit="1" customWidth="1"/>
    <col min="7430" max="7433" width="13.33203125" style="314" customWidth="1"/>
    <col min="7434" max="7434" width="15.44140625" style="314" bestFit="1" customWidth="1"/>
    <col min="7435" max="7435" width="4.33203125" style="314" customWidth="1"/>
    <col min="7436" max="7680" width="9.109375" style="314"/>
    <col min="7681" max="7681" width="8.44140625" style="314" customWidth="1"/>
    <col min="7682" max="7682" width="11" style="314" customWidth="1"/>
    <col min="7683" max="7683" width="35.5546875" style="314" customWidth="1"/>
    <col min="7684" max="7684" width="7.33203125" style="314" customWidth="1"/>
    <col min="7685" max="7685" width="13.33203125" style="314" bestFit="1" customWidth="1"/>
    <col min="7686" max="7689" width="13.33203125" style="314" customWidth="1"/>
    <col min="7690" max="7690" width="15.44140625" style="314" bestFit="1" customWidth="1"/>
    <col min="7691" max="7691" width="4.33203125" style="314" customWidth="1"/>
    <col min="7692" max="7936" width="9.109375" style="314"/>
    <col min="7937" max="7937" width="8.44140625" style="314" customWidth="1"/>
    <col min="7938" max="7938" width="11" style="314" customWidth="1"/>
    <col min="7939" max="7939" width="35.5546875" style="314" customWidth="1"/>
    <col min="7940" max="7940" width="7.33203125" style="314" customWidth="1"/>
    <col min="7941" max="7941" width="13.33203125" style="314" bestFit="1" customWidth="1"/>
    <col min="7942" max="7945" width="13.33203125" style="314" customWidth="1"/>
    <col min="7946" max="7946" width="15.44140625" style="314" bestFit="1" customWidth="1"/>
    <col min="7947" max="7947" width="4.33203125" style="314" customWidth="1"/>
    <col min="7948" max="8192" width="9.109375" style="314"/>
    <col min="8193" max="8193" width="8.44140625" style="314" customWidth="1"/>
    <col min="8194" max="8194" width="11" style="314" customWidth="1"/>
    <col min="8195" max="8195" width="35.5546875" style="314" customWidth="1"/>
    <col min="8196" max="8196" width="7.33203125" style="314" customWidth="1"/>
    <col min="8197" max="8197" width="13.33203125" style="314" bestFit="1" customWidth="1"/>
    <col min="8198" max="8201" width="13.33203125" style="314" customWidth="1"/>
    <col min="8202" max="8202" width="15.44140625" style="314" bestFit="1" customWidth="1"/>
    <col min="8203" max="8203" width="4.33203125" style="314" customWidth="1"/>
    <col min="8204" max="8448" width="9.109375" style="314"/>
    <col min="8449" max="8449" width="8.44140625" style="314" customWidth="1"/>
    <col min="8450" max="8450" width="11" style="314" customWidth="1"/>
    <col min="8451" max="8451" width="35.5546875" style="314" customWidth="1"/>
    <col min="8452" max="8452" width="7.33203125" style="314" customWidth="1"/>
    <col min="8453" max="8453" width="13.33203125" style="314" bestFit="1" customWidth="1"/>
    <col min="8454" max="8457" width="13.33203125" style="314" customWidth="1"/>
    <col min="8458" max="8458" width="15.44140625" style="314" bestFit="1" customWidth="1"/>
    <col min="8459" max="8459" width="4.33203125" style="314" customWidth="1"/>
    <col min="8460" max="8704" width="9.109375" style="314"/>
    <col min="8705" max="8705" width="8.44140625" style="314" customWidth="1"/>
    <col min="8706" max="8706" width="11" style="314" customWidth="1"/>
    <col min="8707" max="8707" width="35.5546875" style="314" customWidth="1"/>
    <col min="8708" max="8708" width="7.33203125" style="314" customWidth="1"/>
    <col min="8709" max="8709" width="13.33203125" style="314" bestFit="1" customWidth="1"/>
    <col min="8710" max="8713" width="13.33203125" style="314" customWidth="1"/>
    <col min="8714" max="8714" width="15.44140625" style="314" bestFit="1" customWidth="1"/>
    <col min="8715" max="8715" width="4.33203125" style="314" customWidth="1"/>
    <col min="8716" max="8960" width="9.109375" style="314"/>
    <col min="8961" max="8961" width="8.44140625" style="314" customWidth="1"/>
    <col min="8962" max="8962" width="11" style="314" customWidth="1"/>
    <col min="8963" max="8963" width="35.5546875" style="314" customWidth="1"/>
    <col min="8964" max="8964" width="7.33203125" style="314" customWidth="1"/>
    <col min="8965" max="8965" width="13.33203125" style="314" bestFit="1" customWidth="1"/>
    <col min="8966" max="8969" width="13.33203125" style="314" customWidth="1"/>
    <col min="8970" max="8970" width="15.44140625" style="314" bestFit="1" customWidth="1"/>
    <col min="8971" max="8971" width="4.33203125" style="314" customWidth="1"/>
    <col min="8972" max="9216" width="9.109375" style="314"/>
    <col min="9217" max="9217" width="8.44140625" style="314" customWidth="1"/>
    <col min="9218" max="9218" width="11" style="314" customWidth="1"/>
    <col min="9219" max="9219" width="35.5546875" style="314" customWidth="1"/>
    <col min="9220" max="9220" width="7.33203125" style="314" customWidth="1"/>
    <col min="9221" max="9221" width="13.33203125" style="314" bestFit="1" customWidth="1"/>
    <col min="9222" max="9225" width="13.33203125" style="314" customWidth="1"/>
    <col min="9226" max="9226" width="15.44140625" style="314" bestFit="1" customWidth="1"/>
    <col min="9227" max="9227" width="4.33203125" style="314" customWidth="1"/>
    <col min="9228" max="9472" width="9.109375" style="314"/>
    <col min="9473" max="9473" width="8.44140625" style="314" customWidth="1"/>
    <col min="9474" max="9474" width="11" style="314" customWidth="1"/>
    <col min="9475" max="9475" width="35.5546875" style="314" customWidth="1"/>
    <col min="9476" max="9476" width="7.33203125" style="314" customWidth="1"/>
    <col min="9477" max="9477" width="13.33203125" style="314" bestFit="1" customWidth="1"/>
    <col min="9478" max="9481" width="13.33203125" style="314" customWidth="1"/>
    <col min="9482" max="9482" width="15.44140625" style="314" bestFit="1" customWidth="1"/>
    <col min="9483" max="9483" width="4.33203125" style="314" customWidth="1"/>
    <col min="9484" max="9728" width="9.109375" style="314"/>
    <col min="9729" max="9729" width="8.44140625" style="314" customWidth="1"/>
    <col min="9730" max="9730" width="11" style="314" customWidth="1"/>
    <col min="9731" max="9731" width="35.5546875" style="314" customWidth="1"/>
    <col min="9732" max="9732" width="7.33203125" style="314" customWidth="1"/>
    <col min="9733" max="9733" width="13.33203125" style="314" bestFit="1" customWidth="1"/>
    <col min="9734" max="9737" width="13.33203125" style="314" customWidth="1"/>
    <col min="9738" max="9738" width="15.44140625" style="314" bestFit="1" customWidth="1"/>
    <col min="9739" max="9739" width="4.33203125" style="314" customWidth="1"/>
    <col min="9740" max="9984" width="9.109375" style="314"/>
    <col min="9985" max="9985" width="8.44140625" style="314" customWidth="1"/>
    <col min="9986" max="9986" width="11" style="314" customWidth="1"/>
    <col min="9987" max="9987" width="35.5546875" style="314" customWidth="1"/>
    <col min="9988" max="9988" width="7.33203125" style="314" customWidth="1"/>
    <col min="9989" max="9989" width="13.33203125" style="314" bestFit="1" customWidth="1"/>
    <col min="9990" max="9993" width="13.33203125" style="314" customWidth="1"/>
    <col min="9994" max="9994" width="15.44140625" style="314" bestFit="1" customWidth="1"/>
    <col min="9995" max="9995" width="4.33203125" style="314" customWidth="1"/>
    <col min="9996" max="10240" width="9.109375" style="314"/>
    <col min="10241" max="10241" width="8.44140625" style="314" customWidth="1"/>
    <col min="10242" max="10242" width="11" style="314" customWidth="1"/>
    <col min="10243" max="10243" width="35.5546875" style="314" customWidth="1"/>
    <col min="10244" max="10244" width="7.33203125" style="314" customWidth="1"/>
    <col min="10245" max="10245" width="13.33203125" style="314" bestFit="1" customWidth="1"/>
    <col min="10246" max="10249" width="13.33203125" style="314" customWidth="1"/>
    <col min="10250" max="10250" width="15.44140625" style="314" bestFit="1" customWidth="1"/>
    <col min="10251" max="10251" width="4.33203125" style="314" customWidth="1"/>
    <col min="10252" max="10496" width="9.109375" style="314"/>
    <col min="10497" max="10497" width="8.44140625" style="314" customWidth="1"/>
    <col min="10498" max="10498" width="11" style="314" customWidth="1"/>
    <col min="10499" max="10499" width="35.5546875" style="314" customWidth="1"/>
    <col min="10500" max="10500" width="7.33203125" style="314" customWidth="1"/>
    <col min="10501" max="10501" width="13.33203125" style="314" bestFit="1" customWidth="1"/>
    <col min="10502" max="10505" width="13.33203125" style="314" customWidth="1"/>
    <col min="10506" max="10506" width="15.44140625" style="314" bestFit="1" customWidth="1"/>
    <col min="10507" max="10507" width="4.33203125" style="314" customWidth="1"/>
    <col min="10508" max="10752" width="9.109375" style="314"/>
    <col min="10753" max="10753" width="8.44140625" style="314" customWidth="1"/>
    <col min="10754" max="10754" width="11" style="314" customWidth="1"/>
    <col min="10755" max="10755" width="35.5546875" style="314" customWidth="1"/>
    <col min="10756" max="10756" width="7.33203125" style="314" customWidth="1"/>
    <col min="10757" max="10757" width="13.33203125" style="314" bestFit="1" customWidth="1"/>
    <col min="10758" max="10761" width="13.33203125" style="314" customWidth="1"/>
    <col min="10762" max="10762" width="15.44140625" style="314" bestFit="1" customWidth="1"/>
    <col min="10763" max="10763" width="4.33203125" style="314" customWidth="1"/>
    <col min="10764" max="11008" width="9.109375" style="314"/>
    <col min="11009" max="11009" width="8.44140625" style="314" customWidth="1"/>
    <col min="11010" max="11010" width="11" style="314" customWidth="1"/>
    <col min="11011" max="11011" width="35.5546875" style="314" customWidth="1"/>
    <col min="11012" max="11012" width="7.33203125" style="314" customWidth="1"/>
    <col min="11013" max="11013" width="13.33203125" style="314" bestFit="1" customWidth="1"/>
    <col min="11014" max="11017" width="13.33203125" style="314" customWidth="1"/>
    <col min="11018" max="11018" width="15.44140625" style="314" bestFit="1" customWidth="1"/>
    <col min="11019" max="11019" width="4.33203125" style="314" customWidth="1"/>
    <col min="11020" max="11264" width="9.109375" style="314"/>
    <col min="11265" max="11265" width="8.44140625" style="314" customWidth="1"/>
    <col min="11266" max="11266" width="11" style="314" customWidth="1"/>
    <col min="11267" max="11267" width="35.5546875" style="314" customWidth="1"/>
    <col min="11268" max="11268" width="7.33203125" style="314" customWidth="1"/>
    <col min="11269" max="11269" width="13.33203125" style="314" bestFit="1" customWidth="1"/>
    <col min="11270" max="11273" width="13.33203125" style="314" customWidth="1"/>
    <col min="11274" max="11274" width="15.44140625" style="314" bestFit="1" customWidth="1"/>
    <col min="11275" max="11275" width="4.33203125" style="314" customWidth="1"/>
    <col min="11276" max="11520" width="9.109375" style="314"/>
    <col min="11521" max="11521" width="8.44140625" style="314" customWidth="1"/>
    <col min="11522" max="11522" width="11" style="314" customWidth="1"/>
    <col min="11523" max="11523" width="35.5546875" style="314" customWidth="1"/>
    <col min="11524" max="11524" width="7.33203125" style="314" customWidth="1"/>
    <col min="11525" max="11525" width="13.33203125" style="314" bestFit="1" customWidth="1"/>
    <col min="11526" max="11529" width="13.33203125" style="314" customWidth="1"/>
    <col min="11530" max="11530" width="15.44140625" style="314" bestFit="1" customWidth="1"/>
    <col min="11531" max="11531" width="4.33203125" style="314" customWidth="1"/>
    <col min="11532" max="11776" width="9.109375" style="314"/>
    <col min="11777" max="11777" width="8.44140625" style="314" customWidth="1"/>
    <col min="11778" max="11778" width="11" style="314" customWidth="1"/>
    <col min="11779" max="11779" width="35.5546875" style="314" customWidth="1"/>
    <col min="11780" max="11780" width="7.33203125" style="314" customWidth="1"/>
    <col min="11781" max="11781" width="13.33203125" style="314" bestFit="1" customWidth="1"/>
    <col min="11782" max="11785" width="13.33203125" style="314" customWidth="1"/>
    <col min="11786" max="11786" width="15.44140625" style="314" bestFit="1" customWidth="1"/>
    <col min="11787" max="11787" width="4.33203125" style="314" customWidth="1"/>
    <col min="11788" max="12032" width="9.109375" style="314"/>
    <col min="12033" max="12033" width="8.44140625" style="314" customWidth="1"/>
    <col min="12034" max="12034" width="11" style="314" customWidth="1"/>
    <col min="12035" max="12035" width="35.5546875" style="314" customWidth="1"/>
    <col min="12036" max="12036" width="7.33203125" style="314" customWidth="1"/>
    <col min="12037" max="12037" width="13.33203125" style="314" bestFit="1" customWidth="1"/>
    <col min="12038" max="12041" width="13.33203125" style="314" customWidth="1"/>
    <col min="12042" max="12042" width="15.44140625" style="314" bestFit="1" customWidth="1"/>
    <col min="12043" max="12043" width="4.33203125" style="314" customWidth="1"/>
    <col min="12044" max="12288" width="9.109375" style="314"/>
    <col min="12289" max="12289" width="8.44140625" style="314" customWidth="1"/>
    <col min="12290" max="12290" width="11" style="314" customWidth="1"/>
    <col min="12291" max="12291" width="35.5546875" style="314" customWidth="1"/>
    <col min="12292" max="12292" width="7.33203125" style="314" customWidth="1"/>
    <col min="12293" max="12293" width="13.33203125" style="314" bestFit="1" customWidth="1"/>
    <col min="12294" max="12297" width="13.33203125" style="314" customWidth="1"/>
    <col min="12298" max="12298" width="15.44140625" style="314" bestFit="1" customWidth="1"/>
    <col min="12299" max="12299" width="4.33203125" style="314" customWidth="1"/>
    <col min="12300" max="12544" width="9.109375" style="314"/>
    <col min="12545" max="12545" width="8.44140625" style="314" customWidth="1"/>
    <col min="12546" max="12546" width="11" style="314" customWidth="1"/>
    <col min="12547" max="12547" width="35.5546875" style="314" customWidth="1"/>
    <col min="12548" max="12548" width="7.33203125" style="314" customWidth="1"/>
    <col min="12549" max="12549" width="13.33203125" style="314" bestFit="1" customWidth="1"/>
    <col min="12550" max="12553" width="13.33203125" style="314" customWidth="1"/>
    <col min="12554" max="12554" width="15.44140625" style="314" bestFit="1" customWidth="1"/>
    <col min="12555" max="12555" width="4.33203125" style="314" customWidth="1"/>
    <col min="12556" max="12800" width="9.109375" style="314"/>
    <col min="12801" max="12801" width="8.44140625" style="314" customWidth="1"/>
    <col min="12802" max="12802" width="11" style="314" customWidth="1"/>
    <col min="12803" max="12803" width="35.5546875" style="314" customWidth="1"/>
    <col min="12804" max="12804" width="7.33203125" style="314" customWidth="1"/>
    <col min="12805" max="12805" width="13.33203125" style="314" bestFit="1" customWidth="1"/>
    <col min="12806" max="12809" width="13.33203125" style="314" customWidth="1"/>
    <col min="12810" max="12810" width="15.44140625" style="314" bestFit="1" customWidth="1"/>
    <col min="12811" max="12811" width="4.33203125" style="314" customWidth="1"/>
    <col min="12812" max="13056" width="9.109375" style="314"/>
    <col min="13057" max="13057" width="8.44140625" style="314" customWidth="1"/>
    <col min="13058" max="13058" width="11" style="314" customWidth="1"/>
    <col min="13059" max="13059" width="35.5546875" style="314" customWidth="1"/>
    <col min="13060" max="13060" width="7.33203125" style="314" customWidth="1"/>
    <col min="13061" max="13061" width="13.33203125" style="314" bestFit="1" customWidth="1"/>
    <col min="13062" max="13065" width="13.33203125" style="314" customWidth="1"/>
    <col min="13066" max="13066" width="15.44140625" style="314" bestFit="1" customWidth="1"/>
    <col min="13067" max="13067" width="4.33203125" style="314" customWidth="1"/>
    <col min="13068" max="13312" width="9.109375" style="314"/>
    <col min="13313" max="13313" width="8.44140625" style="314" customWidth="1"/>
    <col min="13314" max="13314" width="11" style="314" customWidth="1"/>
    <col min="13315" max="13315" width="35.5546875" style="314" customWidth="1"/>
    <col min="13316" max="13316" width="7.33203125" style="314" customWidth="1"/>
    <col min="13317" max="13317" width="13.33203125" style="314" bestFit="1" customWidth="1"/>
    <col min="13318" max="13321" width="13.33203125" style="314" customWidth="1"/>
    <col min="13322" max="13322" width="15.44140625" style="314" bestFit="1" customWidth="1"/>
    <col min="13323" max="13323" width="4.33203125" style="314" customWidth="1"/>
    <col min="13324" max="13568" width="9.109375" style="314"/>
    <col min="13569" max="13569" width="8.44140625" style="314" customWidth="1"/>
    <col min="13570" max="13570" width="11" style="314" customWidth="1"/>
    <col min="13571" max="13571" width="35.5546875" style="314" customWidth="1"/>
    <col min="13572" max="13572" width="7.33203125" style="314" customWidth="1"/>
    <col min="13573" max="13573" width="13.33203125" style="314" bestFit="1" customWidth="1"/>
    <col min="13574" max="13577" width="13.33203125" style="314" customWidth="1"/>
    <col min="13578" max="13578" width="15.44140625" style="314" bestFit="1" customWidth="1"/>
    <col min="13579" max="13579" width="4.33203125" style="314" customWidth="1"/>
    <col min="13580" max="13824" width="9.109375" style="314"/>
    <col min="13825" max="13825" width="8.44140625" style="314" customWidth="1"/>
    <col min="13826" max="13826" width="11" style="314" customWidth="1"/>
    <col min="13827" max="13827" width="35.5546875" style="314" customWidth="1"/>
    <col min="13828" max="13828" width="7.33203125" style="314" customWidth="1"/>
    <col min="13829" max="13829" width="13.33203125" style="314" bestFit="1" customWidth="1"/>
    <col min="13830" max="13833" width="13.33203125" style="314" customWidth="1"/>
    <col min="13834" max="13834" width="15.44140625" style="314" bestFit="1" customWidth="1"/>
    <col min="13835" max="13835" width="4.33203125" style="314" customWidth="1"/>
    <col min="13836" max="14080" width="9.109375" style="314"/>
    <col min="14081" max="14081" width="8.44140625" style="314" customWidth="1"/>
    <col min="14082" max="14082" width="11" style="314" customWidth="1"/>
    <col min="14083" max="14083" width="35.5546875" style="314" customWidth="1"/>
    <col min="14084" max="14084" width="7.33203125" style="314" customWidth="1"/>
    <col min="14085" max="14085" width="13.33203125" style="314" bestFit="1" customWidth="1"/>
    <col min="14086" max="14089" width="13.33203125" style="314" customWidth="1"/>
    <col min="14090" max="14090" width="15.44140625" style="314" bestFit="1" customWidth="1"/>
    <col min="14091" max="14091" width="4.33203125" style="314" customWidth="1"/>
    <col min="14092" max="14336" width="9.109375" style="314"/>
    <col min="14337" max="14337" width="8.44140625" style="314" customWidth="1"/>
    <col min="14338" max="14338" width="11" style="314" customWidth="1"/>
    <col min="14339" max="14339" width="35.5546875" style="314" customWidth="1"/>
    <col min="14340" max="14340" width="7.33203125" style="314" customWidth="1"/>
    <col min="14341" max="14341" width="13.33203125" style="314" bestFit="1" customWidth="1"/>
    <col min="14342" max="14345" width="13.33203125" style="314" customWidth="1"/>
    <col min="14346" max="14346" width="15.44140625" style="314" bestFit="1" customWidth="1"/>
    <col min="14347" max="14347" width="4.33203125" style="314" customWidth="1"/>
    <col min="14348" max="14592" width="9.109375" style="314"/>
    <col min="14593" max="14593" width="8.44140625" style="314" customWidth="1"/>
    <col min="14594" max="14594" width="11" style="314" customWidth="1"/>
    <col min="14595" max="14595" width="35.5546875" style="314" customWidth="1"/>
    <col min="14596" max="14596" width="7.33203125" style="314" customWidth="1"/>
    <col min="14597" max="14597" width="13.33203125" style="314" bestFit="1" customWidth="1"/>
    <col min="14598" max="14601" width="13.33203125" style="314" customWidth="1"/>
    <col min="14602" max="14602" width="15.44140625" style="314" bestFit="1" customWidth="1"/>
    <col min="14603" max="14603" width="4.33203125" style="314" customWidth="1"/>
    <col min="14604" max="14848" width="9.109375" style="314"/>
    <col min="14849" max="14849" width="8.44140625" style="314" customWidth="1"/>
    <col min="14850" max="14850" width="11" style="314" customWidth="1"/>
    <col min="14851" max="14851" width="35.5546875" style="314" customWidth="1"/>
    <col min="14852" max="14852" width="7.33203125" style="314" customWidth="1"/>
    <col min="14853" max="14853" width="13.33203125" style="314" bestFit="1" customWidth="1"/>
    <col min="14854" max="14857" width="13.33203125" style="314" customWidth="1"/>
    <col min="14858" max="14858" width="15.44140625" style="314" bestFit="1" customWidth="1"/>
    <col min="14859" max="14859" width="4.33203125" style="314" customWidth="1"/>
    <col min="14860" max="15104" width="9.109375" style="314"/>
    <col min="15105" max="15105" width="8.44140625" style="314" customWidth="1"/>
    <col min="15106" max="15106" width="11" style="314" customWidth="1"/>
    <col min="15107" max="15107" width="35.5546875" style="314" customWidth="1"/>
    <col min="15108" max="15108" width="7.33203125" style="314" customWidth="1"/>
    <col min="15109" max="15109" width="13.33203125" style="314" bestFit="1" customWidth="1"/>
    <col min="15110" max="15113" width="13.33203125" style="314" customWidth="1"/>
    <col min="15114" max="15114" width="15.44140625" style="314" bestFit="1" customWidth="1"/>
    <col min="15115" max="15115" width="4.33203125" style="314" customWidth="1"/>
    <col min="15116" max="15360" width="9.109375" style="314"/>
    <col min="15361" max="15361" width="8.44140625" style="314" customWidth="1"/>
    <col min="15362" max="15362" width="11" style="314" customWidth="1"/>
    <col min="15363" max="15363" width="35.5546875" style="314" customWidth="1"/>
    <col min="15364" max="15364" width="7.33203125" style="314" customWidth="1"/>
    <col min="15365" max="15365" width="13.33203125" style="314" bestFit="1" customWidth="1"/>
    <col min="15366" max="15369" width="13.33203125" style="314" customWidth="1"/>
    <col min="15370" max="15370" width="15.44140625" style="314" bestFit="1" customWidth="1"/>
    <col min="15371" max="15371" width="4.33203125" style="314" customWidth="1"/>
    <col min="15372" max="15616" width="9.109375" style="314"/>
    <col min="15617" max="15617" width="8.44140625" style="314" customWidth="1"/>
    <col min="15618" max="15618" width="11" style="314" customWidth="1"/>
    <col min="15619" max="15619" width="35.5546875" style="314" customWidth="1"/>
    <col min="15620" max="15620" width="7.33203125" style="314" customWidth="1"/>
    <col min="15621" max="15621" width="13.33203125" style="314" bestFit="1" customWidth="1"/>
    <col min="15622" max="15625" width="13.33203125" style="314" customWidth="1"/>
    <col min="15626" max="15626" width="15.44140625" style="314" bestFit="1" customWidth="1"/>
    <col min="15627" max="15627" width="4.33203125" style="314" customWidth="1"/>
    <col min="15628" max="15872" width="9.109375" style="314"/>
    <col min="15873" max="15873" width="8.44140625" style="314" customWidth="1"/>
    <col min="15874" max="15874" width="11" style="314" customWidth="1"/>
    <col min="15875" max="15875" width="35.5546875" style="314" customWidth="1"/>
    <col min="15876" max="15876" width="7.33203125" style="314" customWidth="1"/>
    <col min="15877" max="15877" width="13.33203125" style="314" bestFit="1" customWidth="1"/>
    <col min="15878" max="15881" width="13.33203125" style="314" customWidth="1"/>
    <col min="15882" max="15882" width="15.44140625" style="314" bestFit="1" customWidth="1"/>
    <col min="15883" max="15883" width="4.33203125" style="314" customWidth="1"/>
    <col min="15884" max="16128" width="9.109375" style="314"/>
    <col min="16129" max="16129" width="8.44140625" style="314" customWidth="1"/>
    <col min="16130" max="16130" width="11" style="314" customWidth="1"/>
    <col min="16131" max="16131" width="35.5546875" style="314" customWidth="1"/>
    <col min="16132" max="16132" width="7.33203125" style="314" customWidth="1"/>
    <col min="16133" max="16133" width="13.33203125" style="314" bestFit="1" customWidth="1"/>
    <col min="16134" max="16137" width="13.33203125" style="314" customWidth="1"/>
    <col min="16138" max="16138" width="15.44140625" style="314" bestFit="1" customWidth="1"/>
    <col min="16139" max="16139" width="4.33203125" style="314" customWidth="1"/>
    <col min="16140" max="16384" width="9.109375" style="314"/>
  </cols>
  <sheetData>
    <row r="1" spans="1:11" ht="15.6">
      <c r="I1" s="408"/>
      <c r="J1" s="409" t="s">
        <v>376</v>
      </c>
    </row>
    <row r="2" spans="1:11" ht="8.25" customHeight="1">
      <c r="A2" s="1398"/>
      <c r="B2" s="1399"/>
      <c r="C2" s="1399"/>
      <c r="D2" s="1399"/>
      <c r="E2" s="1399"/>
      <c r="F2" s="1399"/>
      <c r="G2" s="1399"/>
      <c r="H2" s="1399"/>
      <c r="I2" s="1399"/>
      <c r="J2" s="1399"/>
    </row>
    <row r="3" spans="1:11" ht="15.75" customHeight="1">
      <c r="A3" s="1400" t="str">
        <f>'Pg 1 Payment'!C3</f>
        <v>NRA.N.007-040-2024/1F</v>
      </c>
      <c r="B3" s="1401"/>
      <c r="C3" s="1401"/>
      <c r="D3" s="403"/>
      <c r="E3" s="853">
        <f>'F1  Cover'!L8</f>
        <v>45169</v>
      </c>
      <c r="F3" s="410"/>
      <c r="G3" s="1402" t="s">
        <v>377</v>
      </c>
      <c r="H3" s="1402"/>
      <c r="I3" s="1387">
        <f>'F1  Cover'!K8</f>
        <v>1</v>
      </c>
      <c r="J3" s="1403"/>
    </row>
    <row r="4" spans="1:11" ht="15.75" customHeight="1" thickBot="1">
      <c r="A4" s="1404"/>
      <c r="B4" s="1405"/>
      <c r="C4" s="1405"/>
      <c r="D4" s="1405"/>
      <c r="E4" s="1405"/>
      <c r="F4" s="1405"/>
      <c r="G4" s="1405"/>
      <c r="H4" s="1405"/>
      <c r="I4" s="1405"/>
      <c r="J4" s="1405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95" t="s">
        <v>378</v>
      </c>
      <c r="B6" s="1396"/>
      <c r="C6" s="1396"/>
      <c r="D6" s="1396"/>
      <c r="E6" s="1396"/>
      <c r="F6" s="1396"/>
      <c r="G6" s="1396"/>
      <c r="H6" s="1396"/>
      <c r="I6" s="1396"/>
      <c r="J6" s="1397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379</v>
      </c>
      <c r="B8" s="1413" t="s">
        <v>0</v>
      </c>
      <c r="C8" s="1414"/>
      <c r="D8" s="419" t="s">
        <v>380</v>
      </c>
      <c r="E8" s="420" t="s">
        <v>381</v>
      </c>
      <c r="F8" s="420" t="s">
        <v>382</v>
      </c>
      <c r="G8" s="420" t="s">
        <v>383</v>
      </c>
      <c r="H8" s="420" t="s">
        <v>384</v>
      </c>
      <c r="I8" s="421" t="s">
        <v>385</v>
      </c>
      <c r="J8" s="422" t="s">
        <v>386</v>
      </c>
    </row>
    <row r="9" spans="1:11" ht="16.5" customHeight="1">
      <c r="A9" s="707">
        <f>'F1  Cover'!A14</f>
        <v>3.2</v>
      </c>
      <c r="B9" s="1406" t="str">
        <f>'F1  Cover'!B14</f>
        <v>PROJECT ASSESSMENT STAGE</v>
      </c>
      <c r="C9" s="1407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406" t="str">
        <f>'F1  Cover'!B16</f>
        <v>INVESTIGATIONS FOR DESIGN DEVELOPMENT</v>
      </c>
      <c r="C10" s="1407"/>
      <c r="D10" s="423" t="str">
        <f>'F1  Cover'!L16</f>
        <v>C3.3</v>
      </c>
      <c r="E10" s="424">
        <f>'C3.3'!J72</f>
        <v>8950000</v>
      </c>
      <c r="F10" s="424">
        <f>'C3.3'!K72</f>
        <v>8950000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406" t="str">
        <f>'F1  Cover'!B18</f>
        <v>DESIGN DEVELOPMENT STAGE</v>
      </c>
      <c r="C11" s="1407"/>
      <c r="D11" s="423" t="str">
        <f>'F1  Cover'!L18</f>
        <v>C3.4</v>
      </c>
      <c r="E11" s="424">
        <f>'C3.4'!J155</f>
        <v>1400000</v>
      </c>
      <c r="F11" s="424">
        <f>'C3.4'!K155</f>
        <v>1400000</v>
      </c>
      <c r="G11" s="424">
        <f>'C3.4'!L155</f>
        <v>0</v>
      </c>
      <c r="H11" s="424">
        <f>'C3.4'!M155</f>
        <v>0</v>
      </c>
      <c r="I11" s="425">
        <f>'C3.4'!N155</f>
        <v>0</v>
      </c>
      <c r="J11" s="426">
        <f t="shared" si="0"/>
        <v>1</v>
      </c>
    </row>
    <row r="12" spans="1:11" ht="16.5" customHeight="1">
      <c r="A12" s="707">
        <f>'F1  Cover'!A20</f>
        <v>3.5</v>
      </c>
      <c r="B12" s="1406" t="str">
        <f>'F1  Cover'!B20</f>
        <v>TENDER DOCUMENTATION</v>
      </c>
      <c r="C12" s="1407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406" t="str">
        <f>'F1  Cover'!B22</f>
        <v>CLARIFICATION MEETING, TENDER PERIOD AND TENDER EVALUATION</v>
      </c>
      <c r="C13" s="1407"/>
      <c r="D13" s="423" t="str">
        <f>'F1  Cover'!L22</f>
        <v>C3.6</v>
      </c>
      <c r="E13" s="424">
        <f>'C3.6'!J16</f>
        <v>20000</v>
      </c>
      <c r="F13" s="424">
        <f>'C3.6'!K16</f>
        <v>20000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406" t="str">
        <f>'F1  Cover'!B24</f>
        <v>ADMINISTRATION AND MONITORING OF THE WORKS CONTRACT</v>
      </c>
      <c r="C14" s="1407"/>
      <c r="D14" s="423" t="str">
        <f>'F1  Cover'!L24</f>
        <v>C3.7</v>
      </c>
      <c r="E14" s="424">
        <f>'C3.7'!J69</f>
        <v>16130000</v>
      </c>
      <c r="F14" s="424">
        <f>'C3.7'!K69</f>
        <v>16130000</v>
      </c>
      <c r="G14" s="424">
        <f>'C3.7'!L69</f>
        <v>0</v>
      </c>
      <c r="H14" s="424">
        <f>'C3.7'!M69</f>
        <v>0</v>
      </c>
      <c r="I14" s="425">
        <f>'C3.7'!N69</f>
        <v>0</v>
      </c>
      <c r="J14" s="426">
        <f t="shared" si="0"/>
        <v>1</v>
      </c>
    </row>
    <row r="15" spans="1:11" ht="16.5" customHeight="1">
      <c r="A15" s="707">
        <f>'F1  Cover'!A26</f>
        <v>3.8</v>
      </c>
      <c r="B15" s="1406" t="str">
        <f>'F1  Cover'!B26</f>
        <v>ADDITIONAL DUTIES, SPECIAL SERVICES AND SPECIALIST ADVICE</v>
      </c>
      <c r="C15" s="1407"/>
      <c r="D15" s="423" t="str">
        <f>'F1  Cover'!L26</f>
        <v>C3.8</v>
      </c>
      <c r="E15" s="424">
        <f>'C3.8'!J41</f>
        <v>1840630</v>
      </c>
      <c r="F15" s="424">
        <f>'C3.8'!K41</f>
        <v>1840630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406" t="str">
        <f>'F1  Cover'!B28</f>
        <v>QUALITY CONTROL: WORKS CONTRACT</v>
      </c>
      <c r="C16" s="1407"/>
      <c r="D16" s="423" t="str">
        <f>'F1  Cover'!L28</f>
        <v>C3.9</v>
      </c>
      <c r="E16" s="424">
        <f>'C3.9'!J13</f>
        <v>18250000</v>
      </c>
      <c r="F16" s="424">
        <f>'C3.9'!K13</f>
        <v>18250000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406" t="str">
        <f>'F1  Cover'!B30</f>
        <v>CLOSE OUT</v>
      </c>
      <c r="C17" s="1407"/>
      <c r="D17" s="423" t="str">
        <f>'F1  Cover'!L30</f>
        <v>C3.10</v>
      </c>
      <c r="E17" s="424">
        <f>'C3.10'!J30</f>
        <v>0</v>
      </c>
      <c r="F17" s="424">
        <f>'C3.10'!K30</f>
        <v>0</v>
      </c>
      <c r="G17" s="424">
        <f>'C3.10'!L30</f>
        <v>0</v>
      </c>
      <c r="H17" s="424">
        <f>'C3.10'!M30</f>
        <v>0</v>
      </c>
      <c r="I17" s="424">
        <f>'C3.10'!N30</f>
        <v>0</v>
      </c>
      <c r="J17" s="426">
        <f t="shared" si="0"/>
        <v>1</v>
      </c>
    </row>
    <row r="18" spans="1:10" ht="16.5" customHeight="1">
      <c r="A18" s="429"/>
      <c r="B18" s="1408" t="s">
        <v>387</v>
      </c>
      <c r="C18" s="1408"/>
      <c r="D18" s="423"/>
      <c r="E18" s="430">
        <f>SUM(E9:E17)</f>
        <v>46590630</v>
      </c>
      <c r="F18" s="430">
        <f>SUM(F9:F17)</f>
        <v>46590630</v>
      </c>
      <c r="G18" s="430">
        <f>SUM(G9:G17)</f>
        <v>0</v>
      </c>
      <c r="H18" s="430">
        <f>SUM(H9:H17)</f>
        <v>0</v>
      </c>
      <c r="I18" s="430">
        <f>SUM(I9:I17)</f>
        <v>0</v>
      </c>
      <c r="J18" s="426">
        <f t="shared" si="0"/>
        <v>1</v>
      </c>
    </row>
    <row r="19" spans="1:10" ht="24" customHeight="1">
      <c r="A19" s="431"/>
      <c r="B19" s="1409" t="s">
        <v>388</v>
      </c>
      <c r="C19" s="1409"/>
      <c r="D19" s="1410"/>
      <c r="E19" s="432"/>
      <c r="F19" s="432"/>
      <c r="G19" s="432"/>
      <c r="H19" s="432"/>
      <c r="I19" s="433"/>
      <c r="J19" s="434">
        <f>I9+I10+I11+I12+I13+I15</f>
        <v>0</v>
      </c>
    </row>
    <row r="20" spans="1:10" ht="24" customHeight="1" thickBot="1">
      <c r="A20" s="435"/>
      <c r="B20" s="1411" t="s">
        <v>389</v>
      </c>
      <c r="C20" s="1411"/>
      <c r="D20" s="1412"/>
      <c r="E20" s="436"/>
      <c r="F20" s="436"/>
      <c r="G20" s="436"/>
      <c r="H20" s="436"/>
      <c r="I20" s="437"/>
      <c r="J20" s="438">
        <f>I14+I16+I17</f>
        <v>0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390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360</v>
      </c>
      <c r="I23" s="450" t="s">
        <v>361</v>
      </c>
      <c r="J23" s="451" t="s">
        <v>391</v>
      </c>
    </row>
    <row r="24" spans="1:10" ht="16.5" customHeight="1">
      <c r="A24" s="452"/>
      <c r="B24" s="453" t="s">
        <v>387</v>
      </c>
      <c r="C24" s="453"/>
      <c r="D24" s="453"/>
      <c r="E24" s="453"/>
      <c r="F24" s="453"/>
      <c r="G24" s="453"/>
      <c r="H24" s="454">
        <f>J19</f>
        <v>0</v>
      </c>
      <c r="I24" s="454">
        <f>J20</f>
        <v>0</v>
      </c>
      <c r="J24" s="455">
        <f>I18</f>
        <v>0</v>
      </c>
    </row>
    <row r="25" spans="1:10" ht="16.5" customHeight="1">
      <c r="A25" s="452"/>
      <c r="B25" s="453" t="s">
        <v>654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392</v>
      </c>
      <c r="C26" s="453"/>
      <c r="D26" s="453"/>
      <c r="E26" s="453"/>
      <c r="F26" s="453"/>
      <c r="G26" s="453"/>
      <c r="H26" s="456">
        <f>'Pg 4 P Sums'!$L$436</f>
        <v>0</v>
      </c>
      <c r="I26" s="456">
        <f>'Pg 4 P Sums'!$L$437</f>
        <v>0</v>
      </c>
      <c r="J26" s="455">
        <f>H26+I26</f>
        <v>0</v>
      </c>
    </row>
    <row r="27" spans="1:10" ht="16.5" hidden="1" customHeight="1">
      <c r="A27" s="452"/>
      <c r="B27" s="453" t="s">
        <v>878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393</v>
      </c>
      <c r="D28" s="453"/>
      <c r="E28" s="453"/>
      <c r="F28" s="453"/>
      <c r="G28" s="453"/>
      <c r="H28" s="456">
        <f>H24+H25-H26-H27</f>
        <v>0</v>
      </c>
      <c r="I28" s="456">
        <f>I24+I25-I26-I27</f>
        <v>0</v>
      </c>
      <c r="J28" s="457">
        <f>J24+J25-J26-J27</f>
        <v>0</v>
      </c>
    </row>
    <row r="29" spans="1:10" ht="16.5" customHeight="1">
      <c r="A29" s="458"/>
      <c r="B29" s="427" t="s">
        <v>394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395</v>
      </c>
      <c r="C30" s="461"/>
      <c r="D30" s="461"/>
      <c r="E30" s="461"/>
      <c r="F30" s="461"/>
      <c r="G30" s="461"/>
      <c r="H30" s="462">
        <f>H28-H29</f>
        <v>0</v>
      </c>
      <c r="I30" s="462">
        <f>I28-I29</f>
        <v>0</v>
      </c>
      <c r="J30" s="463">
        <f>J28-J29</f>
        <v>0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  <mergeCell ref="A6:J6"/>
    <mergeCell ref="A2:J2"/>
    <mergeCell ref="A3:C3"/>
    <mergeCell ref="G3:H3"/>
    <mergeCell ref="I3:J3"/>
    <mergeCell ref="A4:J4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3.2"/>
  <cols>
    <col min="1" max="1" width="19.109375" style="314" customWidth="1"/>
    <col min="2" max="2" width="10.5546875" style="314" customWidth="1"/>
    <col min="3" max="3" width="9.6640625" style="314" customWidth="1"/>
    <col min="4" max="4" width="11.33203125" style="314" customWidth="1"/>
    <col min="5" max="6" width="7" style="314" customWidth="1"/>
    <col min="7" max="7" width="6.6640625" style="314" customWidth="1"/>
    <col min="8" max="8" width="9.88671875" style="314" customWidth="1"/>
    <col min="9" max="9" width="7" style="314" customWidth="1"/>
    <col min="10" max="10" width="9.44140625" style="465" customWidth="1"/>
    <col min="11" max="12" width="11.5546875" style="314" customWidth="1"/>
    <col min="13" max="13" width="13.88671875" style="314" customWidth="1"/>
    <col min="14" max="14" width="13.6640625" style="314" customWidth="1"/>
    <col min="15" max="17" width="13.44140625" style="314" bestFit="1" customWidth="1"/>
    <col min="18" max="256" width="9.109375" style="314"/>
    <col min="257" max="257" width="19.109375" style="314" customWidth="1"/>
    <col min="258" max="258" width="10.5546875" style="314" customWidth="1"/>
    <col min="259" max="259" width="9.6640625" style="314" customWidth="1"/>
    <col min="260" max="260" width="11.33203125" style="314" customWidth="1"/>
    <col min="261" max="262" width="7" style="314" customWidth="1"/>
    <col min="263" max="263" width="6.6640625" style="314" customWidth="1"/>
    <col min="264" max="264" width="9.88671875" style="314" customWidth="1"/>
    <col min="265" max="265" width="7" style="314" customWidth="1"/>
    <col min="266" max="266" width="9.44140625" style="314" customWidth="1"/>
    <col min="267" max="268" width="11.5546875" style="314" customWidth="1"/>
    <col min="269" max="269" width="13.88671875" style="314" customWidth="1"/>
    <col min="270" max="270" width="13.6640625" style="314" customWidth="1"/>
    <col min="271" max="273" width="13.44140625" style="314" bestFit="1" customWidth="1"/>
    <col min="274" max="512" width="9.109375" style="314"/>
    <col min="513" max="513" width="19.109375" style="314" customWidth="1"/>
    <col min="514" max="514" width="10.5546875" style="314" customWidth="1"/>
    <col min="515" max="515" width="9.6640625" style="314" customWidth="1"/>
    <col min="516" max="516" width="11.33203125" style="314" customWidth="1"/>
    <col min="517" max="518" width="7" style="314" customWidth="1"/>
    <col min="519" max="519" width="6.6640625" style="314" customWidth="1"/>
    <col min="520" max="520" width="9.88671875" style="314" customWidth="1"/>
    <col min="521" max="521" width="7" style="314" customWidth="1"/>
    <col min="522" max="522" width="9.44140625" style="314" customWidth="1"/>
    <col min="523" max="524" width="11.5546875" style="314" customWidth="1"/>
    <col min="525" max="525" width="13.88671875" style="314" customWidth="1"/>
    <col min="526" max="526" width="13.6640625" style="314" customWidth="1"/>
    <col min="527" max="529" width="13.44140625" style="314" bestFit="1" customWidth="1"/>
    <col min="530" max="768" width="9.109375" style="314"/>
    <col min="769" max="769" width="19.109375" style="314" customWidth="1"/>
    <col min="770" max="770" width="10.5546875" style="314" customWidth="1"/>
    <col min="771" max="771" width="9.6640625" style="314" customWidth="1"/>
    <col min="772" max="772" width="11.33203125" style="314" customWidth="1"/>
    <col min="773" max="774" width="7" style="314" customWidth="1"/>
    <col min="775" max="775" width="6.6640625" style="314" customWidth="1"/>
    <col min="776" max="776" width="9.88671875" style="314" customWidth="1"/>
    <col min="777" max="777" width="7" style="314" customWidth="1"/>
    <col min="778" max="778" width="9.44140625" style="314" customWidth="1"/>
    <col min="779" max="780" width="11.5546875" style="314" customWidth="1"/>
    <col min="781" max="781" width="13.88671875" style="314" customWidth="1"/>
    <col min="782" max="782" width="13.6640625" style="314" customWidth="1"/>
    <col min="783" max="785" width="13.44140625" style="314" bestFit="1" customWidth="1"/>
    <col min="786" max="1024" width="9.109375" style="314"/>
    <col min="1025" max="1025" width="19.109375" style="314" customWidth="1"/>
    <col min="1026" max="1026" width="10.5546875" style="314" customWidth="1"/>
    <col min="1027" max="1027" width="9.6640625" style="314" customWidth="1"/>
    <col min="1028" max="1028" width="11.33203125" style="314" customWidth="1"/>
    <col min="1029" max="1030" width="7" style="314" customWidth="1"/>
    <col min="1031" max="1031" width="6.6640625" style="314" customWidth="1"/>
    <col min="1032" max="1032" width="9.88671875" style="314" customWidth="1"/>
    <col min="1033" max="1033" width="7" style="314" customWidth="1"/>
    <col min="1034" max="1034" width="9.44140625" style="314" customWidth="1"/>
    <col min="1035" max="1036" width="11.5546875" style="314" customWidth="1"/>
    <col min="1037" max="1037" width="13.88671875" style="314" customWidth="1"/>
    <col min="1038" max="1038" width="13.6640625" style="314" customWidth="1"/>
    <col min="1039" max="1041" width="13.44140625" style="314" bestFit="1" customWidth="1"/>
    <col min="1042" max="1280" width="9.109375" style="314"/>
    <col min="1281" max="1281" width="19.109375" style="314" customWidth="1"/>
    <col min="1282" max="1282" width="10.5546875" style="314" customWidth="1"/>
    <col min="1283" max="1283" width="9.6640625" style="314" customWidth="1"/>
    <col min="1284" max="1284" width="11.33203125" style="314" customWidth="1"/>
    <col min="1285" max="1286" width="7" style="314" customWidth="1"/>
    <col min="1287" max="1287" width="6.6640625" style="314" customWidth="1"/>
    <col min="1288" max="1288" width="9.88671875" style="314" customWidth="1"/>
    <col min="1289" max="1289" width="7" style="314" customWidth="1"/>
    <col min="1290" max="1290" width="9.44140625" style="314" customWidth="1"/>
    <col min="1291" max="1292" width="11.5546875" style="314" customWidth="1"/>
    <col min="1293" max="1293" width="13.88671875" style="314" customWidth="1"/>
    <col min="1294" max="1294" width="13.6640625" style="314" customWidth="1"/>
    <col min="1295" max="1297" width="13.44140625" style="314" bestFit="1" customWidth="1"/>
    <col min="1298" max="1536" width="9.109375" style="314"/>
    <col min="1537" max="1537" width="19.109375" style="314" customWidth="1"/>
    <col min="1538" max="1538" width="10.5546875" style="314" customWidth="1"/>
    <col min="1539" max="1539" width="9.6640625" style="314" customWidth="1"/>
    <col min="1540" max="1540" width="11.33203125" style="314" customWidth="1"/>
    <col min="1541" max="1542" width="7" style="314" customWidth="1"/>
    <col min="1543" max="1543" width="6.6640625" style="314" customWidth="1"/>
    <col min="1544" max="1544" width="9.88671875" style="314" customWidth="1"/>
    <col min="1545" max="1545" width="7" style="314" customWidth="1"/>
    <col min="1546" max="1546" width="9.44140625" style="314" customWidth="1"/>
    <col min="1547" max="1548" width="11.5546875" style="314" customWidth="1"/>
    <col min="1549" max="1549" width="13.88671875" style="314" customWidth="1"/>
    <col min="1550" max="1550" width="13.6640625" style="314" customWidth="1"/>
    <col min="1551" max="1553" width="13.44140625" style="314" bestFit="1" customWidth="1"/>
    <col min="1554" max="1792" width="9.109375" style="314"/>
    <col min="1793" max="1793" width="19.109375" style="314" customWidth="1"/>
    <col min="1794" max="1794" width="10.5546875" style="314" customWidth="1"/>
    <col min="1795" max="1795" width="9.6640625" style="314" customWidth="1"/>
    <col min="1796" max="1796" width="11.33203125" style="314" customWidth="1"/>
    <col min="1797" max="1798" width="7" style="314" customWidth="1"/>
    <col min="1799" max="1799" width="6.6640625" style="314" customWidth="1"/>
    <col min="1800" max="1800" width="9.88671875" style="314" customWidth="1"/>
    <col min="1801" max="1801" width="7" style="314" customWidth="1"/>
    <col min="1802" max="1802" width="9.44140625" style="314" customWidth="1"/>
    <col min="1803" max="1804" width="11.5546875" style="314" customWidth="1"/>
    <col min="1805" max="1805" width="13.88671875" style="314" customWidth="1"/>
    <col min="1806" max="1806" width="13.6640625" style="314" customWidth="1"/>
    <col min="1807" max="1809" width="13.44140625" style="314" bestFit="1" customWidth="1"/>
    <col min="1810" max="2048" width="9.109375" style="314"/>
    <col min="2049" max="2049" width="19.109375" style="314" customWidth="1"/>
    <col min="2050" max="2050" width="10.5546875" style="314" customWidth="1"/>
    <col min="2051" max="2051" width="9.6640625" style="314" customWidth="1"/>
    <col min="2052" max="2052" width="11.33203125" style="314" customWidth="1"/>
    <col min="2053" max="2054" width="7" style="314" customWidth="1"/>
    <col min="2055" max="2055" width="6.6640625" style="314" customWidth="1"/>
    <col min="2056" max="2056" width="9.88671875" style="314" customWidth="1"/>
    <col min="2057" max="2057" width="7" style="314" customWidth="1"/>
    <col min="2058" max="2058" width="9.44140625" style="314" customWidth="1"/>
    <col min="2059" max="2060" width="11.5546875" style="314" customWidth="1"/>
    <col min="2061" max="2061" width="13.88671875" style="314" customWidth="1"/>
    <col min="2062" max="2062" width="13.6640625" style="314" customWidth="1"/>
    <col min="2063" max="2065" width="13.44140625" style="314" bestFit="1" customWidth="1"/>
    <col min="2066" max="2304" width="9.109375" style="314"/>
    <col min="2305" max="2305" width="19.109375" style="314" customWidth="1"/>
    <col min="2306" max="2306" width="10.5546875" style="314" customWidth="1"/>
    <col min="2307" max="2307" width="9.6640625" style="314" customWidth="1"/>
    <col min="2308" max="2308" width="11.33203125" style="314" customWidth="1"/>
    <col min="2309" max="2310" width="7" style="314" customWidth="1"/>
    <col min="2311" max="2311" width="6.6640625" style="314" customWidth="1"/>
    <col min="2312" max="2312" width="9.88671875" style="314" customWidth="1"/>
    <col min="2313" max="2313" width="7" style="314" customWidth="1"/>
    <col min="2314" max="2314" width="9.44140625" style="314" customWidth="1"/>
    <col min="2315" max="2316" width="11.5546875" style="314" customWidth="1"/>
    <col min="2317" max="2317" width="13.88671875" style="314" customWidth="1"/>
    <col min="2318" max="2318" width="13.6640625" style="314" customWidth="1"/>
    <col min="2319" max="2321" width="13.44140625" style="314" bestFit="1" customWidth="1"/>
    <col min="2322" max="2560" width="9.109375" style="314"/>
    <col min="2561" max="2561" width="19.109375" style="314" customWidth="1"/>
    <col min="2562" max="2562" width="10.5546875" style="314" customWidth="1"/>
    <col min="2563" max="2563" width="9.6640625" style="314" customWidth="1"/>
    <col min="2564" max="2564" width="11.33203125" style="314" customWidth="1"/>
    <col min="2565" max="2566" width="7" style="314" customWidth="1"/>
    <col min="2567" max="2567" width="6.6640625" style="314" customWidth="1"/>
    <col min="2568" max="2568" width="9.88671875" style="314" customWidth="1"/>
    <col min="2569" max="2569" width="7" style="314" customWidth="1"/>
    <col min="2570" max="2570" width="9.44140625" style="314" customWidth="1"/>
    <col min="2571" max="2572" width="11.5546875" style="314" customWidth="1"/>
    <col min="2573" max="2573" width="13.88671875" style="314" customWidth="1"/>
    <col min="2574" max="2574" width="13.6640625" style="314" customWidth="1"/>
    <col min="2575" max="2577" width="13.44140625" style="314" bestFit="1" customWidth="1"/>
    <col min="2578" max="2816" width="9.109375" style="314"/>
    <col min="2817" max="2817" width="19.109375" style="314" customWidth="1"/>
    <col min="2818" max="2818" width="10.5546875" style="314" customWidth="1"/>
    <col min="2819" max="2819" width="9.6640625" style="314" customWidth="1"/>
    <col min="2820" max="2820" width="11.33203125" style="314" customWidth="1"/>
    <col min="2821" max="2822" width="7" style="314" customWidth="1"/>
    <col min="2823" max="2823" width="6.6640625" style="314" customWidth="1"/>
    <col min="2824" max="2824" width="9.88671875" style="314" customWidth="1"/>
    <col min="2825" max="2825" width="7" style="314" customWidth="1"/>
    <col min="2826" max="2826" width="9.44140625" style="314" customWidth="1"/>
    <col min="2827" max="2828" width="11.5546875" style="314" customWidth="1"/>
    <col min="2829" max="2829" width="13.88671875" style="314" customWidth="1"/>
    <col min="2830" max="2830" width="13.6640625" style="314" customWidth="1"/>
    <col min="2831" max="2833" width="13.44140625" style="314" bestFit="1" customWidth="1"/>
    <col min="2834" max="3072" width="9.109375" style="314"/>
    <col min="3073" max="3073" width="19.109375" style="314" customWidth="1"/>
    <col min="3074" max="3074" width="10.5546875" style="314" customWidth="1"/>
    <col min="3075" max="3075" width="9.6640625" style="314" customWidth="1"/>
    <col min="3076" max="3076" width="11.33203125" style="314" customWidth="1"/>
    <col min="3077" max="3078" width="7" style="314" customWidth="1"/>
    <col min="3079" max="3079" width="6.6640625" style="314" customWidth="1"/>
    <col min="3080" max="3080" width="9.88671875" style="314" customWidth="1"/>
    <col min="3081" max="3081" width="7" style="314" customWidth="1"/>
    <col min="3082" max="3082" width="9.44140625" style="314" customWidth="1"/>
    <col min="3083" max="3084" width="11.5546875" style="314" customWidth="1"/>
    <col min="3085" max="3085" width="13.88671875" style="314" customWidth="1"/>
    <col min="3086" max="3086" width="13.6640625" style="314" customWidth="1"/>
    <col min="3087" max="3089" width="13.44140625" style="314" bestFit="1" customWidth="1"/>
    <col min="3090" max="3328" width="9.109375" style="314"/>
    <col min="3329" max="3329" width="19.109375" style="314" customWidth="1"/>
    <col min="3330" max="3330" width="10.5546875" style="314" customWidth="1"/>
    <col min="3331" max="3331" width="9.6640625" style="314" customWidth="1"/>
    <col min="3332" max="3332" width="11.33203125" style="314" customWidth="1"/>
    <col min="3333" max="3334" width="7" style="314" customWidth="1"/>
    <col min="3335" max="3335" width="6.6640625" style="314" customWidth="1"/>
    <col min="3336" max="3336" width="9.88671875" style="314" customWidth="1"/>
    <col min="3337" max="3337" width="7" style="314" customWidth="1"/>
    <col min="3338" max="3338" width="9.44140625" style="314" customWidth="1"/>
    <col min="3339" max="3340" width="11.5546875" style="314" customWidth="1"/>
    <col min="3341" max="3341" width="13.88671875" style="314" customWidth="1"/>
    <col min="3342" max="3342" width="13.6640625" style="314" customWidth="1"/>
    <col min="3343" max="3345" width="13.44140625" style="314" bestFit="1" customWidth="1"/>
    <col min="3346" max="3584" width="9.109375" style="314"/>
    <col min="3585" max="3585" width="19.109375" style="314" customWidth="1"/>
    <col min="3586" max="3586" width="10.5546875" style="314" customWidth="1"/>
    <col min="3587" max="3587" width="9.6640625" style="314" customWidth="1"/>
    <col min="3588" max="3588" width="11.33203125" style="314" customWidth="1"/>
    <col min="3589" max="3590" width="7" style="314" customWidth="1"/>
    <col min="3591" max="3591" width="6.6640625" style="314" customWidth="1"/>
    <col min="3592" max="3592" width="9.88671875" style="314" customWidth="1"/>
    <col min="3593" max="3593" width="7" style="314" customWidth="1"/>
    <col min="3594" max="3594" width="9.44140625" style="314" customWidth="1"/>
    <col min="3595" max="3596" width="11.5546875" style="314" customWidth="1"/>
    <col min="3597" max="3597" width="13.88671875" style="314" customWidth="1"/>
    <col min="3598" max="3598" width="13.6640625" style="314" customWidth="1"/>
    <col min="3599" max="3601" width="13.44140625" style="314" bestFit="1" customWidth="1"/>
    <col min="3602" max="3840" width="9.109375" style="314"/>
    <col min="3841" max="3841" width="19.109375" style="314" customWidth="1"/>
    <col min="3842" max="3842" width="10.5546875" style="314" customWidth="1"/>
    <col min="3843" max="3843" width="9.6640625" style="314" customWidth="1"/>
    <col min="3844" max="3844" width="11.33203125" style="314" customWidth="1"/>
    <col min="3845" max="3846" width="7" style="314" customWidth="1"/>
    <col min="3847" max="3847" width="6.6640625" style="314" customWidth="1"/>
    <col min="3848" max="3848" width="9.88671875" style="314" customWidth="1"/>
    <col min="3849" max="3849" width="7" style="314" customWidth="1"/>
    <col min="3850" max="3850" width="9.44140625" style="314" customWidth="1"/>
    <col min="3851" max="3852" width="11.5546875" style="314" customWidth="1"/>
    <col min="3853" max="3853" width="13.88671875" style="314" customWidth="1"/>
    <col min="3854" max="3854" width="13.6640625" style="314" customWidth="1"/>
    <col min="3855" max="3857" width="13.44140625" style="314" bestFit="1" customWidth="1"/>
    <col min="3858" max="4096" width="9.109375" style="314"/>
    <col min="4097" max="4097" width="19.109375" style="314" customWidth="1"/>
    <col min="4098" max="4098" width="10.5546875" style="314" customWidth="1"/>
    <col min="4099" max="4099" width="9.6640625" style="314" customWidth="1"/>
    <col min="4100" max="4100" width="11.33203125" style="314" customWidth="1"/>
    <col min="4101" max="4102" width="7" style="314" customWidth="1"/>
    <col min="4103" max="4103" width="6.6640625" style="314" customWidth="1"/>
    <col min="4104" max="4104" width="9.88671875" style="314" customWidth="1"/>
    <col min="4105" max="4105" width="7" style="314" customWidth="1"/>
    <col min="4106" max="4106" width="9.44140625" style="314" customWidth="1"/>
    <col min="4107" max="4108" width="11.5546875" style="314" customWidth="1"/>
    <col min="4109" max="4109" width="13.88671875" style="314" customWidth="1"/>
    <col min="4110" max="4110" width="13.6640625" style="314" customWidth="1"/>
    <col min="4111" max="4113" width="13.44140625" style="314" bestFit="1" customWidth="1"/>
    <col min="4114" max="4352" width="9.109375" style="314"/>
    <col min="4353" max="4353" width="19.109375" style="314" customWidth="1"/>
    <col min="4354" max="4354" width="10.5546875" style="314" customWidth="1"/>
    <col min="4355" max="4355" width="9.6640625" style="314" customWidth="1"/>
    <col min="4356" max="4356" width="11.33203125" style="314" customWidth="1"/>
    <col min="4357" max="4358" width="7" style="314" customWidth="1"/>
    <col min="4359" max="4359" width="6.6640625" style="314" customWidth="1"/>
    <col min="4360" max="4360" width="9.88671875" style="314" customWidth="1"/>
    <col min="4361" max="4361" width="7" style="314" customWidth="1"/>
    <col min="4362" max="4362" width="9.44140625" style="314" customWidth="1"/>
    <col min="4363" max="4364" width="11.5546875" style="314" customWidth="1"/>
    <col min="4365" max="4365" width="13.88671875" style="314" customWidth="1"/>
    <col min="4366" max="4366" width="13.6640625" style="314" customWidth="1"/>
    <col min="4367" max="4369" width="13.44140625" style="314" bestFit="1" customWidth="1"/>
    <col min="4370" max="4608" width="9.109375" style="314"/>
    <col min="4609" max="4609" width="19.109375" style="314" customWidth="1"/>
    <col min="4610" max="4610" width="10.5546875" style="314" customWidth="1"/>
    <col min="4611" max="4611" width="9.6640625" style="314" customWidth="1"/>
    <col min="4612" max="4612" width="11.33203125" style="314" customWidth="1"/>
    <col min="4613" max="4614" width="7" style="314" customWidth="1"/>
    <col min="4615" max="4615" width="6.6640625" style="314" customWidth="1"/>
    <col min="4616" max="4616" width="9.88671875" style="314" customWidth="1"/>
    <col min="4617" max="4617" width="7" style="314" customWidth="1"/>
    <col min="4618" max="4618" width="9.44140625" style="314" customWidth="1"/>
    <col min="4619" max="4620" width="11.5546875" style="314" customWidth="1"/>
    <col min="4621" max="4621" width="13.88671875" style="314" customWidth="1"/>
    <col min="4622" max="4622" width="13.6640625" style="314" customWidth="1"/>
    <col min="4623" max="4625" width="13.44140625" style="314" bestFit="1" customWidth="1"/>
    <col min="4626" max="4864" width="9.109375" style="314"/>
    <col min="4865" max="4865" width="19.109375" style="314" customWidth="1"/>
    <col min="4866" max="4866" width="10.5546875" style="314" customWidth="1"/>
    <col min="4867" max="4867" width="9.6640625" style="314" customWidth="1"/>
    <col min="4868" max="4868" width="11.33203125" style="314" customWidth="1"/>
    <col min="4869" max="4870" width="7" style="314" customWidth="1"/>
    <col min="4871" max="4871" width="6.6640625" style="314" customWidth="1"/>
    <col min="4872" max="4872" width="9.88671875" style="314" customWidth="1"/>
    <col min="4873" max="4873" width="7" style="314" customWidth="1"/>
    <col min="4874" max="4874" width="9.44140625" style="314" customWidth="1"/>
    <col min="4875" max="4876" width="11.5546875" style="314" customWidth="1"/>
    <col min="4877" max="4877" width="13.88671875" style="314" customWidth="1"/>
    <col min="4878" max="4878" width="13.6640625" style="314" customWidth="1"/>
    <col min="4879" max="4881" width="13.44140625" style="314" bestFit="1" customWidth="1"/>
    <col min="4882" max="5120" width="9.109375" style="314"/>
    <col min="5121" max="5121" width="19.109375" style="314" customWidth="1"/>
    <col min="5122" max="5122" width="10.5546875" style="314" customWidth="1"/>
    <col min="5123" max="5123" width="9.6640625" style="314" customWidth="1"/>
    <col min="5124" max="5124" width="11.33203125" style="314" customWidth="1"/>
    <col min="5125" max="5126" width="7" style="314" customWidth="1"/>
    <col min="5127" max="5127" width="6.6640625" style="314" customWidth="1"/>
    <col min="5128" max="5128" width="9.88671875" style="314" customWidth="1"/>
    <col min="5129" max="5129" width="7" style="314" customWidth="1"/>
    <col min="5130" max="5130" width="9.44140625" style="314" customWidth="1"/>
    <col min="5131" max="5132" width="11.5546875" style="314" customWidth="1"/>
    <col min="5133" max="5133" width="13.88671875" style="314" customWidth="1"/>
    <col min="5134" max="5134" width="13.6640625" style="314" customWidth="1"/>
    <col min="5135" max="5137" width="13.44140625" style="314" bestFit="1" customWidth="1"/>
    <col min="5138" max="5376" width="9.109375" style="314"/>
    <col min="5377" max="5377" width="19.109375" style="314" customWidth="1"/>
    <col min="5378" max="5378" width="10.5546875" style="314" customWidth="1"/>
    <col min="5379" max="5379" width="9.6640625" style="314" customWidth="1"/>
    <col min="5380" max="5380" width="11.33203125" style="314" customWidth="1"/>
    <col min="5381" max="5382" width="7" style="314" customWidth="1"/>
    <col min="5383" max="5383" width="6.6640625" style="314" customWidth="1"/>
    <col min="5384" max="5384" width="9.88671875" style="314" customWidth="1"/>
    <col min="5385" max="5385" width="7" style="314" customWidth="1"/>
    <col min="5386" max="5386" width="9.44140625" style="314" customWidth="1"/>
    <col min="5387" max="5388" width="11.5546875" style="314" customWidth="1"/>
    <col min="5389" max="5389" width="13.88671875" style="314" customWidth="1"/>
    <col min="5390" max="5390" width="13.6640625" style="314" customWidth="1"/>
    <col min="5391" max="5393" width="13.44140625" style="314" bestFit="1" customWidth="1"/>
    <col min="5394" max="5632" width="9.109375" style="314"/>
    <col min="5633" max="5633" width="19.109375" style="314" customWidth="1"/>
    <col min="5634" max="5634" width="10.5546875" style="314" customWidth="1"/>
    <col min="5635" max="5635" width="9.6640625" style="314" customWidth="1"/>
    <col min="5636" max="5636" width="11.33203125" style="314" customWidth="1"/>
    <col min="5637" max="5638" width="7" style="314" customWidth="1"/>
    <col min="5639" max="5639" width="6.6640625" style="314" customWidth="1"/>
    <col min="5640" max="5640" width="9.88671875" style="314" customWidth="1"/>
    <col min="5641" max="5641" width="7" style="314" customWidth="1"/>
    <col min="5642" max="5642" width="9.44140625" style="314" customWidth="1"/>
    <col min="5643" max="5644" width="11.5546875" style="314" customWidth="1"/>
    <col min="5645" max="5645" width="13.88671875" style="314" customWidth="1"/>
    <col min="5646" max="5646" width="13.6640625" style="314" customWidth="1"/>
    <col min="5647" max="5649" width="13.44140625" style="314" bestFit="1" customWidth="1"/>
    <col min="5650" max="5888" width="9.109375" style="314"/>
    <col min="5889" max="5889" width="19.109375" style="314" customWidth="1"/>
    <col min="5890" max="5890" width="10.5546875" style="314" customWidth="1"/>
    <col min="5891" max="5891" width="9.6640625" style="314" customWidth="1"/>
    <col min="5892" max="5892" width="11.33203125" style="314" customWidth="1"/>
    <col min="5893" max="5894" width="7" style="314" customWidth="1"/>
    <col min="5895" max="5895" width="6.6640625" style="314" customWidth="1"/>
    <col min="5896" max="5896" width="9.88671875" style="314" customWidth="1"/>
    <col min="5897" max="5897" width="7" style="314" customWidth="1"/>
    <col min="5898" max="5898" width="9.44140625" style="314" customWidth="1"/>
    <col min="5899" max="5900" width="11.5546875" style="314" customWidth="1"/>
    <col min="5901" max="5901" width="13.88671875" style="314" customWidth="1"/>
    <col min="5902" max="5902" width="13.6640625" style="314" customWidth="1"/>
    <col min="5903" max="5905" width="13.44140625" style="314" bestFit="1" customWidth="1"/>
    <col min="5906" max="6144" width="9.109375" style="314"/>
    <col min="6145" max="6145" width="19.109375" style="314" customWidth="1"/>
    <col min="6146" max="6146" width="10.5546875" style="314" customWidth="1"/>
    <col min="6147" max="6147" width="9.6640625" style="314" customWidth="1"/>
    <col min="6148" max="6148" width="11.33203125" style="314" customWidth="1"/>
    <col min="6149" max="6150" width="7" style="314" customWidth="1"/>
    <col min="6151" max="6151" width="6.6640625" style="314" customWidth="1"/>
    <col min="6152" max="6152" width="9.88671875" style="314" customWidth="1"/>
    <col min="6153" max="6153" width="7" style="314" customWidth="1"/>
    <col min="6154" max="6154" width="9.44140625" style="314" customWidth="1"/>
    <col min="6155" max="6156" width="11.5546875" style="314" customWidth="1"/>
    <col min="6157" max="6157" width="13.88671875" style="314" customWidth="1"/>
    <col min="6158" max="6158" width="13.6640625" style="314" customWidth="1"/>
    <col min="6159" max="6161" width="13.44140625" style="314" bestFit="1" customWidth="1"/>
    <col min="6162" max="6400" width="9.109375" style="314"/>
    <col min="6401" max="6401" width="19.109375" style="314" customWidth="1"/>
    <col min="6402" max="6402" width="10.5546875" style="314" customWidth="1"/>
    <col min="6403" max="6403" width="9.6640625" style="314" customWidth="1"/>
    <col min="6404" max="6404" width="11.33203125" style="314" customWidth="1"/>
    <col min="6405" max="6406" width="7" style="314" customWidth="1"/>
    <col min="6407" max="6407" width="6.6640625" style="314" customWidth="1"/>
    <col min="6408" max="6408" width="9.88671875" style="314" customWidth="1"/>
    <col min="6409" max="6409" width="7" style="314" customWidth="1"/>
    <col min="6410" max="6410" width="9.44140625" style="314" customWidth="1"/>
    <col min="6411" max="6412" width="11.5546875" style="314" customWidth="1"/>
    <col min="6413" max="6413" width="13.88671875" style="314" customWidth="1"/>
    <col min="6414" max="6414" width="13.6640625" style="314" customWidth="1"/>
    <col min="6415" max="6417" width="13.44140625" style="314" bestFit="1" customWidth="1"/>
    <col min="6418" max="6656" width="9.109375" style="314"/>
    <col min="6657" max="6657" width="19.109375" style="314" customWidth="1"/>
    <col min="6658" max="6658" width="10.5546875" style="314" customWidth="1"/>
    <col min="6659" max="6659" width="9.6640625" style="314" customWidth="1"/>
    <col min="6660" max="6660" width="11.33203125" style="314" customWidth="1"/>
    <col min="6661" max="6662" width="7" style="314" customWidth="1"/>
    <col min="6663" max="6663" width="6.6640625" style="314" customWidth="1"/>
    <col min="6664" max="6664" width="9.88671875" style="314" customWidth="1"/>
    <col min="6665" max="6665" width="7" style="314" customWidth="1"/>
    <col min="6666" max="6666" width="9.44140625" style="314" customWidth="1"/>
    <col min="6667" max="6668" width="11.5546875" style="314" customWidth="1"/>
    <col min="6669" max="6669" width="13.88671875" style="314" customWidth="1"/>
    <col min="6670" max="6670" width="13.6640625" style="314" customWidth="1"/>
    <col min="6671" max="6673" width="13.44140625" style="314" bestFit="1" customWidth="1"/>
    <col min="6674" max="6912" width="9.109375" style="314"/>
    <col min="6913" max="6913" width="19.109375" style="314" customWidth="1"/>
    <col min="6914" max="6914" width="10.5546875" style="314" customWidth="1"/>
    <col min="6915" max="6915" width="9.6640625" style="314" customWidth="1"/>
    <col min="6916" max="6916" width="11.33203125" style="314" customWidth="1"/>
    <col min="6917" max="6918" width="7" style="314" customWidth="1"/>
    <col min="6919" max="6919" width="6.6640625" style="314" customWidth="1"/>
    <col min="6920" max="6920" width="9.88671875" style="314" customWidth="1"/>
    <col min="6921" max="6921" width="7" style="314" customWidth="1"/>
    <col min="6922" max="6922" width="9.44140625" style="314" customWidth="1"/>
    <col min="6923" max="6924" width="11.5546875" style="314" customWidth="1"/>
    <col min="6925" max="6925" width="13.88671875" style="314" customWidth="1"/>
    <col min="6926" max="6926" width="13.6640625" style="314" customWidth="1"/>
    <col min="6927" max="6929" width="13.44140625" style="314" bestFit="1" customWidth="1"/>
    <col min="6930" max="7168" width="9.109375" style="314"/>
    <col min="7169" max="7169" width="19.109375" style="314" customWidth="1"/>
    <col min="7170" max="7170" width="10.5546875" style="314" customWidth="1"/>
    <col min="7171" max="7171" width="9.6640625" style="314" customWidth="1"/>
    <col min="7172" max="7172" width="11.33203125" style="314" customWidth="1"/>
    <col min="7173" max="7174" width="7" style="314" customWidth="1"/>
    <col min="7175" max="7175" width="6.6640625" style="314" customWidth="1"/>
    <col min="7176" max="7176" width="9.88671875" style="314" customWidth="1"/>
    <col min="7177" max="7177" width="7" style="314" customWidth="1"/>
    <col min="7178" max="7178" width="9.44140625" style="314" customWidth="1"/>
    <col min="7179" max="7180" width="11.5546875" style="314" customWidth="1"/>
    <col min="7181" max="7181" width="13.88671875" style="314" customWidth="1"/>
    <col min="7182" max="7182" width="13.6640625" style="314" customWidth="1"/>
    <col min="7183" max="7185" width="13.44140625" style="314" bestFit="1" customWidth="1"/>
    <col min="7186" max="7424" width="9.109375" style="314"/>
    <col min="7425" max="7425" width="19.109375" style="314" customWidth="1"/>
    <col min="7426" max="7426" width="10.5546875" style="314" customWidth="1"/>
    <col min="7427" max="7427" width="9.6640625" style="314" customWidth="1"/>
    <col min="7428" max="7428" width="11.33203125" style="314" customWidth="1"/>
    <col min="7429" max="7430" width="7" style="314" customWidth="1"/>
    <col min="7431" max="7431" width="6.6640625" style="314" customWidth="1"/>
    <col min="7432" max="7432" width="9.88671875" style="314" customWidth="1"/>
    <col min="7433" max="7433" width="7" style="314" customWidth="1"/>
    <col min="7434" max="7434" width="9.44140625" style="314" customWidth="1"/>
    <col min="7435" max="7436" width="11.5546875" style="314" customWidth="1"/>
    <col min="7437" max="7437" width="13.88671875" style="314" customWidth="1"/>
    <col min="7438" max="7438" width="13.6640625" style="314" customWidth="1"/>
    <col min="7439" max="7441" width="13.44140625" style="314" bestFit="1" customWidth="1"/>
    <col min="7442" max="7680" width="9.109375" style="314"/>
    <col min="7681" max="7681" width="19.109375" style="314" customWidth="1"/>
    <col min="7682" max="7682" width="10.5546875" style="314" customWidth="1"/>
    <col min="7683" max="7683" width="9.6640625" style="314" customWidth="1"/>
    <col min="7684" max="7684" width="11.33203125" style="314" customWidth="1"/>
    <col min="7685" max="7686" width="7" style="314" customWidth="1"/>
    <col min="7687" max="7687" width="6.6640625" style="314" customWidth="1"/>
    <col min="7688" max="7688" width="9.88671875" style="314" customWidth="1"/>
    <col min="7689" max="7689" width="7" style="314" customWidth="1"/>
    <col min="7690" max="7690" width="9.44140625" style="314" customWidth="1"/>
    <col min="7691" max="7692" width="11.5546875" style="314" customWidth="1"/>
    <col min="7693" max="7693" width="13.88671875" style="314" customWidth="1"/>
    <col min="7694" max="7694" width="13.6640625" style="314" customWidth="1"/>
    <col min="7695" max="7697" width="13.44140625" style="314" bestFit="1" customWidth="1"/>
    <col min="7698" max="7936" width="9.109375" style="314"/>
    <col min="7937" max="7937" width="19.109375" style="314" customWidth="1"/>
    <col min="7938" max="7938" width="10.5546875" style="314" customWidth="1"/>
    <col min="7939" max="7939" width="9.6640625" style="314" customWidth="1"/>
    <col min="7940" max="7940" width="11.33203125" style="314" customWidth="1"/>
    <col min="7941" max="7942" width="7" style="314" customWidth="1"/>
    <col min="7943" max="7943" width="6.6640625" style="314" customWidth="1"/>
    <col min="7944" max="7944" width="9.88671875" style="314" customWidth="1"/>
    <col min="7945" max="7945" width="7" style="314" customWidth="1"/>
    <col min="7946" max="7946" width="9.44140625" style="314" customWidth="1"/>
    <col min="7947" max="7948" width="11.5546875" style="314" customWidth="1"/>
    <col min="7949" max="7949" width="13.88671875" style="314" customWidth="1"/>
    <col min="7950" max="7950" width="13.6640625" style="314" customWidth="1"/>
    <col min="7951" max="7953" width="13.44140625" style="314" bestFit="1" customWidth="1"/>
    <col min="7954" max="8192" width="9.109375" style="314"/>
    <col min="8193" max="8193" width="19.109375" style="314" customWidth="1"/>
    <col min="8194" max="8194" width="10.5546875" style="314" customWidth="1"/>
    <col min="8195" max="8195" width="9.6640625" style="314" customWidth="1"/>
    <col min="8196" max="8196" width="11.33203125" style="314" customWidth="1"/>
    <col min="8197" max="8198" width="7" style="314" customWidth="1"/>
    <col min="8199" max="8199" width="6.6640625" style="314" customWidth="1"/>
    <col min="8200" max="8200" width="9.88671875" style="314" customWidth="1"/>
    <col min="8201" max="8201" width="7" style="314" customWidth="1"/>
    <col min="8202" max="8202" width="9.44140625" style="314" customWidth="1"/>
    <col min="8203" max="8204" width="11.5546875" style="314" customWidth="1"/>
    <col min="8205" max="8205" width="13.88671875" style="314" customWidth="1"/>
    <col min="8206" max="8206" width="13.6640625" style="314" customWidth="1"/>
    <col min="8207" max="8209" width="13.44140625" style="314" bestFit="1" customWidth="1"/>
    <col min="8210" max="8448" width="9.109375" style="314"/>
    <col min="8449" max="8449" width="19.109375" style="314" customWidth="1"/>
    <col min="8450" max="8450" width="10.5546875" style="314" customWidth="1"/>
    <col min="8451" max="8451" width="9.6640625" style="314" customWidth="1"/>
    <col min="8452" max="8452" width="11.33203125" style="314" customWidth="1"/>
    <col min="8453" max="8454" width="7" style="314" customWidth="1"/>
    <col min="8455" max="8455" width="6.6640625" style="314" customWidth="1"/>
    <col min="8456" max="8456" width="9.88671875" style="314" customWidth="1"/>
    <col min="8457" max="8457" width="7" style="314" customWidth="1"/>
    <col min="8458" max="8458" width="9.44140625" style="314" customWidth="1"/>
    <col min="8459" max="8460" width="11.5546875" style="314" customWidth="1"/>
    <col min="8461" max="8461" width="13.88671875" style="314" customWidth="1"/>
    <col min="8462" max="8462" width="13.6640625" style="314" customWidth="1"/>
    <col min="8463" max="8465" width="13.44140625" style="314" bestFit="1" customWidth="1"/>
    <col min="8466" max="8704" width="9.109375" style="314"/>
    <col min="8705" max="8705" width="19.109375" style="314" customWidth="1"/>
    <col min="8706" max="8706" width="10.5546875" style="314" customWidth="1"/>
    <col min="8707" max="8707" width="9.6640625" style="314" customWidth="1"/>
    <col min="8708" max="8708" width="11.33203125" style="314" customWidth="1"/>
    <col min="8709" max="8710" width="7" style="314" customWidth="1"/>
    <col min="8711" max="8711" width="6.6640625" style="314" customWidth="1"/>
    <col min="8712" max="8712" width="9.88671875" style="314" customWidth="1"/>
    <col min="8713" max="8713" width="7" style="314" customWidth="1"/>
    <col min="8714" max="8714" width="9.44140625" style="314" customWidth="1"/>
    <col min="8715" max="8716" width="11.5546875" style="314" customWidth="1"/>
    <col min="8717" max="8717" width="13.88671875" style="314" customWidth="1"/>
    <col min="8718" max="8718" width="13.6640625" style="314" customWidth="1"/>
    <col min="8719" max="8721" width="13.44140625" style="314" bestFit="1" customWidth="1"/>
    <col min="8722" max="8960" width="9.109375" style="314"/>
    <col min="8961" max="8961" width="19.109375" style="314" customWidth="1"/>
    <col min="8962" max="8962" width="10.5546875" style="314" customWidth="1"/>
    <col min="8963" max="8963" width="9.6640625" style="314" customWidth="1"/>
    <col min="8964" max="8964" width="11.33203125" style="314" customWidth="1"/>
    <col min="8965" max="8966" width="7" style="314" customWidth="1"/>
    <col min="8967" max="8967" width="6.6640625" style="314" customWidth="1"/>
    <col min="8968" max="8968" width="9.88671875" style="314" customWidth="1"/>
    <col min="8969" max="8969" width="7" style="314" customWidth="1"/>
    <col min="8970" max="8970" width="9.44140625" style="314" customWidth="1"/>
    <col min="8971" max="8972" width="11.5546875" style="314" customWidth="1"/>
    <col min="8973" max="8973" width="13.88671875" style="314" customWidth="1"/>
    <col min="8974" max="8974" width="13.6640625" style="314" customWidth="1"/>
    <col min="8975" max="8977" width="13.44140625" style="314" bestFit="1" customWidth="1"/>
    <col min="8978" max="9216" width="9.109375" style="314"/>
    <col min="9217" max="9217" width="19.109375" style="314" customWidth="1"/>
    <col min="9218" max="9218" width="10.5546875" style="314" customWidth="1"/>
    <col min="9219" max="9219" width="9.6640625" style="314" customWidth="1"/>
    <col min="9220" max="9220" width="11.33203125" style="314" customWidth="1"/>
    <col min="9221" max="9222" width="7" style="314" customWidth="1"/>
    <col min="9223" max="9223" width="6.6640625" style="314" customWidth="1"/>
    <col min="9224" max="9224" width="9.88671875" style="314" customWidth="1"/>
    <col min="9225" max="9225" width="7" style="314" customWidth="1"/>
    <col min="9226" max="9226" width="9.44140625" style="314" customWidth="1"/>
    <col min="9227" max="9228" width="11.5546875" style="314" customWidth="1"/>
    <col min="9229" max="9229" width="13.88671875" style="314" customWidth="1"/>
    <col min="9230" max="9230" width="13.6640625" style="314" customWidth="1"/>
    <col min="9231" max="9233" width="13.44140625" style="314" bestFit="1" customWidth="1"/>
    <col min="9234" max="9472" width="9.109375" style="314"/>
    <col min="9473" max="9473" width="19.109375" style="314" customWidth="1"/>
    <col min="9474" max="9474" width="10.5546875" style="314" customWidth="1"/>
    <col min="9475" max="9475" width="9.6640625" style="314" customWidth="1"/>
    <col min="9476" max="9476" width="11.33203125" style="314" customWidth="1"/>
    <col min="9477" max="9478" width="7" style="314" customWidth="1"/>
    <col min="9479" max="9479" width="6.6640625" style="314" customWidth="1"/>
    <col min="9480" max="9480" width="9.88671875" style="314" customWidth="1"/>
    <col min="9481" max="9481" width="7" style="314" customWidth="1"/>
    <col min="9482" max="9482" width="9.44140625" style="314" customWidth="1"/>
    <col min="9483" max="9484" width="11.5546875" style="314" customWidth="1"/>
    <col min="9485" max="9485" width="13.88671875" style="314" customWidth="1"/>
    <col min="9486" max="9486" width="13.6640625" style="314" customWidth="1"/>
    <col min="9487" max="9489" width="13.44140625" style="314" bestFit="1" customWidth="1"/>
    <col min="9490" max="9728" width="9.109375" style="314"/>
    <col min="9729" max="9729" width="19.109375" style="314" customWidth="1"/>
    <col min="9730" max="9730" width="10.5546875" style="314" customWidth="1"/>
    <col min="9731" max="9731" width="9.6640625" style="314" customWidth="1"/>
    <col min="9732" max="9732" width="11.33203125" style="314" customWidth="1"/>
    <col min="9733" max="9734" width="7" style="314" customWidth="1"/>
    <col min="9735" max="9735" width="6.6640625" style="314" customWidth="1"/>
    <col min="9736" max="9736" width="9.88671875" style="314" customWidth="1"/>
    <col min="9737" max="9737" width="7" style="314" customWidth="1"/>
    <col min="9738" max="9738" width="9.44140625" style="314" customWidth="1"/>
    <col min="9739" max="9740" width="11.5546875" style="314" customWidth="1"/>
    <col min="9741" max="9741" width="13.88671875" style="314" customWidth="1"/>
    <col min="9742" max="9742" width="13.6640625" style="314" customWidth="1"/>
    <col min="9743" max="9745" width="13.44140625" style="314" bestFit="1" customWidth="1"/>
    <col min="9746" max="9984" width="9.109375" style="314"/>
    <col min="9985" max="9985" width="19.109375" style="314" customWidth="1"/>
    <col min="9986" max="9986" width="10.5546875" style="314" customWidth="1"/>
    <col min="9987" max="9987" width="9.6640625" style="314" customWidth="1"/>
    <col min="9988" max="9988" width="11.33203125" style="314" customWidth="1"/>
    <col min="9989" max="9990" width="7" style="314" customWidth="1"/>
    <col min="9991" max="9991" width="6.6640625" style="314" customWidth="1"/>
    <col min="9992" max="9992" width="9.88671875" style="314" customWidth="1"/>
    <col min="9993" max="9993" width="7" style="314" customWidth="1"/>
    <col min="9994" max="9994" width="9.44140625" style="314" customWidth="1"/>
    <col min="9995" max="9996" width="11.5546875" style="314" customWidth="1"/>
    <col min="9997" max="9997" width="13.88671875" style="314" customWidth="1"/>
    <col min="9998" max="9998" width="13.6640625" style="314" customWidth="1"/>
    <col min="9999" max="10001" width="13.44140625" style="314" bestFit="1" customWidth="1"/>
    <col min="10002" max="10240" width="9.109375" style="314"/>
    <col min="10241" max="10241" width="19.109375" style="314" customWidth="1"/>
    <col min="10242" max="10242" width="10.5546875" style="314" customWidth="1"/>
    <col min="10243" max="10243" width="9.6640625" style="314" customWidth="1"/>
    <col min="10244" max="10244" width="11.33203125" style="314" customWidth="1"/>
    <col min="10245" max="10246" width="7" style="314" customWidth="1"/>
    <col min="10247" max="10247" width="6.6640625" style="314" customWidth="1"/>
    <col min="10248" max="10248" width="9.88671875" style="314" customWidth="1"/>
    <col min="10249" max="10249" width="7" style="314" customWidth="1"/>
    <col min="10250" max="10250" width="9.44140625" style="314" customWidth="1"/>
    <col min="10251" max="10252" width="11.5546875" style="314" customWidth="1"/>
    <col min="10253" max="10253" width="13.88671875" style="314" customWidth="1"/>
    <col min="10254" max="10254" width="13.6640625" style="314" customWidth="1"/>
    <col min="10255" max="10257" width="13.44140625" style="314" bestFit="1" customWidth="1"/>
    <col min="10258" max="10496" width="9.109375" style="314"/>
    <col min="10497" max="10497" width="19.109375" style="314" customWidth="1"/>
    <col min="10498" max="10498" width="10.5546875" style="314" customWidth="1"/>
    <col min="10499" max="10499" width="9.6640625" style="314" customWidth="1"/>
    <col min="10500" max="10500" width="11.33203125" style="314" customWidth="1"/>
    <col min="10501" max="10502" width="7" style="314" customWidth="1"/>
    <col min="10503" max="10503" width="6.6640625" style="314" customWidth="1"/>
    <col min="10504" max="10504" width="9.88671875" style="314" customWidth="1"/>
    <col min="10505" max="10505" width="7" style="314" customWidth="1"/>
    <col min="10506" max="10506" width="9.44140625" style="314" customWidth="1"/>
    <col min="10507" max="10508" width="11.5546875" style="314" customWidth="1"/>
    <col min="10509" max="10509" width="13.88671875" style="314" customWidth="1"/>
    <col min="10510" max="10510" width="13.6640625" style="314" customWidth="1"/>
    <col min="10511" max="10513" width="13.44140625" style="314" bestFit="1" customWidth="1"/>
    <col min="10514" max="10752" width="9.109375" style="314"/>
    <col min="10753" max="10753" width="19.109375" style="314" customWidth="1"/>
    <col min="10754" max="10754" width="10.5546875" style="314" customWidth="1"/>
    <col min="10755" max="10755" width="9.6640625" style="314" customWidth="1"/>
    <col min="10756" max="10756" width="11.33203125" style="314" customWidth="1"/>
    <col min="10757" max="10758" width="7" style="314" customWidth="1"/>
    <col min="10759" max="10759" width="6.6640625" style="314" customWidth="1"/>
    <col min="10760" max="10760" width="9.88671875" style="314" customWidth="1"/>
    <col min="10761" max="10761" width="7" style="314" customWidth="1"/>
    <col min="10762" max="10762" width="9.44140625" style="314" customWidth="1"/>
    <col min="10763" max="10764" width="11.5546875" style="314" customWidth="1"/>
    <col min="10765" max="10765" width="13.88671875" style="314" customWidth="1"/>
    <col min="10766" max="10766" width="13.6640625" style="314" customWidth="1"/>
    <col min="10767" max="10769" width="13.44140625" style="314" bestFit="1" customWidth="1"/>
    <col min="10770" max="11008" width="9.109375" style="314"/>
    <col min="11009" max="11009" width="19.109375" style="314" customWidth="1"/>
    <col min="11010" max="11010" width="10.5546875" style="314" customWidth="1"/>
    <col min="11011" max="11011" width="9.6640625" style="314" customWidth="1"/>
    <col min="11012" max="11012" width="11.33203125" style="314" customWidth="1"/>
    <col min="11013" max="11014" width="7" style="314" customWidth="1"/>
    <col min="11015" max="11015" width="6.6640625" style="314" customWidth="1"/>
    <col min="11016" max="11016" width="9.88671875" style="314" customWidth="1"/>
    <col min="11017" max="11017" width="7" style="314" customWidth="1"/>
    <col min="11018" max="11018" width="9.44140625" style="314" customWidth="1"/>
    <col min="11019" max="11020" width="11.5546875" style="314" customWidth="1"/>
    <col min="11021" max="11021" width="13.88671875" style="314" customWidth="1"/>
    <col min="11022" max="11022" width="13.6640625" style="314" customWidth="1"/>
    <col min="11023" max="11025" width="13.44140625" style="314" bestFit="1" customWidth="1"/>
    <col min="11026" max="11264" width="9.109375" style="314"/>
    <col min="11265" max="11265" width="19.109375" style="314" customWidth="1"/>
    <col min="11266" max="11266" width="10.5546875" style="314" customWidth="1"/>
    <col min="11267" max="11267" width="9.6640625" style="314" customWidth="1"/>
    <col min="11268" max="11268" width="11.33203125" style="314" customWidth="1"/>
    <col min="11269" max="11270" width="7" style="314" customWidth="1"/>
    <col min="11271" max="11271" width="6.6640625" style="314" customWidth="1"/>
    <col min="11272" max="11272" width="9.88671875" style="314" customWidth="1"/>
    <col min="11273" max="11273" width="7" style="314" customWidth="1"/>
    <col min="11274" max="11274" width="9.44140625" style="314" customWidth="1"/>
    <col min="11275" max="11276" width="11.5546875" style="314" customWidth="1"/>
    <col min="11277" max="11277" width="13.88671875" style="314" customWidth="1"/>
    <col min="11278" max="11278" width="13.6640625" style="314" customWidth="1"/>
    <col min="11279" max="11281" width="13.44140625" style="314" bestFit="1" customWidth="1"/>
    <col min="11282" max="11520" width="9.109375" style="314"/>
    <col min="11521" max="11521" width="19.109375" style="314" customWidth="1"/>
    <col min="11522" max="11522" width="10.5546875" style="314" customWidth="1"/>
    <col min="11523" max="11523" width="9.6640625" style="314" customWidth="1"/>
    <col min="11524" max="11524" width="11.33203125" style="314" customWidth="1"/>
    <col min="11525" max="11526" width="7" style="314" customWidth="1"/>
    <col min="11527" max="11527" width="6.6640625" style="314" customWidth="1"/>
    <col min="11528" max="11528" width="9.88671875" style="314" customWidth="1"/>
    <col min="11529" max="11529" width="7" style="314" customWidth="1"/>
    <col min="11530" max="11530" width="9.44140625" style="314" customWidth="1"/>
    <col min="11531" max="11532" width="11.5546875" style="314" customWidth="1"/>
    <col min="11533" max="11533" width="13.88671875" style="314" customWidth="1"/>
    <col min="11534" max="11534" width="13.6640625" style="314" customWidth="1"/>
    <col min="11535" max="11537" width="13.44140625" style="314" bestFit="1" customWidth="1"/>
    <col min="11538" max="11776" width="9.109375" style="314"/>
    <col min="11777" max="11777" width="19.109375" style="314" customWidth="1"/>
    <col min="11778" max="11778" width="10.5546875" style="314" customWidth="1"/>
    <col min="11779" max="11779" width="9.6640625" style="314" customWidth="1"/>
    <col min="11780" max="11780" width="11.33203125" style="314" customWidth="1"/>
    <col min="11781" max="11782" width="7" style="314" customWidth="1"/>
    <col min="11783" max="11783" width="6.6640625" style="314" customWidth="1"/>
    <col min="11784" max="11784" width="9.88671875" style="314" customWidth="1"/>
    <col min="11785" max="11785" width="7" style="314" customWidth="1"/>
    <col min="11786" max="11786" width="9.44140625" style="314" customWidth="1"/>
    <col min="11787" max="11788" width="11.5546875" style="314" customWidth="1"/>
    <col min="11789" max="11789" width="13.88671875" style="314" customWidth="1"/>
    <col min="11790" max="11790" width="13.6640625" style="314" customWidth="1"/>
    <col min="11791" max="11793" width="13.44140625" style="314" bestFit="1" customWidth="1"/>
    <col min="11794" max="12032" width="9.109375" style="314"/>
    <col min="12033" max="12033" width="19.109375" style="314" customWidth="1"/>
    <col min="12034" max="12034" width="10.5546875" style="314" customWidth="1"/>
    <col min="12035" max="12035" width="9.6640625" style="314" customWidth="1"/>
    <col min="12036" max="12036" width="11.33203125" style="314" customWidth="1"/>
    <col min="12037" max="12038" width="7" style="314" customWidth="1"/>
    <col min="12039" max="12039" width="6.6640625" style="314" customWidth="1"/>
    <col min="12040" max="12040" width="9.88671875" style="314" customWidth="1"/>
    <col min="12041" max="12041" width="7" style="314" customWidth="1"/>
    <col min="12042" max="12042" width="9.44140625" style="314" customWidth="1"/>
    <col min="12043" max="12044" width="11.5546875" style="314" customWidth="1"/>
    <col min="12045" max="12045" width="13.88671875" style="314" customWidth="1"/>
    <col min="12046" max="12046" width="13.6640625" style="314" customWidth="1"/>
    <col min="12047" max="12049" width="13.44140625" style="314" bestFit="1" customWidth="1"/>
    <col min="12050" max="12288" width="9.109375" style="314"/>
    <col min="12289" max="12289" width="19.109375" style="314" customWidth="1"/>
    <col min="12290" max="12290" width="10.5546875" style="314" customWidth="1"/>
    <col min="12291" max="12291" width="9.6640625" style="314" customWidth="1"/>
    <col min="12292" max="12292" width="11.33203125" style="314" customWidth="1"/>
    <col min="12293" max="12294" width="7" style="314" customWidth="1"/>
    <col min="12295" max="12295" width="6.6640625" style="314" customWidth="1"/>
    <col min="12296" max="12296" width="9.88671875" style="314" customWidth="1"/>
    <col min="12297" max="12297" width="7" style="314" customWidth="1"/>
    <col min="12298" max="12298" width="9.44140625" style="314" customWidth="1"/>
    <col min="12299" max="12300" width="11.5546875" style="314" customWidth="1"/>
    <col min="12301" max="12301" width="13.88671875" style="314" customWidth="1"/>
    <col min="12302" max="12302" width="13.6640625" style="314" customWidth="1"/>
    <col min="12303" max="12305" width="13.44140625" style="314" bestFit="1" customWidth="1"/>
    <col min="12306" max="12544" width="9.109375" style="314"/>
    <col min="12545" max="12545" width="19.109375" style="314" customWidth="1"/>
    <col min="12546" max="12546" width="10.5546875" style="314" customWidth="1"/>
    <col min="12547" max="12547" width="9.6640625" style="314" customWidth="1"/>
    <col min="12548" max="12548" width="11.33203125" style="314" customWidth="1"/>
    <col min="12549" max="12550" width="7" style="314" customWidth="1"/>
    <col min="12551" max="12551" width="6.6640625" style="314" customWidth="1"/>
    <col min="12552" max="12552" width="9.88671875" style="314" customWidth="1"/>
    <col min="12553" max="12553" width="7" style="314" customWidth="1"/>
    <col min="12554" max="12554" width="9.44140625" style="314" customWidth="1"/>
    <col min="12555" max="12556" width="11.5546875" style="314" customWidth="1"/>
    <col min="12557" max="12557" width="13.88671875" style="314" customWidth="1"/>
    <col min="12558" max="12558" width="13.6640625" style="314" customWidth="1"/>
    <col min="12559" max="12561" width="13.44140625" style="314" bestFit="1" customWidth="1"/>
    <col min="12562" max="12800" width="9.109375" style="314"/>
    <col min="12801" max="12801" width="19.109375" style="314" customWidth="1"/>
    <col min="12802" max="12802" width="10.5546875" style="314" customWidth="1"/>
    <col min="12803" max="12803" width="9.6640625" style="314" customWidth="1"/>
    <col min="12804" max="12804" width="11.33203125" style="314" customWidth="1"/>
    <col min="12805" max="12806" width="7" style="314" customWidth="1"/>
    <col min="12807" max="12807" width="6.6640625" style="314" customWidth="1"/>
    <col min="12808" max="12808" width="9.88671875" style="314" customWidth="1"/>
    <col min="12809" max="12809" width="7" style="314" customWidth="1"/>
    <col min="12810" max="12810" width="9.44140625" style="314" customWidth="1"/>
    <col min="12811" max="12812" width="11.5546875" style="314" customWidth="1"/>
    <col min="12813" max="12813" width="13.88671875" style="314" customWidth="1"/>
    <col min="12814" max="12814" width="13.6640625" style="314" customWidth="1"/>
    <col min="12815" max="12817" width="13.44140625" style="314" bestFit="1" customWidth="1"/>
    <col min="12818" max="13056" width="9.109375" style="314"/>
    <col min="13057" max="13057" width="19.109375" style="314" customWidth="1"/>
    <col min="13058" max="13058" width="10.5546875" style="314" customWidth="1"/>
    <col min="13059" max="13059" width="9.6640625" style="314" customWidth="1"/>
    <col min="13060" max="13060" width="11.33203125" style="314" customWidth="1"/>
    <col min="13061" max="13062" width="7" style="314" customWidth="1"/>
    <col min="13063" max="13063" width="6.6640625" style="314" customWidth="1"/>
    <col min="13064" max="13064" width="9.88671875" style="314" customWidth="1"/>
    <col min="13065" max="13065" width="7" style="314" customWidth="1"/>
    <col min="13066" max="13066" width="9.44140625" style="314" customWidth="1"/>
    <col min="13067" max="13068" width="11.5546875" style="314" customWidth="1"/>
    <col min="13069" max="13069" width="13.88671875" style="314" customWidth="1"/>
    <col min="13070" max="13070" width="13.6640625" style="314" customWidth="1"/>
    <col min="13071" max="13073" width="13.44140625" style="314" bestFit="1" customWidth="1"/>
    <col min="13074" max="13312" width="9.109375" style="314"/>
    <col min="13313" max="13313" width="19.109375" style="314" customWidth="1"/>
    <col min="13314" max="13314" width="10.5546875" style="314" customWidth="1"/>
    <col min="13315" max="13315" width="9.6640625" style="314" customWidth="1"/>
    <col min="13316" max="13316" width="11.33203125" style="314" customWidth="1"/>
    <col min="13317" max="13318" width="7" style="314" customWidth="1"/>
    <col min="13319" max="13319" width="6.6640625" style="314" customWidth="1"/>
    <col min="13320" max="13320" width="9.88671875" style="314" customWidth="1"/>
    <col min="13321" max="13321" width="7" style="314" customWidth="1"/>
    <col min="13322" max="13322" width="9.44140625" style="314" customWidth="1"/>
    <col min="13323" max="13324" width="11.5546875" style="314" customWidth="1"/>
    <col min="13325" max="13325" width="13.88671875" style="314" customWidth="1"/>
    <col min="13326" max="13326" width="13.6640625" style="314" customWidth="1"/>
    <col min="13327" max="13329" width="13.44140625" style="314" bestFit="1" customWidth="1"/>
    <col min="13330" max="13568" width="9.109375" style="314"/>
    <col min="13569" max="13569" width="19.109375" style="314" customWidth="1"/>
    <col min="13570" max="13570" width="10.5546875" style="314" customWidth="1"/>
    <col min="13571" max="13571" width="9.6640625" style="314" customWidth="1"/>
    <col min="13572" max="13572" width="11.33203125" style="314" customWidth="1"/>
    <col min="13573" max="13574" width="7" style="314" customWidth="1"/>
    <col min="13575" max="13575" width="6.6640625" style="314" customWidth="1"/>
    <col min="13576" max="13576" width="9.88671875" style="314" customWidth="1"/>
    <col min="13577" max="13577" width="7" style="314" customWidth="1"/>
    <col min="13578" max="13578" width="9.44140625" style="314" customWidth="1"/>
    <col min="13579" max="13580" width="11.5546875" style="314" customWidth="1"/>
    <col min="13581" max="13581" width="13.88671875" style="314" customWidth="1"/>
    <col min="13582" max="13582" width="13.6640625" style="314" customWidth="1"/>
    <col min="13583" max="13585" width="13.44140625" style="314" bestFit="1" customWidth="1"/>
    <col min="13586" max="13824" width="9.109375" style="314"/>
    <col min="13825" max="13825" width="19.109375" style="314" customWidth="1"/>
    <col min="13826" max="13826" width="10.5546875" style="314" customWidth="1"/>
    <col min="13827" max="13827" width="9.6640625" style="314" customWidth="1"/>
    <col min="13828" max="13828" width="11.33203125" style="314" customWidth="1"/>
    <col min="13829" max="13830" width="7" style="314" customWidth="1"/>
    <col min="13831" max="13831" width="6.6640625" style="314" customWidth="1"/>
    <col min="13832" max="13832" width="9.88671875" style="314" customWidth="1"/>
    <col min="13833" max="13833" width="7" style="314" customWidth="1"/>
    <col min="13834" max="13834" width="9.44140625" style="314" customWidth="1"/>
    <col min="13835" max="13836" width="11.5546875" style="314" customWidth="1"/>
    <col min="13837" max="13837" width="13.88671875" style="314" customWidth="1"/>
    <col min="13838" max="13838" width="13.6640625" style="314" customWidth="1"/>
    <col min="13839" max="13841" width="13.44140625" style="314" bestFit="1" customWidth="1"/>
    <col min="13842" max="14080" width="9.109375" style="314"/>
    <col min="14081" max="14081" width="19.109375" style="314" customWidth="1"/>
    <col min="14082" max="14082" width="10.5546875" style="314" customWidth="1"/>
    <col min="14083" max="14083" width="9.6640625" style="314" customWidth="1"/>
    <col min="14084" max="14084" width="11.33203125" style="314" customWidth="1"/>
    <col min="14085" max="14086" width="7" style="314" customWidth="1"/>
    <col min="14087" max="14087" width="6.6640625" style="314" customWidth="1"/>
    <col min="14088" max="14088" width="9.88671875" style="314" customWidth="1"/>
    <col min="14089" max="14089" width="7" style="314" customWidth="1"/>
    <col min="14090" max="14090" width="9.44140625" style="314" customWidth="1"/>
    <col min="14091" max="14092" width="11.5546875" style="314" customWidth="1"/>
    <col min="14093" max="14093" width="13.88671875" style="314" customWidth="1"/>
    <col min="14094" max="14094" width="13.6640625" style="314" customWidth="1"/>
    <col min="14095" max="14097" width="13.44140625" style="314" bestFit="1" customWidth="1"/>
    <col min="14098" max="14336" width="9.109375" style="314"/>
    <col min="14337" max="14337" width="19.109375" style="314" customWidth="1"/>
    <col min="14338" max="14338" width="10.5546875" style="314" customWidth="1"/>
    <col min="14339" max="14339" width="9.6640625" style="314" customWidth="1"/>
    <col min="14340" max="14340" width="11.33203125" style="314" customWidth="1"/>
    <col min="14341" max="14342" width="7" style="314" customWidth="1"/>
    <col min="14343" max="14343" width="6.6640625" style="314" customWidth="1"/>
    <col min="14344" max="14344" width="9.88671875" style="314" customWidth="1"/>
    <col min="14345" max="14345" width="7" style="314" customWidth="1"/>
    <col min="14346" max="14346" width="9.44140625" style="314" customWidth="1"/>
    <col min="14347" max="14348" width="11.5546875" style="314" customWidth="1"/>
    <col min="14349" max="14349" width="13.88671875" style="314" customWidth="1"/>
    <col min="14350" max="14350" width="13.6640625" style="314" customWidth="1"/>
    <col min="14351" max="14353" width="13.44140625" style="314" bestFit="1" customWidth="1"/>
    <col min="14354" max="14592" width="9.109375" style="314"/>
    <col min="14593" max="14593" width="19.109375" style="314" customWidth="1"/>
    <col min="14594" max="14594" width="10.5546875" style="314" customWidth="1"/>
    <col min="14595" max="14595" width="9.6640625" style="314" customWidth="1"/>
    <col min="14596" max="14596" width="11.33203125" style="314" customWidth="1"/>
    <col min="14597" max="14598" width="7" style="314" customWidth="1"/>
    <col min="14599" max="14599" width="6.6640625" style="314" customWidth="1"/>
    <col min="14600" max="14600" width="9.88671875" style="314" customWidth="1"/>
    <col min="14601" max="14601" width="7" style="314" customWidth="1"/>
    <col min="14602" max="14602" width="9.44140625" style="314" customWidth="1"/>
    <col min="14603" max="14604" width="11.5546875" style="314" customWidth="1"/>
    <col min="14605" max="14605" width="13.88671875" style="314" customWidth="1"/>
    <col min="14606" max="14606" width="13.6640625" style="314" customWidth="1"/>
    <col min="14607" max="14609" width="13.44140625" style="314" bestFit="1" customWidth="1"/>
    <col min="14610" max="14848" width="9.109375" style="314"/>
    <col min="14849" max="14849" width="19.109375" style="314" customWidth="1"/>
    <col min="14850" max="14850" width="10.5546875" style="314" customWidth="1"/>
    <col min="14851" max="14851" width="9.6640625" style="314" customWidth="1"/>
    <col min="14852" max="14852" width="11.33203125" style="314" customWidth="1"/>
    <col min="14853" max="14854" width="7" style="314" customWidth="1"/>
    <col min="14855" max="14855" width="6.6640625" style="314" customWidth="1"/>
    <col min="14856" max="14856" width="9.88671875" style="314" customWidth="1"/>
    <col min="14857" max="14857" width="7" style="314" customWidth="1"/>
    <col min="14858" max="14858" width="9.44140625" style="314" customWidth="1"/>
    <col min="14859" max="14860" width="11.5546875" style="314" customWidth="1"/>
    <col min="14861" max="14861" width="13.88671875" style="314" customWidth="1"/>
    <col min="14862" max="14862" width="13.6640625" style="314" customWidth="1"/>
    <col min="14863" max="14865" width="13.44140625" style="314" bestFit="1" customWidth="1"/>
    <col min="14866" max="15104" width="9.109375" style="314"/>
    <col min="15105" max="15105" width="19.109375" style="314" customWidth="1"/>
    <col min="15106" max="15106" width="10.5546875" style="314" customWidth="1"/>
    <col min="15107" max="15107" width="9.6640625" style="314" customWidth="1"/>
    <col min="15108" max="15108" width="11.33203125" style="314" customWidth="1"/>
    <col min="15109" max="15110" width="7" style="314" customWidth="1"/>
    <col min="15111" max="15111" width="6.6640625" style="314" customWidth="1"/>
    <col min="15112" max="15112" width="9.88671875" style="314" customWidth="1"/>
    <col min="15113" max="15113" width="7" style="314" customWidth="1"/>
    <col min="15114" max="15114" width="9.44140625" style="314" customWidth="1"/>
    <col min="15115" max="15116" width="11.5546875" style="314" customWidth="1"/>
    <col min="15117" max="15117" width="13.88671875" style="314" customWidth="1"/>
    <col min="15118" max="15118" width="13.6640625" style="314" customWidth="1"/>
    <col min="15119" max="15121" width="13.44140625" style="314" bestFit="1" customWidth="1"/>
    <col min="15122" max="15360" width="9.109375" style="314"/>
    <col min="15361" max="15361" width="19.109375" style="314" customWidth="1"/>
    <col min="15362" max="15362" width="10.5546875" style="314" customWidth="1"/>
    <col min="15363" max="15363" width="9.6640625" style="314" customWidth="1"/>
    <col min="15364" max="15364" width="11.33203125" style="314" customWidth="1"/>
    <col min="15365" max="15366" width="7" style="314" customWidth="1"/>
    <col min="15367" max="15367" width="6.6640625" style="314" customWidth="1"/>
    <col min="15368" max="15368" width="9.88671875" style="314" customWidth="1"/>
    <col min="15369" max="15369" width="7" style="314" customWidth="1"/>
    <col min="15370" max="15370" width="9.44140625" style="314" customWidth="1"/>
    <col min="15371" max="15372" width="11.5546875" style="314" customWidth="1"/>
    <col min="15373" max="15373" width="13.88671875" style="314" customWidth="1"/>
    <col min="15374" max="15374" width="13.6640625" style="314" customWidth="1"/>
    <col min="15375" max="15377" width="13.44140625" style="314" bestFit="1" customWidth="1"/>
    <col min="15378" max="15616" width="9.109375" style="314"/>
    <col min="15617" max="15617" width="19.109375" style="314" customWidth="1"/>
    <col min="15618" max="15618" width="10.5546875" style="314" customWidth="1"/>
    <col min="15619" max="15619" width="9.6640625" style="314" customWidth="1"/>
    <col min="15620" max="15620" width="11.33203125" style="314" customWidth="1"/>
    <col min="15621" max="15622" width="7" style="314" customWidth="1"/>
    <col min="15623" max="15623" width="6.6640625" style="314" customWidth="1"/>
    <col min="15624" max="15624" width="9.88671875" style="314" customWidth="1"/>
    <col min="15625" max="15625" width="7" style="314" customWidth="1"/>
    <col min="15626" max="15626" width="9.44140625" style="314" customWidth="1"/>
    <col min="15627" max="15628" width="11.5546875" style="314" customWidth="1"/>
    <col min="15629" max="15629" width="13.88671875" style="314" customWidth="1"/>
    <col min="15630" max="15630" width="13.6640625" style="314" customWidth="1"/>
    <col min="15631" max="15633" width="13.44140625" style="314" bestFit="1" customWidth="1"/>
    <col min="15634" max="15872" width="9.109375" style="314"/>
    <col min="15873" max="15873" width="19.109375" style="314" customWidth="1"/>
    <col min="15874" max="15874" width="10.5546875" style="314" customWidth="1"/>
    <col min="15875" max="15875" width="9.6640625" style="314" customWidth="1"/>
    <col min="15876" max="15876" width="11.33203125" style="314" customWidth="1"/>
    <col min="15877" max="15878" width="7" style="314" customWidth="1"/>
    <col min="15879" max="15879" width="6.6640625" style="314" customWidth="1"/>
    <col min="15880" max="15880" width="9.88671875" style="314" customWidth="1"/>
    <col min="15881" max="15881" width="7" style="314" customWidth="1"/>
    <col min="15882" max="15882" width="9.44140625" style="314" customWidth="1"/>
    <col min="15883" max="15884" width="11.5546875" style="314" customWidth="1"/>
    <col min="15885" max="15885" width="13.88671875" style="314" customWidth="1"/>
    <col min="15886" max="15886" width="13.6640625" style="314" customWidth="1"/>
    <col min="15887" max="15889" width="13.44140625" style="314" bestFit="1" customWidth="1"/>
    <col min="15890" max="16128" width="9.109375" style="314"/>
    <col min="16129" max="16129" width="19.109375" style="314" customWidth="1"/>
    <col min="16130" max="16130" width="10.5546875" style="314" customWidth="1"/>
    <col min="16131" max="16131" width="9.6640625" style="314" customWidth="1"/>
    <col min="16132" max="16132" width="11.33203125" style="314" customWidth="1"/>
    <col min="16133" max="16134" width="7" style="314" customWidth="1"/>
    <col min="16135" max="16135" width="6.6640625" style="314" customWidth="1"/>
    <col min="16136" max="16136" width="9.88671875" style="314" customWidth="1"/>
    <col min="16137" max="16137" width="7" style="314" customWidth="1"/>
    <col min="16138" max="16138" width="9.44140625" style="314" customWidth="1"/>
    <col min="16139" max="16140" width="11.5546875" style="314" customWidth="1"/>
    <col min="16141" max="16141" width="13.88671875" style="314" customWidth="1"/>
    <col min="16142" max="16142" width="13.6640625" style="314" customWidth="1"/>
    <col min="16143" max="16145" width="13.44140625" style="314" bestFit="1" customWidth="1"/>
    <col min="16146" max="16384" width="9.109375" style="314"/>
  </cols>
  <sheetData>
    <row r="1" spans="1:17" ht="15.6">
      <c r="Q1" s="398" t="s">
        <v>396</v>
      </c>
    </row>
    <row r="2" spans="1:17" ht="14.25" customHeight="1">
      <c r="Q2" s="399"/>
    </row>
    <row r="3" spans="1:17" ht="15.75" customHeight="1">
      <c r="A3" s="466" t="str">
        <f>'Pg 2 Sum Scheduled'!A3:C3</f>
        <v>NRA.N.007-040-2024/1F</v>
      </c>
      <c r="B3" s="401"/>
      <c r="C3" s="401"/>
      <c r="D3" s="401"/>
      <c r="E3" s="401"/>
      <c r="F3" s="403"/>
      <c r="G3" s="403"/>
      <c r="H3" s="1438">
        <f>'F1  Cover'!L8</f>
        <v>45169</v>
      </c>
      <c r="I3" s="1438"/>
      <c r="J3" s="467"/>
      <c r="K3" s="1402" t="s">
        <v>377</v>
      </c>
      <c r="L3" s="1402"/>
      <c r="M3" s="468"/>
      <c r="N3" s="1387">
        <f>'F1  Cover'!K8</f>
        <v>1</v>
      </c>
      <c r="O3" s="1385"/>
      <c r="P3" s="1385"/>
      <c r="Q3" s="1388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436" t="s">
        <v>397</v>
      </c>
      <c r="B6" s="1252"/>
      <c r="C6" s="1252"/>
      <c r="D6" s="1252"/>
      <c r="E6" s="1252"/>
      <c r="F6" s="1252"/>
      <c r="G6" s="1252"/>
      <c r="H6" s="1252"/>
      <c r="I6" s="1252"/>
      <c r="J6" s="1252"/>
      <c r="K6" s="1252"/>
      <c r="L6" s="1252"/>
      <c r="M6" s="1252"/>
      <c r="N6" s="1252"/>
      <c r="O6" s="1252"/>
      <c r="P6" s="1252"/>
      <c r="Q6" s="1437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398</v>
      </c>
      <c r="B8" s="1418" t="s">
        <v>399</v>
      </c>
      <c r="C8" s="1419"/>
      <c r="D8" s="1418" t="s">
        <v>400</v>
      </c>
      <c r="E8" s="1419"/>
      <c r="F8" s="1420" t="s">
        <v>3</v>
      </c>
      <c r="G8" s="1420"/>
      <c r="H8" s="1420"/>
      <c r="I8" s="1420"/>
      <c r="J8" s="1420"/>
      <c r="K8" s="484" t="s">
        <v>401</v>
      </c>
      <c r="L8" s="739" t="s">
        <v>402</v>
      </c>
      <c r="M8" s="1415"/>
      <c r="N8" s="1415"/>
      <c r="O8" s="1415"/>
      <c r="P8" s="1416" t="s">
        <v>403</v>
      </c>
      <c r="Q8" s="1417"/>
    </row>
    <row r="9" spans="1:17" s="495" customFormat="1" ht="27" thickBot="1">
      <c r="A9" s="485"/>
      <c r="B9" s="486" t="s">
        <v>404</v>
      </c>
      <c r="C9" s="487" t="s">
        <v>405</v>
      </c>
      <c r="D9" s="487" t="s">
        <v>406</v>
      </c>
      <c r="E9" s="487" t="s">
        <v>407</v>
      </c>
      <c r="F9" s="488" t="s">
        <v>401</v>
      </c>
      <c r="G9" s="488"/>
      <c r="H9" s="488"/>
      <c r="I9" s="488"/>
      <c r="J9" s="489" t="s">
        <v>408</v>
      </c>
      <c r="K9" s="490" t="s">
        <v>409</v>
      </c>
      <c r="L9" s="491"/>
      <c r="M9" s="492" t="s">
        <v>401</v>
      </c>
      <c r="N9" s="492" t="s">
        <v>410</v>
      </c>
      <c r="O9" s="493" t="s">
        <v>402</v>
      </c>
      <c r="P9" s="493" t="s">
        <v>401</v>
      </c>
      <c r="Q9" s="494" t="s">
        <v>402</v>
      </c>
    </row>
    <row r="10" spans="1:17" ht="13.8">
      <c r="A10" s="496"/>
      <c r="B10" s="497"/>
      <c r="C10" s="498"/>
      <c r="D10" s="498"/>
      <c r="E10" s="499"/>
      <c r="F10" s="499"/>
      <c r="G10" s="500" t="s">
        <v>411</v>
      </c>
      <c r="H10" s="500" t="s">
        <v>412</v>
      </c>
      <c r="I10" s="500" t="s">
        <v>413</v>
      </c>
      <c r="J10" s="501"/>
      <c r="K10" s="502"/>
      <c r="L10" s="503"/>
      <c r="M10" s="1430" t="s">
        <v>383</v>
      </c>
      <c r="N10" s="1431"/>
      <c r="O10" s="1432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414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414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414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414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414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414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414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414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414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421" t="s">
        <v>415</v>
      </c>
      <c r="B29" s="1422"/>
      <c r="C29" s="1422"/>
      <c r="D29" s="1422"/>
      <c r="E29" s="1423"/>
      <c r="F29" s="1418">
        <v>3000</v>
      </c>
      <c r="G29" s="1416"/>
      <c r="H29" s="1416"/>
      <c r="I29" s="1416"/>
      <c r="J29" s="1419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424"/>
      <c r="B30" s="1425"/>
      <c r="C30" s="1425"/>
      <c r="D30" s="1425"/>
      <c r="E30" s="1426"/>
      <c r="F30" s="1427" t="s">
        <v>414</v>
      </c>
      <c r="G30" s="1428"/>
      <c r="H30" s="1428"/>
      <c r="I30" s="1428"/>
      <c r="J30" s="1429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398</v>
      </c>
      <c r="B32" s="1418" t="s">
        <v>399</v>
      </c>
      <c r="C32" s="1419"/>
      <c r="D32" s="1418" t="s">
        <v>400</v>
      </c>
      <c r="E32" s="1419"/>
      <c r="F32" s="1420" t="s">
        <v>3</v>
      </c>
      <c r="G32" s="1420"/>
      <c r="H32" s="1420"/>
      <c r="I32" s="1420"/>
      <c r="J32" s="1420"/>
      <c r="K32" s="484" t="s">
        <v>401</v>
      </c>
      <c r="L32" s="739" t="s">
        <v>402</v>
      </c>
      <c r="M32" s="1415"/>
      <c r="N32" s="1415"/>
      <c r="O32" s="1415"/>
      <c r="P32" s="1416" t="s">
        <v>403</v>
      </c>
      <c r="Q32" s="1417"/>
    </row>
    <row r="33" spans="1:17" ht="27" customHeight="1" thickBot="1">
      <c r="A33" s="485"/>
      <c r="B33" s="486" t="s">
        <v>404</v>
      </c>
      <c r="C33" s="487" t="s">
        <v>405</v>
      </c>
      <c r="D33" s="487" t="s">
        <v>406</v>
      </c>
      <c r="E33" s="487" t="s">
        <v>407</v>
      </c>
      <c r="F33" s="488" t="s">
        <v>401</v>
      </c>
      <c r="G33" s="488"/>
      <c r="H33" s="488"/>
      <c r="I33" s="488"/>
      <c r="J33" s="489" t="s">
        <v>408</v>
      </c>
      <c r="K33" s="490" t="s">
        <v>409</v>
      </c>
      <c r="L33" s="491"/>
      <c r="M33" s="492" t="s">
        <v>401</v>
      </c>
      <c r="N33" s="492" t="s">
        <v>410</v>
      </c>
      <c r="O33" s="493" t="s">
        <v>402</v>
      </c>
      <c r="P33" s="493" t="s">
        <v>401</v>
      </c>
      <c r="Q33" s="494" t="s">
        <v>402</v>
      </c>
    </row>
    <row r="34" spans="1:17" ht="13.8">
      <c r="A34" s="496"/>
      <c r="B34" s="497"/>
      <c r="C34" s="498"/>
      <c r="D34" s="498"/>
      <c r="E34" s="499"/>
      <c r="F34" s="499"/>
      <c r="G34" s="500" t="s">
        <v>411</v>
      </c>
      <c r="H34" s="500" t="s">
        <v>412</v>
      </c>
      <c r="I34" s="500" t="s">
        <v>413</v>
      </c>
      <c r="J34" s="501"/>
      <c r="K34" s="502"/>
      <c r="L34" s="503"/>
      <c r="M34" s="1433" t="s">
        <v>383</v>
      </c>
      <c r="N34" s="1434"/>
      <c r="O34" s="1435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414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414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414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414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414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414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414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414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414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421" t="s">
        <v>415</v>
      </c>
      <c r="B53" s="1422"/>
      <c r="C53" s="1422"/>
      <c r="D53" s="1422"/>
      <c r="E53" s="1423"/>
      <c r="F53" s="1418">
        <v>3000</v>
      </c>
      <c r="G53" s="1416"/>
      <c r="H53" s="1416"/>
      <c r="I53" s="1416"/>
      <c r="J53" s="1419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424"/>
      <c r="B54" s="1425"/>
      <c r="C54" s="1425"/>
      <c r="D54" s="1425"/>
      <c r="E54" s="1426"/>
      <c r="F54" s="1427" t="s">
        <v>414</v>
      </c>
      <c r="G54" s="1428"/>
      <c r="H54" s="1428"/>
      <c r="I54" s="1428"/>
      <c r="J54" s="1429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398</v>
      </c>
      <c r="B56" s="1418" t="s">
        <v>399</v>
      </c>
      <c r="C56" s="1419"/>
      <c r="D56" s="1418" t="s">
        <v>400</v>
      </c>
      <c r="E56" s="1419"/>
      <c r="F56" s="1420" t="s">
        <v>3</v>
      </c>
      <c r="G56" s="1420"/>
      <c r="H56" s="1420"/>
      <c r="I56" s="1420"/>
      <c r="J56" s="1420"/>
      <c r="K56" s="484" t="s">
        <v>401</v>
      </c>
      <c r="L56" s="739" t="s">
        <v>402</v>
      </c>
      <c r="M56" s="1415"/>
      <c r="N56" s="1415"/>
      <c r="O56" s="1415"/>
      <c r="P56" s="1416" t="s">
        <v>403</v>
      </c>
      <c r="Q56" s="1417"/>
    </row>
    <row r="57" spans="1:17" ht="29.25" customHeight="1" thickBot="1">
      <c r="A57" s="485"/>
      <c r="B57" s="486" t="s">
        <v>404</v>
      </c>
      <c r="C57" s="487" t="s">
        <v>405</v>
      </c>
      <c r="D57" s="487" t="s">
        <v>406</v>
      </c>
      <c r="E57" s="487" t="s">
        <v>407</v>
      </c>
      <c r="F57" s="488" t="s">
        <v>401</v>
      </c>
      <c r="G57" s="488"/>
      <c r="H57" s="488"/>
      <c r="I57" s="488"/>
      <c r="J57" s="489" t="s">
        <v>408</v>
      </c>
      <c r="K57" s="490" t="s">
        <v>409</v>
      </c>
      <c r="L57" s="491"/>
      <c r="M57" s="492" t="s">
        <v>401</v>
      </c>
      <c r="N57" s="492" t="s">
        <v>410</v>
      </c>
      <c r="O57" s="493" t="s">
        <v>402</v>
      </c>
      <c r="P57" s="493" t="s">
        <v>401</v>
      </c>
      <c r="Q57" s="494" t="s">
        <v>402</v>
      </c>
    </row>
    <row r="58" spans="1:17" ht="13.8">
      <c r="A58" s="496"/>
      <c r="B58" s="497"/>
      <c r="C58" s="498"/>
      <c r="D58" s="498"/>
      <c r="E58" s="499"/>
      <c r="F58" s="499"/>
      <c r="G58" s="500" t="s">
        <v>411</v>
      </c>
      <c r="H58" s="500" t="s">
        <v>412</v>
      </c>
      <c r="I58" s="500" t="s">
        <v>413</v>
      </c>
      <c r="J58" s="501"/>
      <c r="K58" s="502"/>
      <c r="L58" s="503"/>
      <c r="M58" s="1433" t="s">
        <v>383</v>
      </c>
      <c r="N58" s="1434"/>
      <c r="O58" s="1435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414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414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414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414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414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414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414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414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414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421" t="s">
        <v>415</v>
      </c>
      <c r="B77" s="1422"/>
      <c r="C77" s="1422"/>
      <c r="D77" s="1422"/>
      <c r="E77" s="1423"/>
      <c r="F77" s="1418">
        <v>3000</v>
      </c>
      <c r="G77" s="1416"/>
      <c r="H77" s="1416"/>
      <c r="I77" s="1416"/>
      <c r="J77" s="1419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424"/>
      <c r="B78" s="1425"/>
      <c r="C78" s="1425"/>
      <c r="D78" s="1425"/>
      <c r="E78" s="1426"/>
      <c r="F78" s="1427" t="s">
        <v>414</v>
      </c>
      <c r="G78" s="1428"/>
      <c r="H78" s="1428"/>
      <c r="I78" s="1428"/>
      <c r="J78" s="1429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398</v>
      </c>
      <c r="B80" s="1418" t="s">
        <v>399</v>
      </c>
      <c r="C80" s="1419"/>
      <c r="D80" s="1418" t="s">
        <v>400</v>
      </c>
      <c r="E80" s="1419"/>
      <c r="F80" s="1420" t="s">
        <v>3</v>
      </c>
      <c r="G80" s="1420"/>
      <c r="H80" s="1420"/>
      <c r="I80" s="1420"/>
      <c r="J80" s="1420"/>
      <c r="K80" s="484" t="s">
        <v>401</v>
      </c>
      <c r="L80" s="739" t="s">
        <v>402</v>
      </c>
      <c r="M80" s="1415"/>
      <c r="N80" s="1415"/>
      <c r="O80" s="1415"/>
      <c r="P80" s="1416" t="s">
        <v>403</v>
      </c>
      <c r="Q80" s="1417"/>
    </row>
    <row r="81" spans="1:17" ht="25.5" customHeight="1" thickBot="1">
      <c r="A81" s="485"/>
      <c r="B81" s="486" t="s">
        <v>404</v>
      </c>
      <c r="C81" s="487" t="s">
        <v>405</v>
      </c>
      <c r="D81" s="487" t="s">
        <v>406</v>
      </c>
      <c r="E81" s="487" t="s">
        <v>407</v>
      </c>
      <c r="F81" s="488" t="s">
        <v>401</v>
      </c>
      <c r="G81" s="488"/>
      <c r="H81" s="488"/>
      <c r="I81" s="488"/>
      <c r="J81" s="489" t="s">
        <v>408</v>
      </c>
      <c r="K81" s="490" t="s">
        <v>409</v>
      </c>
      <c r="L81" s="491"/>
      <c r="M81" s="492" t="s">
        <v>401</v>
      </c>
      <c r="N81" s="492" t="s">
        <v>410</v>
      </c>
      <c r="O81" s="493" t="s">
        <v>402</v>
      </c>
      <c r="P81" s="493" t="s">
        <v>401</v>
      </c>
      <c r="Q81" s="494" t="s">
        <v>402</v>
      </c>
    </row>
    <row r="82" spans="1:17" ht="13.8">
      <c r="A82" s="496"/>
      <c r="B82" s="497"/>
      <c r="C82" s="498"/>
      <c r="D82" s="498"/>
      <c r="E82" s="499"/>
      <c r="F82" s="499"/>
      <c r="G82" s="500" t="s">
        <v>411</v>
      </c>
      <c r="H82" s="500" t="s">
        <v>412</v>
      </c>
      <c r="I82" s="500" t="s">
        <v>413</v>
      </c>
      <c r="J82" s="501"/>
      <c r="K82" s="502"/>
      <c r="L82" s="503"/>
      <c r="M82" s="1433" t="s">
        <v>383</v>
      </c>
      <c r="N82" s="1434"/>
      <c r="O82" s="1435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414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414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414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414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414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414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414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414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8" thickBot="1">
      <c r="A100" s="791"/>
      <c r="B100" s="792"/>
      <c r="C100" s="792"/>
      <c r="D100" s="793"/>
      <c r="E100" s="794"/>
      <c r="F100" s="795" t="s">
        <v>414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421" t="s">
        <v>415</v>
      </c>
      <c r="B101" s="1422"/>
      <c r="C101" s="1422"/>
      <c r="D101" s="1422"/>
      <c r="E101" s="1423"/>
      <c r="F101" s="1418">
        <v>3000</v>
      </c>
      <c r="G101" s="1416"/>
      <c r="H101" s="1416"/>
      <c r="I101" s="1416"/>
      <c r="J101" s="1419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8" thickBot="1">
      <c r="A102" s="1424"/>
      <c r="B102" s="1425"/>
      <c r="C102" s="1425"/>
      <c r="D102" s="1425"/>
      <c r="E102" s="1426"/>
      <c r="F102" s="1427" t="s">
        <v>414</v>
      </c>
      <c r="G102" s="1428"/>
      <c r="H102" s="1428"/>
      <c r="I102" s="1428"/>
      <c r="J102" s="1429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8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398</v>
      </c>
      <c r="B104" s="1418" t="s">
        <v>399</v>
      </c>
      <c r="C104" s="1419"/>
      <c r="D104" s="1418" t="s">
        <v>400</v>
      </c>
      <c r="E104" s="1419"/>
      <c r="F104" s="1420" t="s">
        <v>3</v>
      </c>
      <c r="G104" s="1420"/>
      <c r="H104" s="1420"/>
      <c r="I104" s="1420"/>
      <c r="J104" s="1420"/>
      <c r="K104" s="484" t="s">
        <v>401</v>
      </c>
      <c r="L104" s="739" t="s">
        <v>402</v>
      </c>
      <c r="M104" s="1415"/>
      <c r="N104" s="1415"/>
      <c r="O104" s="1415"/>
      <c r="P104" s="1416" t="s">
        <v>403</v>
      </c>
      <c r="Q104" s="1417"/>
    </row>
    <row r="105" spans="1:17" ht="27" thickBot="1">
      <c r="A105" s="485"/>
      <c r="B105" s="486" t="s">
        <v>404</v>
      </c>
      <c r="C105" s="487" t="s">
        <v>405</v>
      </c>
      <c r="D105" s="487" t="s">
        <v>406</v>
      </c>
      <c r="E105" s="487" t="s">
        <v>407</v>
      </c>
      <c r="F105" s="488" t="s">
        <v>401</v>
      </c>
      <c r="G105" s="488"/>
      <c r="H105" s="488"/>
      <c r="I105" s="488"/>
      <c r="J105" s="489" t="s">
        <v>408</v>
      </c>
      <c r="K105" s="490" t="s">
        <v>409</v>
      </c>
      <c r="L105" s="491"/>
      <c r="M105" s="492" t="s">
        <v>401</v>
      </c>
      <c r="N105" s="492" t="s">
        <v>410</v>
      </c>
      <c r="O105" s="493" t="s">
        <v>402</v>
      </c>
      <c r="P105" s="493" t="s">
        <v>401</v>
      </c>
      <c r="Q105" s="494" t="s">
        <v>402</v>
      </c>
    </row>
    <row r="106" spans="1:17" ht="13.8">
      <c r="A106" s="496"/>
      <c r="B106" s="497"/>
      <c r="C106" s="498"/>
      <c r="D106" s="498"/>
      <c r="E106" s="499"/>
      <c r="F106" s="499"/>
      <c r="G106" s="500" t="s">
        <v>411</v>
      </c>
      <c r="H106" s="500" t="s">
        <v>412</v>
      </c>
      <c r="I106" s="500" t="s">
        <v>413</v>
      </c>
      <c r="J106" s="501"/>
      <c r="K106" s="502"/>
      <c r="L106" s="503"/>
      <c r="M106" s="1433" t="s">
        <v>383</v>
      </c>
      <c r="N106" s="1434"/>
      <c r="O106" s="1435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414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414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414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414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414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414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414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414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8" thickBot="1">
      <c r="A124" s="791"/>
      <c r="B124" s="792"/>
      <c r="C124" s="792"/>
      <c r="D124" s="793"/>
      <c r="E124" s="794"/>
      <c r="F124" s="795" t="s">
        <v>414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421" t="s">
        <v>415</v>
      </c>
      <c r="B125" s="1422"/>
      <c r="C125" s="1422"/>
      <c r="D125" s="1422"/>
      <c r="E125" s="1423"/>
      <c r="F125" s="1418">
        <v>3000</v>
      </c>
      <c r="G125" s="1416"/>
      <c r="H125" s="1416"/>
      <c r="I125" s="1416"/>
      <c r="J125" s="1419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8" thickBot="1">
      <c r="A126" s="1424"/>
      <c r="B126" s="1425"/>
      <c r="C126" s="1425"/>
      <c r="D126" s="1425"/>
      <c r="E126" s="1426"/>
      <c r="F126" s="1427" t="s">
        <v>414</v>
      </c>
      <c r="G126" s="1428"/>
      <c r="H126" s="1428"/>
      <c r="I126" s="1428"/>
      <c r="J126" s="1429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8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448" t="s">
        <v>697</v>
      </c>
      <c r="B128" s="1449"/>
      <c r="C128" s="1449"/>
      <c r="D128" s="1449"/>
      <c r="E128" s="1450"/>
      <c r="F128" s="1445">
        <v>3000</v>
      </c>
      <c r="G128" s="1446"/>
      <c r="H128" s="1446"/>
      <c r="I128" s="1446"/>
      <c r="J128" s="1447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439" t="s">
        <v>697</v>
      </c>
      <c r="B129" s="1440"/>
      <c r="C129" s="1440"/>
      <c r="D129" s="1440"/>
      <c r="E129" s="1441"/>
      <c r="F129" s="1442" t="s">
        <v>414</v>
      </c>
      <c r="G129" s="1443"/>
      <c r="H129" s="1443"/>
      <c r="I129" s="1443"/>
      <c r="J129" s="1444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38"/>
  <sheetViews>
    <sheetView workbookViewId="0">
      <selection activeCell="L1" sqref="L1"/>
    </sheetView>
  </sheetViews>
  <sheetFormatPr defaultRowHeight="13.2"/>
  <cols>
    <col min="1" max="1" width="9.44140625" style="314" bestFit="1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9.6640625" style="314" customWidth="1"/>
    <col min="10" max="10" width="12.6640625" style="314" customWidth="1"/>
    <col min="11" max="11" width="19.5546875" style="314" bestFit="1" customWidth="1"/>
    <col min="12" max="12" width="16.5546875" style="314" bestFit="1" customWidth="1"/>
    <col min="13" max="256" width="9.109375" style="314"/>
    <col min="257" max="257" width="9.44140625" style="314" bestFit="1" customWidth="1"/>
    <col min="258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9.6640625" style="314" customWidth="1"/>
    <col min="266" max="266" width="12.6640625" style="314" customWidth="1"/>
    <col min="267" max="267" width="13.44140625" style="314" bestFit="1" customWidth="1"/>
    <col min="268" max="268" width="16.5546875" style="314" bestFit="1" customWidth="1"/>
    <col min="269" max="512" width="9.109375" style="314"/>
    <col min="513" max="513" width="9.44140625" style="314" bestFit="1" customWidth="1"/>
    <col min="514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9.6640625" style="314" customWidth="1"/>
    <col min="522" max="522" width="12.6640625" style="314" customWidth="1"/>
    <col min="523" max="523" width="13.44140625" style="314" bestFit="1" customWidth="1"/>
    <col min="524" max="524" width="16.5546875" style="314" bestFit="1" customWidth="1"/>
    <col min="525" max="768" width="9.109375" style="314"/>
    <col min="769" max="769" width="9.44140625" style="314" bestFit="1" customWidth="1"/>
    <col min="770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9.6640625" style="314" customWidth="1"/>
    <col min="778" max="778" width="12.6640625" style="314" customWidth="1"/>
    <col min="779" max="779" width="13.44140625" style="314" bestFit="1" customWidth="1"/>
    <col min="780" max="780" width="16.5546875" style="314" bestFit="1" customWidth="1"/>
    <col min="781" max="1024" width="9.109375" style="314"/>
    <col min="1025" max="1025" width="9.44140625" style="314" bestFit="1" customWidth="1"/>
    <col min="1026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9.6640625" style="314" customWidth="1"/>
    <col min="1034" max="1034" width="12.6640625" style="314" customWidth="1"/>
    <col min="1035" max="1035" width="13.44140625" style="314" bestFit="1" customWidth="1"/>
    <col min="1036" max="1036" width="16.5546875" style="314" bestFit="1" customWidth="1"/>
    <col min="1037" max="1280" width="9.109375" style="314"/>
    <col min="1281" max="1281" width="9.44140625" style="314" bestFit="1" customWidth="1"/>
    <col min="1282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9.6640625" style="314" customWidth="1"/>
    <col min="1290" max="1290" width="12.6640625" style="314" customWidth="1"/>
    <col min="1291" max="1291" width="13.44140625" style="314" bestFit="1" customWidth="1"/>
    <col min="1292" max="1292" width="16.5546875" style="314" bestFit="1" customWidth="1"/>
    <col min="1293" max="1536" width="9.109375" style="314"/>
    <col min="1537" max="1537" width="9.44140625" style="314" bestFit="1" customWidth="1"/>
    <col min="1538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9.6640625" style="314" customWidth="1"/>
    <col min="1546" max="1546" width="12.6640625" style="314" customWidth="1"/>
    <col min="1547" max="1547" width="13.44140625" style="314" bestFit="1" customWidth="1"/>
    <col min="1548" max="1548" width="16.5546875" style="314" bestFit="1" customWidth="1"/>
    <col min="1549" max="1792" width="9.109375" style="314"/>
    <col min="1793" max="1793" width="9.44140625" style="314" bestFit="1" customWidth="1"/>
    <col min="1794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9.6640625" style="314" customWidth="1"/>
    <col min="1802" max="1802" width="12.6640625" style="314" customWidth="1"/>
    <col min="1803" max="1803" width="13.44140625" style="314" bestFit="1" customWidth="1"/>
    <col min="1804" max="1804" width="16.5546875" style="314" bestFit="1" customWidth="1"/>
    <col min="1805" max="2048" width="9.109375" style="314"/>
    <col min="2049" max="2049" width="9.44140625" style="314" bestFit="1" customWidth="1"/>
    <col min="2050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9.6640625" style="314" customWidth="1"/>
    <col min="2058" max="2058" width="12.6640625" style="314" customWidth="1"/>
    <col min="2059" max="2059" width="13.44140625" style="314" bestFit="1" customWidth="1"/>
    <col min="2060" max="2060" width="16.5546875" style="314" bestFit="1" customWidth="1"/>
    <col min="2061" max="2304" width="9.109375" style="314"/>
    <col min="2305" max="2305" width="9.44140625" style="314" bestFit="1" customWidth="1"/>
    <col min="2306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9.6640625" style="314" customWidth="1"/>
    <col min="2314" max="2314" width="12.6640625" style="314" customWidth="1"/>
    <col min="2315" max="2315" width="13.44140625" style="314" bestFit="1" customWidth="1"/>
    <col min="2316" max="2316" width="16.5546875" style="314" bestFit="1" customWidth="1"/>
    <col min="2317" max="2560" width="9.109375" style="314"/>
    <col min="2561" max="2561" width="9.44140625" style="314" bestFit="1" customWidth="1"/>
    <col min="2562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9.6640625" style="314" customWidth="1"/>
    <col min="2570" max="2570" width="12.6640625" style="314" customWidth="1"/>
    <col min="2571" max="2571" width="13.44140625" style="314" bestFit="1" customWidth="1"/>
    <col min="2572" max="2572" width="16.5546875" style="314" bestFit="1" customWidth="1"/>
    <col min="2573" max="2816" width="9.109375" style="314"/>
    <col min="2817" max="2817" width="9.44140625" style="314" bestFit="1" customWidth="1"/>
    <col min="2818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9.6640625" style="314" customWidth="1"/>
    <col min="2826" max="2826" width="12.6640625" style="314" customWidth="1"/>
    <col min="2827" max="2827" width="13.44140625" style="314" bestFit="1" customWidth="1"/>
    <col min="2828" max="2828" width="16.5546875" style="314" bestFit="1" customWidth="1"/>
    <col min="2829" max="3072" width="9.109375" style="314"/>
    <col min="3073" max="3073" width="9.44140625" style="314" bestFit="1" customWidth="1"/>
    <col min="3074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9.6640625" style="314" customWidth="1"/>
    <col min="3082" max="3082" width="12.6640625" style="314" customWidth="1"/>
    <col min="3083" max="3083" width="13.44140625" style="314" bestFit="1" customWidth="1"/>
    <col min="3084" max="3084" width="16.5546875" style="314" bestFit="1" customWidth="1"/>
    <col min="3085" max="3328" width="9.109375" style="314"/>
    <col min="3329" max="3329" width="9.44140625" style="314" bestFit="1" customWidth="1"/>
    <col min="3330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9.6640625" style="314" customWidth="1"/>
    <col min="3338" max="3338" width="12.6640625" style="314" customWidth="1"/>
    <col min="3339" max="3339" width="13.44140625" style="314" bestFit="1" customWidth="1"/>
    <col min="3340" max="3340" width="16.5546875" style="314" bestFit="1" customWidth="1"/>
    <col min="3341" max="3584" width="9.109375" style="314"/>
    <col min="3585" max="3585" width="9.44140625" style="314" bestFit="1" customWidth="1"/>
    <col min="3586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9.6640625" style="314" customWidth="1"/>
    <col min="3594" max="3594" width="12.6640625" style="314" customWidth="1"/>
    <col min="3595" max="3595" width="13.44140625" style="314" bestFit="1" customWidth="1"/>
    <col min="3596" max="3596" width="16.5546875" style="314" bestFit="1" customWidth="1"/>
    <col min="3597" max="3840" width="9.109375" style="314"/>
    <col min="3841" max="3841" width="9.44140625" style="314" bestFit="1" customWidth="1"/>
    <col min="3842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9.6640625" style="314" customWidth="1"/>
    <col min="3850" max="3850" width="12.6640625" style="314" customWidth="1"/>
    <col min="3851" max="3851" width="13.44140625" style="314" bestFit="1" customWidth="1"/>
    <col min="3852" max="3852" width="16.5546875" style="314" bestFit="1" customWidth="1"/>
    <col min="3853" max="4096" width="9.109375" style="314"/>
    <col min="4097" max="4097" width="9.44140625" style="314" bestFit="1" customWidth="1"/>
    <col min="4098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9.6640625" style="314" customWidth="1"/>
    <col min="4106" max="4106" width="12.6640625" style="314" customWidth="1"/>
    <col min="4107" max="4107" width="13.44140625" style="314" bestFit="1" customWidth="1"/>
    <col min="4108" max="4108" width="16.5546875" style="314" bestFit="1" customWidth="1"/>
    <col min="4109" max="4352" width="9.109375" style="314"/>
    <col min="4353" max="4353" width="9.44140625" style="314" bestFit="1" customWidth="1"/>
    <col min="4354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9.6640625" style="314" customWidth="1"/>
    <col min="4362" max="4362" width="12.6640625" style="314" customWidth="1"/>
    <col min="4363" max="4363" width="13.44140625" style="314" bestFit="1" customWidth="1"/>
    <col min="4364" max="4364" width="16.5546875" style="314" bestFit="1" customWidth="1"/>
    <col min="4365" max="4608" width="9.109375" style="314"/>
    <col min="4609" max="4609" width="9.44140625" style="314" bestFit="1" customWidth="1"/>
    <col min="4610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9.6640625" style="314" customWidth="1"/>
    <col min="4618" max="4618" width="12.6640625" style="314" customWidth="1"/>
    <col min="4619" max="4619" width="13.44140625" style="314" bestFit="1" customWidth="1"/>
    <col min="4620" max="4620" width="16.5546875" style="314" bestFit="1" customWidth="1"/>
    <col min="4621" max="4864" width="9.109375" style="314"/>
    <col min="4865" max="4865" width="9.44140625" style="314" bestFit="1" customWidth="1"/>
    <col min="4866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9.6640625" style="314" customWidth="1"/>
    <col min="4874" max="4874" width="12.6640625" style="314" customWidth="1"/>
    <col min="4875" max="4875" width="13.44140625" style="314" bestFit="1" customWidth="1"/>
    <col min="4876" max="4876" width="16.5546875" style="314" bestFit="1" customWidth="1"/>
    <col min="4877" max="5120" width="9.109375" style="314"/>
    <col min="5121" max="5121" width="9.44140625" style="314" bestFit="1" customWidth="1"/>
    <col min="5122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9.6640625" style="314" customWidth="1"/>
    <col min="5130" max="5130" width="12.6640625" style="314" customWidth="1"/>
    <col min="5131" max="5131" width="13.44140625" style="314" bestFit="1" customWidth="1"/>
    <col min="5132" max="5132" width="16.5546875" style="314" bestFit="1" customWidth="1"/>
    <col min="5133" max="5376" width="9.109375" style="314"/>
    <col min="5377" max="5377" width="9.44140625" style="314" bestFit="1" customWidth="1"/>
    <col min="5378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9.6640625" style="314" customWidth="1"/>
    <col min="5386" max="5386" width="12.6640625" style="314" customWidth="1"/>
    <col min="5387" max="5387" width="13.44140625" style="314" bestFit="1" customWidth="1"/>
    <col min="5388" max="5388" width="16.5546875" style="314" bestFit="1" customWidth="1"/>
    <col min="5389" max="5632" width="9.109375" style="314"/>
    <col min="5633" max="5633" width="9.44140625" style="314" bestFit="1" customWidth="1"/>
    <col min="5634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9.6640625" style="314" customWidth="1"/>
    <col min="5642" max="5642" width="12.6640625" style="314" customWidth="1"/>
    <col min="5643" max="5643" width="13.44140625" style="314" bestFit="1" customWidth="1"/>
    <col min="5644" max="5644" width="16.5546875" style="314" bestFit="1" customWidth="1"/>
    <col min="5645" max="5888" width="9.109375" style="314"/>
    <col min="5889" max="5889" width="9.44140625" style="314" bestFit="1" customWidth="1"/>
    <col min="5890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9.6640625" style="314" customWidth="1"/>
    <col min="5898" max="5898" width="12.6640625" style="314" customWidth="1"/>
    <col min="5899" max="5899" width="13.44140625" style="314" bestFit="1" customWidth="1"/>
    <col min="5900" max="5900" width="16.5546875" style="314" bestFit="1" customWidth="1"/>
    <col min="5901" max="6144" width="9.109375" style="314"/>
    <col min="6145" max="6145" width="9.44140625" style="314" bestFit="1" customWidth="1"/>
    <col min="6146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9.6640625" style="314" customWidth="1"/>
    <col min="6154" max="6154" width="12.6640625" style="314" customWidth="1"/>
    <col min="6155" max="6155" width="13.44140625" style="314" bestFit="1" customWidth="1"/>
    <col min="6156" max="6156" width="16.5546875" style="314" bestFit="1" customWidth="1"/>
    <col min="6157" max="6400" width="9.109375" style="314"/>
    <col min="6401" max="6401" width="9.44140625" style="314" bestFit="1" customWidth="1"/>
    <col min="6402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9.6640625" style="314" customWidth="1"/>
    <col min="6410" max="6410" width="12.6640625" style="314" customWidth="1"/>
    <col min="6411" max="6411" width="13.44140625" style="314" bestFit="1" customWidth="1"/>
    <col min="6412" max="6412" width="16.5546875" style="314" bestFit="1" customWidth="1"/>
    <col min="6413" max="6656" width="9.109375" style="314"/>
    <col min="6657" max="6657" width="9.44140625" style="314" bestFit="1" customWidth="1"/>
    <col min="6658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9.6640625" style="314" customWidth="1"/>
    <col min="6666" max="6666" width="12.6640625" style="314" customWidth="1"/>
    <col min="6667" max="6667" width="13.44140625" style="314" bestFit="1" customWidth="1"/>
    <col min="6668" max="6668" width="16.5546875" style="314" bestFit="1" customWidth="1"/>
    <col min="6669" max="6912" width="9.109375" style="314"/>
    <col min="6913" max="6913" width="9.44140625" style="314" bestFit="1" customWidth="1"/>
    <col min="6914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9.6640625" style="314" customWidth="1"/>
    <col min="6922" max="6922" width="12.6640625" style="314" customWidth="1"/>
    <col min="6923" max="6923" width="13.44140625" style="314" bestFit="1" customWidth="1"/>
    <col min="6924" max="6924" width="16.5546875" style="314" bestFit="1" customWidth="1"/>
    <col min="6925" max="7168" width="9.109375" style="314"/>
    <col min="7169" max="7169" width="9.44140625" style="314" bestFit="1" customWidth="1"/>
    <col min="7170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9.6640625" style="314" customWidth="1"/>
    <col min="7178" max="7178" width="12.6640625" style="314" customWidth="1"/>
    <col min="7179" max="7179" width="13.44140625" style="314" bestFit="1" customWidth="1"/>
    <col min="7180" max="7180" width="16.5546875" style="314" bestFit="1" customWidth="1"/>
    <col min="7181" max="7424" width="9.109375" style="314"/>
    <col min="7425" max="7425" width="9.44140625" style="314" bestFit="1" customWidth="1"/>
    <col min="7426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9.6640625" style="314" customWidth="1"/>
    <col min="7434" max="7434" width="12.6640625" style="314" customWidth="1"/>
    <col min="7435" max="7435" width="13.44140625" style="314" bestFit="1" customWidth="1"/>
    <col min="7436" max="7436" width="16.5546875" style="314" bestFit="1" customWidth="1"/>
    <col min="7437" max="7680" width="9.109375" style="314"/>
    <col min="7681" max="7681" width="9.44140625" style="314" bestFit="1" customWidth="1"/>
    <col min="7682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9.6640625" style="314" customWidth="1"/>
    <col min="7690" max="7690" width="12.6640625" style="314" customWidth="1"/>
    <col min="7691" max="7691" width="13.44140625" style="314" bestFit="1" customWidth="1"/>
    <col min="7692" max="7692" width="16.5546875" style="314" bestFit="1" customWidth="1"/>
    <col min="7693" max="7936" width="9.109375" style="314"/>
    <col min="7937" max="7937" width="9.44140625" style="314" bestFit="1" customWidth="1"/>
    <col min="7938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9.6640625" style="314" customWidth="1"/>
    <col min="7946" max="7946" width="12.6640625" style="314" customWidth="1"/>
    <col min="7947" max="7947" width="13.44140625" style="314" bestFit="1" customWidth="1"/>
    <col min="7948" max="7948" width="16.5546875" style="314" bestFit="1" customWidth="1"/>
    <col min="7949" max="8192" width="9.109375" style="314"/>
    <col min="8193" max="8193" width="9.44140625" style="314" bestFit="1" customWidth="1"/>
    <col min="8194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9.6640625" style="314" customWidth="1"/>
    <col min="8202" max="8202" width="12.6640625" style="314" customWidth="1"/>
    <col min="8203" max="8203" width="13.44140625" style="314" bestFit="1" customWidth="1"/>
    <col min="8204" max="8204" width="16.5546875" style="314" bestFit="1" customWidth="1"/>
    <col min="8205" max="8448" width="9.109375" style="314"/>
    <col min="8449" max="8449" width="9.44140625" style="314" bestFit="1" customWidth="1"/>
    <col min="8450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9.6640625" style="314" customWidth="1"/>
    <col min="8458" max="8458" width="12.6640625" style="314" customWidth="1"/>
    <col min="8459" max="8459" width="13.44140625" style="314" bestFit="1" customWidth="1"/>
    <col min="8460" max="8460" width="16.5546875" style="314" bestFit="1" customWidth="1"/>
    <col min="8461" max="8704" width="9.109375" style="314"/>
    <col min="8705" max="8705" width="9.44140625" style="314" bestFit="1" customWidth="1"/>
    <col min="8706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9.6640625" style="314" customWidth="1"/>
    <col min="8714" max="8714" width="12.6640625" style="314" customWidth="1"/>
    <col min="8715" max="8715" width="13.44140625" style="314" bestFit="1" customWidth="1"/>
    <col min="8716" max="8716" width="16.5546875" style="314" bestFit="1" customWidth="1"/>
    <col min="8717" max="8960" width="9.109375" style="314"/>
    <col min="8961" max="8961" width="9.44140625" style="314" bestFit="1" customWidth="1"/>
    <col min="8962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9.6640625" style="314" customWidth="1"/>
    <col min="8970" max="8970" width="12.6640625" style="314" customWidth="1"/>
    <col min="8971" max="8971" width="13.44140625" style="314" bestFit="1" customWidth="1"/>
    <col min="8972" max="8972" width="16.5546875" style="314" bestFit="1" customWidth="1"/>
    <col min="8973" max="9216" width="9.109375" style="314"/>
    <col min="9217" max="9217" width="9.44140625" style="314" bestFit="1" customWidth="1"/>
    <col min="9218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9.6640625" style="314" customWidth="1"/>
    <col min="9226" max="9226" width="12.6640625" style="314" customWidth="1"/>
    <col min="9227" max="9227" width="13.44140625" style="314" bestFit="1" customWidth="1"/>
    <col min="9228" max="9228" width="16.5546875" style="314" bestFit="1" customWidth="1"/>
    <col min="9229" max="9472" width="9.109375" style="314"/>
    <col min="9473" max="9473" width="9.44140625" style="314" bestFit="1" customWidth="1"/>
    <col min="9474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9.6640625" style="314" customWidth="1"/>
    <col min="9482" max="9482" width="12.6640625" style="314" customWidth="1"/>
    <col min="9483" max="9483" width="13.44140625" style="314" bestFit="1" customWidth="1"/>
    <col min="9484" max="9484" width="16.5546875" style="314" bestFit="1" customWidth="1"/>
    <col min="9485" max="9728" width="9.109375" style="314"/>
    <col min="9729" max="9729" width="9.44140625" style="314" bestFit="1" customWidth="1"/>
    <col min="9730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9.6640625" style="314" customWidth="1"/>
    <col min="9738" max="9738" width="12.6640625" style="314" customWidth="1"/>
    <col min="9739" max="9739" width="13.44140625" style="314" bestFit="1" customWidth="1"/>
    <col min="9740" max="9740" width="16.5546875" style="314" bestFit="1" customWidth="1"/>
    <col min="9741" max="9984" width="9.109375" style="314"/>
    <col min="9985" max="9985" width="9.44140625" style="314" bestFit="1" customWidth="1"/>
    <col min="9986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9.6640625" style="314" customWidth="1"/>
    <col min="9994" max="9994" width="12.6640625" style="314" customWidth="1"/>
    <col min="9995" max="9995" width="13.44140625" style="314" bestFit="1" customWidth="1"/>
    <col min="9996" max="9996" width="16.5546875" style="314" bestFit="1" customWidth="1"/>
    <col min="9997" max="10240" width="9.109375" style="314"/>
    <col min="10241" max="10241" width="9.44140625" style="314" bestFit="1" customWidth="1"/>
    <col min="10242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9.6640625" style="314" customWidth="1"/>
    <col min="10250" max="10250" width="12.6640625" style="314" customWidth="1"/>
    <col min="10251" max="10251" width="13.44140625" style="314" bestFit="1" customWidth="1"/>
    <col min="10252" max="10252" width="16.5546875" style="314" bestFit="1" customWidth="1"/>
    <col min="10253" max="10496" width="9.109375" style="314"/>
    <col min="10497" max="10497" width="9.44140625" style="314" bestFit="1" customWidth="1"/>
    <col min="10498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9.6640625" style="314" customWidth="1"/>
    <col min="10506" max="10506" width="12.6640625" style="314" customWidth="1"/>
    <col min="10507" max="10507" width="13.44140625" style="314" bestFit="1" customWidth="1"/>
    <col min="10508" max="10508" width="16.5546875" style="314" bestFit="1" customWidth="1"/>
    <col min="10509" max="10752" width="9.109375" style="314"/>
    <col min="10753" max="10753" width="9.44140625" style="314" bestFit="1" customWidth="1"/>
    <col min="10754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9.6640625" style="314" customWidth="1"/>
    <col min="10762" max="10762" width="12.6640625" style="314" customWidth="1"/>
    <col min="10763" max="10763" width="13.44140625" style="314" bestFit="1" customWidth="1"/>
    <col min="10764" max="10764" width="16.5546875" style="314" bestFit="1" customWidth="1"/>
    <col min="10765" max="11008" width="9.109375" style="314"/>
    <col min="11009" max="11009" width="9.44140625" style="314" bestFit="1" customWidth="1"/>
    <col min="11010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9.6640625" style="314" customWidth="1"/>
    <col min="11018" max="11018" width="12.6640625" style="314" customWidth="1"/>
    <col min="11019" max="11019" width="13.44140625" style="314" bestFit="1" customWidth="1"/>
    <col min="11020" max="11020" width="16.5546875" style="314" bestFit="1" customWidth="1"/>
    <col min="11021" max="11264" width="9.109375" style="314"/>
    <col min="11265" max="11265" width="9.44140625" style="314" bestFit="1" customWidth="1"/>
    <col min="11266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9.6640625" style="314" customWidth="1"/>
    <col min="11274" max="11274" width="12.6640625" style="314" customWidth="1"/>
    <col min="11275" max="11275" width="13.44140625" style="314" bestFit="1" customWidth="1"/>
    <col min="11276" max="11276" width="16.5546875" style="314" bestFit="1" customWidth="1"/>
    <col min="11277" max="11520" width="9.109375" style="314"/>
    <col min="11521" max="11521" width="9.44140625" style="314" bestFit="1" customWidth="1"/>
    <col min="11522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9.6640625" style="314" customWidth="1"/>
    <col min="11530" max="11530" width="12.6640625" style="314" customWidth="1"/>
    <col min="11531" max="11531" width="13.44140625" style="314" bestFit="1" customWidth="1"/>
    <col min="11532" max="11532" width="16.5546875" style="314" bestFit="1" customWidth="1"/>
    <col min="11533" max="11776" width="9.109375" style="314"/>
    <col min="11777" max="11777" width="9.44140625" style="314" bestFit="1" customWidth="1"/>
    <col min="11778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9.6640625" style="314" customWidth="1"/>
    <col min="11786" max="11786" width="12.6640625" style="314" customWidth="1"/>
    <col min="11787" max="11787" width="13.44140625" style="314" bestFit="1" customWidth="1"/>
    <col min="11788" max="11788" width="16.5546875" style="314" bestFit="1" customWidth="1"/>
    <col min="11789" max="12032" width="9.109375" style="314"/>
    <col min="12033" max="12033" width="9.44140625" style="314" bestFit="1" customWidth="1"/>
    <col min="12034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9.6640625" style="314" customWidth="1"/>
    <col min="12042" max="12042" width="12.6640625" style="314" customWidth="1"/>
    <col min="12043" max="12043" width="13.44140625" style="314" bestFit="1" customWidth="1"/>
    <col min="12044" max="12044" width="16.5546875" style="314" bestFit="1" customWidth="1"/>
    <col min="12045" max="12288" width="9.109375" style="314"/>
    <col min="12289" max="12289" width="9.44140625" style="314" bestFit="1" customWidth="1"/>
    <col min="12290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9.6640625" style="314" customWidth="1"/>
    <col min="12298" max="12298" width="12.6640625" style="314" customWidth="1"/>
    <col min="12299" max="12299" width="13.44140625" style="314" bestFit="1" customWidth="1"/>
    <col min="12300" max="12300" width="16.5546875" style="314" bestFit="1" customWidth="1"/>
    <col min="12301" max="12544" width="9.109375" style="314"/>
    <col min="12545" max="12545" width="9.44140625" style="314" bestFit="1" customWidth="1"/>
    <col min="12546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9.6640625" style="314" customWidth="1"/>
    <col min="12554" max="12554" width="12.6640625" style="314" customWidth="1"/>
    <col min="12555" max="12555" width="13.44140625" style="314" bestFit="1" customWidth="1"/>
    <col min="12556" max="12556" width="16.5546875" style="314" bestFit="1" customWidth="1"/>
    <col min="12557" max="12800" width="9.109375" style="314"/>
    <col min="12801" max="12801" width="9.44140625" style="314" bestFit="1" customWidth="1"/>
    <col min="12802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9.6640625" style="314" customWidth="1"/>
    <col min="12810" max="12810" width="12.6640625" style="314" customWidth="1"/>
    <col min="12811" max="12811" width="13.44140625" style="314" bestFit="1" customWidth="1"/>
    <col min="12812" max="12812" width="16.5546875" style="314" bestFit="1" customWidth="1"/>
    <col min="12813" max="13056" width="9.109375" style="314"/>
    <col min="13057" max="13057" width="9.44140625" style="314" bestFit="1" customWidth="1"/>
    <col min="13058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9.6640625" style="314" customWidth="1"/>
    <col min="13066" max="13066" width="12.6640625" style="314" customWidth="1"/>
    <col min="13067" max="13067" width="13.44140625" style="314" bestFit="1" customWidth="1"/>
    <col min="13068" max="13068" width="16.5546875" style="314" bestFit="1" customWidth="1"/>
    <col min="13069" max="13312" width="9.109375" style="314"/>
    <col min="13313" max="13313" width="9.44140625" style="314" bestFit="1" customWidth="1"/>
    <col min="13314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9.6640625" style="314" customWidth="1"/>
    <col min="13322" max="13322" width="12.6640625" style="314" customWidth="1"/>
    <col min="13323" max="13323" width="13.44140625" style="314" bestFit="1" customWidth="1"/>
    <col min="13324" max="13324" width="16.5546875" style="314" bestFit="1" customWidth="1"/>
    <col min="13325" max="13568" width="9.109375" style="314"/>
    <col min="13569" max="13569" width="9.44140625" style="314" bestFit="1" customWidth="1"/>
    <col min="13570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9.6640625" style="314" customWidth="1"/>
    <col min="13578" max="13578" width="12.6640625" style="314" customWidth="1"/>
    <col min="13579" max="13579" width="13.44140625" style="314" bestFit="1" customWidth="1"/>
    <col min="13580" max="13580" width="16.5546875" style="314" bestFit="1" customWidth="1"/>
    <col min="13581" max="13824" width="9.109375" style="314"/>
    <col min="13825" max="13825" width="9.44140625" style="314" bestFit="1" customWidth="1"/>
    <col min="13826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9.6640625" style="314" customWidth="1"/>
    <col min="13834" max="13834" width="12.6640625" style="314" customWidth="1"/>
    <col min="13835" max="13835" width="13.44140625" style="314" bestFit="1" customWidth="1"/>
    <col min="13836" max="13836" width="16.5546875" style="314" bestFit="1" customWidth="1"/>
    <col min="13837" max="14080" width="9.109375" style="314"/>
    <col min="14081" max="14081" width="9.44140625" style="314" bestFit="1" customWidth="1"/>
    <col min="14082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9.6640625" style="314" customWidth="1"/>
    <col min="14090" max="14090" width="12.6640625" style="314" customWidth="1"/>
    <col min="14091" max="14091" width="13.44140625" style="314" bestFit="1" customWidth="1"/>
    <col min="14092" max="14092" width="16.5546875" style="314" bestFit="1" customWidth="1"/>
    <col min="14093" max="14336" width="9.109375" style="314"/>
    <col min="14337" max="14337" width="9.44140625" style="314" bestFit="1" customWidth="1"/>
    <col min="14338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9.6640625" style="314" customWidth="1"/>
    <col min="14346" max="14346" width="12.6640625" style="314" customWidth="1"/>
    <col min="14347" max="14347" width="13.44140625" style="314" bestFit="1" customWidth="1"/>
    <col min="14348" max="14348" width="16.5546875" style="314" bestFit="1" customWidth="1"/>
    <col min="14349" max="14592" width="9.109375" style="314"/>
    <col min="14593" max="14593" width="9.44140625" style="314" bestFit="1" customWidth="1"/>
    <col min="14594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9.6640625" style="314" customWidth="1"/>
    <col min="14602" max="14602" width="12.6640625" style="314" customWidth="1"/>
    <col min="14603" max="14603" width="13.44140625" style="314" bestFit="1" customWidth="1"/>
    <col min="14604" max="14604" width="16.5546875" style="314" bestFit="1" customWidth="1"/>
    <col min="14605" max="14848" width="9.109375" style="314"/>
    <col min="14849" max="14849" width="9.44140625" style="314" bestFit="1" customWidth="1"/>
    <col min="14850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9.6640625" style="314" customWidth="1"/>
    <col min="14858" max="14858" width="12.6640625" style="314" customWidth="1"/>
    <col min="14859" max="14859" width="13.44140625" style="314" bestFit="1" customWidth="1"/>
    <col min="14860" max="14860" width="16.5546875" style="314" bestFit="1" customWidth="1"/>
    <col min="14861" max="15104" width="9.109375" style="314"/>
    <col min="15105" max="15105" width="9.44140625" style="314" bestFit="1" customWidth="1"/>
    <col min="15106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9.6640625" style="314" customWidth="1"/>
    <col min="15114" max="15114" width="12.6640625" style="314" customWidth="1"/>
    <col min="15115" max="15115" width="13.44140625" style="314" bestFit="1" customWidth="1"/>
    <col min="15116" max="15116" width="16.5546875" style="314" bestFit="1" customWidth="1"/>
    <col min="15117" max="15360" width="9.109375" style="314"/>
    <col min="15361" max="15361" width="9.44140625" style="314" bestFit="1" customWidth="1"/>
    <col min="15362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9.6640625" style="314" customWidth="1"/>
    <col min="15370" max="15370" width="12.6640625" style="314" customWidth="1"/>
    <col min="15371" max="15371" width="13.44140625" style="314" bestFit="1" customWidth="1"/>
    <col min="15372" max="15372" width="16.5546875" style="314" bestFit="1" customWidth="1"/>
    <col min="15373" max="15616" width="9.109375" style="314"/>
    <col min="15617" max="15617" width="9.44140625" style="314" bestFit="1" customWidth="1"/>
    <col min="15618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9.6640625" style="314" customWidth="1"/>
    <col min="15626" max="15626" width="12.6640625" style="314" customWidth="1"/>
    <col min="15627" max="15627" width="13.44140625" style="314" bestFit="1" customWidth="1"/>
    <col min="15628" max="15628" width="16.5546875" style="314" bestFit="1" customWidth="1"/>
    <col min="15629" max="15872" width="9.109375" style="314"/>
    <col min="15873" max="15873" width="9.44140625" style="314" bestFit="1" customWidth="1"/>
    <col min="15874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9.6640625" style="314" customWidth="1"/>
    <col min="15882" max="15882" width="12.6640625" style="314" customWidth="1"/>
    <col min="15883" max="15883" width="13.44140625" style="314" bestFit="1" customWidth="1"/>
    <col min="15884" max="15884" width="16.5546875" style="314" bestFit="1" customWidth="1"/>
    <col min="15885" max="16128" width="9.109375" style="314"/>
    <col min="16129" max="16129" width="9.44140625" style="314" bestFit="1" customWidth="1"/>
    <col min="16130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9.6640625" style="314" customWidth="1"/>
    <col min="16138" max="16138" width="12.6640625" style="314" customWidth="1"/>
    <col min="16139" max="16139" width="13.44140625" style="314" bestFit="1" customWidth="1"/>
    <col min="16140" max="16140" width="16.5546875" style="314" bestFit="1" customWidth="1"/>
    <col min="16141" max="16384" width="9.109375" style="314"/>
  </cols>
  <sheetData>
    <row r="1" spans="1:12" ht="15.6">
      <c r="L1" s="857" t="s">
        <v>416</v>
      </c>
    </row>
    <row r="2" spans="1:12" ht="8.25" customHeight="1">
      <c r="L2" s="858"/>
    </row>
    <row r="3" spans="1:12" ht="15.75" customHeight="1">
      <c r="A3" s="1457" t="s">
        <v>420</v>
      </c>
      <c r="B3" s="1401"/>
      <c r="C3" s="401" t="str">
        <f>'Pg 3 Travel'!A3</f>
        <v>NRA.N.007-040-2024/1F</v>
      </c>
      <c r="D3" s="403"/>
      <c r="E3" s="859"/>
      <c r="F3" s="1438">
        <f>'F1  Cover'!L8</f>
        <v>45169</v>
      </c>
      <c r="G3" s="1438"/>
      <c r="H3" s="1455" t="s">
        <v>377</v>
      </c>
      <c r="I3" s="1455"/>
      <c r="J3" s="1455"/>
      <c r="K3" s="1456">
        <f>'F1  Cover'!K8</f>
        <v>1</v>
      </c>
      <c r="L3" s="1403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5" t="s">
        <v>417</v>
      </c>
      <c r="B6" s="1396"/>
      <c r="C6" s="1396"/>
      <c r="D6" s="1396"/>
      <c r="E6" s="1396"/>
      <c r="F6" s="1396"/>
      <c r="G6" s="1396"/>
      <c r="H6" s="1396"/>
      <c r="I6" s="1396"/>
      <c r="J6" s="1396"/>
      <c r="K6" s="1396"/>
      <c r="L6" s="1397"/>
    </row>
    <row r="7" spans="1:12" ht="15.75" customHeight="1" thickBot="1">
      <c r="A7" s="526"/>
      <c r="L7" s="527"/>
    </row>
    <row r="8" spans="1:12" ht="29.25" customHeight="1" thickBot="1">
      <c r="A8" s="1458" t="s">
        <v>0</v>
      </c>
      <c r="B8" s="1459"/>
      <c r="C8" s="1459"/>
      <c r="D8" s="1459"/>
      <c r="E8" s="1459"/>
      <c r="F8" s="1459"/>
      <c r="G8" s="1459"/>
      <c r="H8" s="717" t="s">
        <v>704</v>
      </c>
      <c r="I8" s="528" t="s">
        <v>1</v>
      </c>
      <c r="J8" s="528" t="s">
        <v>2</v>
      </c>
      <c r="K8" s="528" t="s">
        <v>3</v>
      </c>
      <c r="L8" s="529" t="s">
        <v>402</v>
      </c>
    </row>
    <row r="9" spans="1:12" ht="12.75" customHeight="1">
      <c r="A9" s="1460" t="str">
        <f>'Pricing Schedule'!A22&amp;" " &amp;'Pricing Schedule'!B22</f>
        <v>3.3 INVESTIGATIONS FOR DESIGN DEVELOPMENT</v>
      </c>
      <c r="B9" s="1461"/>
      <c r="C9" s="1461"/>
      <c r="D9" s="1461"/>
      <c r="E9" s="1461"/>
      <c r="F9" s="1461"/>
      <c r="G9" s="1461"/>
      <c r="H9" s="860"/>
      <c r="I9" s="535"/>
      <c r="J9" s="535"/>
      <c r="K9" s="535"/>
      <c r="L9" s="536"/>
    </row>
    <row r="10" spans="1:12" ht="14.4">
      <c r="A10" s="1451" t="str">
        <f>'Pricing Schedule'!A23&amp;" " &amp;'Pricing Schedule'!B23</f>
        <v>3.3.1 Survey Services</v>
      </c>
      <c r="B10" s="1452"/>
      <c r="C10" s="1452"/>
      <c r="D10" s="1452"/>
      <c r="E10" s="1452"/>
      <c r="F10" s="1452"/>
      <c r="G10" s="1452"/>
      <c r="H10" s="861"/>
      <c r="I10" s="532"/>
      <c r="J10" s="862"/>
      <c r="K10" s="532"/>
      <c r="L10" s="863"/>
    </row>
    <row r="11" spans="1:12">
      <c r="A11" s="1451" t="str">
        <f>'Pricing Schedule'!A24&amp;" " &amp;'Pricing Schedule'!B24</f>
        <v xml:space="preserve"> (a) Survey Services when procured by service provider</v>
      </c>
      <c r="B11" s="1452"/>
      <c r="C11" s="1452"/>
      <c r="D11" s="1452"/>
      <c r="E11" s="1452"/>
      <c r="F11" s="1452"/>
      <c r="G11" s="1452"/>
      <c r="H11" s="861">
        <f>'Pricing Schedule'!F24</f>
        <v>200000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53"/>
      <c r="B12" s="1454"/>
      <c r="C12" s="1454"/>
      <c r="D12" s="1454"/>
      <c r="E12" s="1454"/>
      <c r="F12" s="1454"/>
      <c r="G12" s="1454"/>
      <c r="H12" s="877"/>
      <c r="I12" s="878"/>
      <c r="J12" s="879"/>
      <c r="K12" s="880"/>
      <c r="L12" s="865">
        <f>K12*J12</f>
        <v>0</v>
      </c>
    </row>
    <row r="13" spans="1:12">
      <c r="A13" s="1453"/>
      <c r="B13" s="1454"/>
      <c r="C13" s="1454"/>
      <c r="D13" s="1454"/>
      <c r="E13" s="1454"/>
      <c r="F13" s="1454"/>
      <c r="G13" s="1454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53"/>
      <c r="B14" s="1454"/>
      <c r="C14" s="1454"/>
      <c r="D14" s="1454"/>
      <c r="E14" s="1454"/>
      <c r="F14" s="1454"/>
      <c r="G14" s="1454"/>
      <c r="H14" s="877"/>
      <c r="I14" s="878"/>
      <c r="J14" s="879"/>
      <c r="K14" s="880"/>
      <c r="L14" s="863">
        <f t="shared" si="0"/>
        <v>0</v>
      </c>
    </row>
    <row r="15" spans="1:12">
      <c r="A15" s="1453"/>
      <c r="B15" s="1454"/>
      <c r="C15" s="1454"/>
      <c r="D15" s="1454"/>
      <c r="E15" s="1454"/>
      <c r="F15" s="1454"/>
      <c r="G15" s="1454"/>
      <c r="H15" s="877"/>
      <c r="I15" s="878"/>
      <c r="J15" s="879"/>
      <c r="K15" s="880"/>
      <c r="L15" s="863">
        <f t="shared" si="0"/>
        <v>0</v>
      </c>
    </row>
    <row r="16" spans="1:12">
      <c r="A16" s="1453"/>
      <c r="B16" s="1454"/>
      <c r="C16" s="1454"/>
      <c r="D16" s="1454"/>
      <c r="E16" s="1454"/>
      <c r="F16" s="1454"/>
      <c r="G16" s="1454"/>
      <c r="H16" s="877"/>
      <c r="I16" s="878"/>
      <c r="J16" s="879"/>
      <c r="K16" s="880"/>
      <c r="L16" s="863">
        <f t="shared" si="0"/>
        <v>0</v>
      </c>
    </row>
    <row r="17" spans="1:12">
      <c r="A17" s="1453"/>
      <c r="B17" s="1454"/>
      <c r="C17" s="1454"/>
      <c r="D17" s="1454"/>
      <c r="E17" s="1454"/>
      <c r="F17" s="1454"/>
      <c r="G17" s="1454"/>
      <c r="H17" s="877"/>
      <c r="I17" s="878"/>
      <c r="J17" s="879"/>
      <c r="K17" s="880"/>
      <c r="L17" s="863">
        <f t="shared" si="0"/>
        <v>0</v>
      </c>
    </row>
    <row r="18" spans="1:12">
      <c r="A18" s="1453"/>
      <c r="B18" s="1454"/>
      <c r="C18" s="1454"/>
      <c r="D18" s="1454"/>
      <c r="E18" s="1454"/>
      <c r="F18" s="1454"/>
      <c r="G18" s="1454"/>
      <c r="H18" s="877"/>
      <c r="I18" s="878"/>
      <c r="J18" s="879"/>
      <c r="K18" s="880"/>
      <c r="L18" s="863">
        <f t="shared" si="0"/>
        <v>0</v>
      </c>
    </row>
    <row r="19" spans="1:12" ht="14.4">
      <c r="A19" s="1451" t="str">
        <f>'Pricing Schedule'!A27&amp;" " &amp;'Pricing Schedule'!B27</f>
        <v>3.3.2 Traffic Monitoring Services</v>
      </c>
      <c r="B19" s="1452"/>
      <c r="C19" s="1452"/>
      <c r="D19" s="1452"/>
      <c r="E19" s="1452"/>
      <c r="F19" s="1452"/>
      <c r="G19" s="1452"/>
      <c r="H19" s="861"/>
      <c r="I19" s="532"/>
      <c r="J19" s="862"/>
      <c r="K19" s="532"/>
      <c r="L19" s="863"/>
    </row>
    <row r="20" spans="1:12">
      <c r="A20" s="1451" t="str">
        <f>'Pricing Schedule'!A28&amp;" " &amp;'Pricing Schedule'!B28</f>
        <v xml:space="preserve"> (a) Traffic Monitoring Services when procured by Service Provider</v>
      </c>
      <c r="B20" s="1452"/>
      <c r="C20" s="1452"/>
      <c r="D20" s="1452"/>
      <c r="E20" s="1452"/>
      <c r="F20" s="1452"/>
      <c r="G20" s="1452"/>
      <c r="H20" s="861">
        <f>'Pricing Schedule'!F28</f>
        <v>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53"/>
      <c r="B21" s="1454"/>
      <c r="C21" s="1454"/>
      <c r="D21" s="1454"/>
      <c r="E21" s="1454"/>
      <c r="F21" s="1454"/>
      <c r="G21" s="1454"/>
      <c r="H21" s="877"/>
      <c r="I21" s="878"/>
      <c r="J21" s="879"/>
      <c r="K21" s="880"/>
      <c r="L21" s="863">
        <f t="shared" si="0"/>
        <v>0</v>
      </c>
    </row>
    <row r="22" spans="1:12">
      <c r="A22" s="1453"/>
      <c r="B22" s="1454"/>
      <c r="C22" s="1454"/>
      <c r="D22" s="1454"/>
      <c r="E22" s="1454"/>
      <c r="F22" s="1454"/>
      <c r="G22" s="1454"/>
      <c r="H22" s="877"/>
      <c r="I22" s="878"/>
      <c r="J22" s="879"/>
      <c r="K22" s="880"/>
      <c r="L22" s="863">
        <f t="shared" si="0"/>
        <v>0</v>
      </c>
    </row>
    <row r="23" spans="1:12">
      <c r="A23" s="1453"/>
      <c r="B23" s="1454"/>
      <c r="C23" s="1454"/>
      <c r="D23" s="1454"/>
      <c r="E23" s="1454"/>
      <c r="F23" s="1454"/>
      <c r="G23" s="1454"/>
      <c r="H23" s="877"/>
      <c r="I23" s="878"/>
      <c r="J23" s="879"/>
      <c r="K23" s="880"/>
      <c r="L23" s="863">
        <f t="shared" si="0"/>
        <v>0</v>
      </c>
    </row>
    <row r="24" spans="1:12">
      <c r="A24" s="1453"/>
      <c r="B24" s="1454"/>
      <c r="C24" s="1454"/>
      <c r="D24" s="1454"/>
      <c r="E24" s="1454"/>
      <c r="F24" s="1454"/>
      <c r="G24" s="1454"/>
      <c r="H24" s="877"/>
      <c r="I24" s="878"/>
      <c r="J24" s="879"/>
      <c r="K24" s="880"/>
      <c r="L24" s="863">
        <f t="shared" si="0"/>
        <v>0</v>
      </c>
    </row>
    <row r="25" spans="1:12">
      <c r="A25" s="1453"/>
      <c r="B25" s="1454"/>
      <c r="C25" s="1454"/>
      <c r="D25" s="1454"/>
      <c r="E25" s="1454"/>
      <c r="F25" s="1454"/>
      <c r="G25" s="1454"/>
      <c r="H25" s="877"/>
      <c r="I25" s="878"/>
      <c r="J25" s="879"/>
      <c r="K25" s="880"/>
      <c r="L25" s="863">
        <f t="shared" si="0"/>
        <v>0</v>
      </c>
    </row>
    <row r="26" spans="1:12">
      <c r="A26" s="1453"/>
      <c r="B26" s="1454"/>
      <c r="C26" s="1454"/>
      <c r="D26" s="1454"/>
      <c r="E26" s="1454"/>
      <c r="F26" s="1454"/>
      <c r="G26" s="1454"/>
      <c r="H26" s="877"/>
      <c r="I26" s="878"/>
      <c r="J26" s="879"/>
      <c r="K26" s="880"/>
      <c r="L26" s="863">
        <f t="shared" si="0"/>
        <v>0</v>
      </c>
    </row>
    <row r="27" spans="1:12">
      <c r="A27" s="1453"/>
      <c r="B27" s="1454"/>
      <c r="C27" s="1454"/>
      <c r="D27" s="1454"/>
      <c r="E27" s="1454"/>
      <c r="F27" s="1454"/>
      <c r="G27" s="1454"/>
      <c r="H27" s="877"/>
      <c r="I27" s="878"/>
      <c r="J27" s="879"/>
      <c r="K27" s="880"/>
      <c r="L27" s="863">
        <f t="shared" si="0"/>
        <v>0</v>
      </c>
    </row>
    <row r="28" spans="1:12" ht="14.4">
      <c r="A28" s="1451" t="str">
        <f>'Pricing Schedule'!A31&amp;" " &amp;'Pricing Schedule'!B31</f>
        <v>3.3.3 Environmental  Services</v>
      </c>
      <c r="B28" s="1452"/>
      <c r="C28" s="1452"/>
      <c r="D28" s="1452"/>
      <c r="E28" s="1452"/>
      <c r="F28" s="1452"/>
      <c r="G28" s="1452"/>
      <c r="H28" s="861"/>
      <c r="I28" s="532"/>
      <c r="J28" s="862"/>
      <c r="K28" s="532"/>
      <c r="L28" s="863"/>
    </row>
    <row r="29" spans="1:12">
      <c r="A29" s="1451" t="str">
        <f>'Pricing Schedule'!A32&amp;" " &amp;'Pricing Schedule'!B32</f>
        <v xml:space="preserve"> (a) Environmental services during design stage</v>
      </c>
      <c r="B29" s="1452"/>
      <c r="C29" s="1452"/>
      <c r="D29" s="1452"/>
      <c r="E29" s="1452"/>
      <c r="F29" s="1452"/>
      <c r="G29" s="1452"/>
      <c r="H29" s="861">
        <f>'Pricing Schedule'!F32</f>
        <v>500000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53"/>
      <c r="B30" s="1454"/>
      <c r="C30" s="1454"/>
      <c r="D30" s="1454"/>
      <c r="E30" s="1454"/>
      <c r="F30" s="1454"/>
      <c r="G30" s="1454"/>
      <c r="H30" s="877"/>
      <c r="I30" s="878"/>
      <c r="J30" s="879"/>
      <c r="K30" s="880"/>
      <c r="L30" s="865">
        <f>K30*J30</f>
        <v>0</v>
      </c>
    </row>
    <row r="31" spans="1:12">
      <c r="A31" s="1453"/>
      <c r="B31" s="1454"/>
      <c r="C31" s="1454"/>
      <c r="D31" s="1454"/>
      <c r="E31" s="1454"/>
      <c r="F31" s="1454"/>
      <c r="G31" s="1454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53"/>
      <c r="B32" s="1454"/>
      <c r="C32" s="1454"/>
      <c r="D32" s="1454"/>
      <c r="E32" s="1454"/>
      <c r="F32" s="1454"/>
      <c r="G32" s="1454"/>
      <c r="H32" s="877"/>
      <c r="I32" s="878"/>
      <c r="J32" s="879"/>
      <c r="K32" s="880"/>
      <c r="L32" s="865">
        <f t="shared" si="1"/>
        <v>0</v>
      </c>
    </row>
    <row r="33" spans="1:12">
      <c r="A33" s="1453"/>
      <c r="B33" s="1454"/>
      <c r="C33" s="1454"/>
      <c r="D33" s="1454"/>
      <c r="E33" s="1454"/>
      <c r="F33" s="1454"/>
      <c r="G33" s="1454"/>
      <c r="H33" s="877"/>
      <c r="I33" s="878"/>
      <c r="J33" s="879"/>
      <c r="K33" s="880"/>
      <c r="L33" s="865">
        <f t="shared" si="1"/>
        <v>0</v>
      </c>
    </row>
    <row r="34" spans="1:12">
      <c r="A34" s="1453"/>
      <c r="B34" s="1454"/>
      <c r="C34" s="1454"/>
      <c r="D34" s="1454"/>
      <c r="E34" s="1454"/>
      <c r="F34" s="1454"/>
      <c r="G34" s="1454"/>
      <c r="H34" s="877"/>
      <c r="I34" s="878"/>
      <c r="J34" s="879"/>
      <c r="K34" s="880"/>
      <c r="L34" s="865">
        <f t="shared" si="1"/>
        <v>0</v>
      </c>
    </row>
    <row r="35" spans="1:12">
      <c r="A35" s="1453"/>
      <c r="B35" s="1454"/>
      <c r="C35" s="1454"/>
      <c r="D35" s="1454"/>
      <c r="E35" s="1454"/>
      <c r="F35" s="1454"/>
      <c r="G35" s="1454"/>
      <c r="H35" s="877"/>
      <c r="I35" s="878"/>
      <c r="J35" s="879"/>
      <c r="K35" s="880"/>
      <c r="L35" s="865">
        <f t="shared" si="1"/>
        <v>0</v>
      </c>
    </row>
    <row r="36" spans="1:12">
      <c r="A36" s="1453"/>
      <c r="B36" s="1454"/>
      <c r="C36" s="1454"/>
      <c r="D36" s="1454"/>
      <c r="E36" s="1454"/>
      <c r="F36" s="1454"/>
      <c r="G36" s="1454"/>
      <c r="H36" s="877"/>
      <c r="I36" s="878"/>
      <c r="J36" s="879"/>
      <c r="K36" s="880"/>
      <c r="L36" s="865">
        <f t="shared" si="1"/>
        <v>0</v>
      </c>
    </row>
    <row r="37" spans="1:12" ht="14.4">
      <c r="A37" s="1451" t="str">
        <f>'Pricing Schedule'!A34&amp;" " &amp;'Pricing Schedule'!B34</f>
        <v>3.3.4 Geotechnical and Drilling Services</v>
      </c>
      <c r="B37" s="1452"/>
      <c r="C37" s="1452"/>
      <c r="D37" s="1452"/>
      <c r="E37" s="1452"/>
      <c r="F37" s="1452"/>
      <c r="G37" s="1452"/>
      <c r="H37" s="861"/>
      <c r="I37" s="532"/>
      <c r="J37" s="862"/>
      <c r="K37" s="532"/>
      <c r="L37" s="863"/>
    </row>
    <row r="38" spans="1:12">
      <c r="A38" s="1451" t="str">
        <f>'Pricing Schedule'!A35&amp;" " &amp;'Pricing Schedule'!B35</f>
        <v xml:space="preserve"> (a) Professional Service for Geotechnical and/or Drilling services investigations</v>
      </c>
      <c r="B38" s="1452"/>
      <c r="C38" s="1452"/>
      <c r="D38" s="1452"/>
      <c r="E38" s="1452"/>
      <c r="F38" s="1452"/>
      <c r="G38" s="1452"/>
      <c r="H38" s="861">
        <f>'Pricing Schedule'!F35</f>
        <v>7500000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53"/>
      <c r="B39" s="1454"/>
      <c r="C39" s="1454"/>
      <c r="D39" s="1454"/>
      <c r="E39" s="1454"/>
      <c r="F39" s="1454"/>
      <c r="G39" s="1454"/>
      <c r="H39" s="877"/>
      <c r="I39" s="878"/>
      <c r="J39" s="879"/>
      <c r="K39" s="880"/>
      <c r="L39" s="865">
        <f>K39*J39</f>
        <v>0</v>
      </c>
    </row>
    <row r="40" spans="1:12">
      <c r="A40" s="1453"/>
      <c r="B40" s="1454"/>
      <c r="C40" s="1454"/>
      <c r="D40" s="1454"/>
      <c r="E40" s="1454"/>
      <c r="F40" s="1454"/>
      <c r="G40" s="1454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53"/>
      <c r="B41" s="1454"/>
      <c r="C41" s="1454"/>
      <c r="D41" s="1454"/>
      <c r="E41" s="1454"/>
      <c r="F41" s="1454"/>
      <c r="G41" s="1454"/>
      <c r="H41" s="877"/>
      <c r="I41" s="878"/>
      <c r="J41" s="879"/>
      <c r="K41" s="880"/>
      <c r="L41" s="865">
        <f t="shared" si="2"/>
        <v>0</v>
      </c>
    </row>
    <row r="42" spans="1:12">
      <c r="A42" s="1453"/>
      <c r="B42" s="1454"/>
      <c r="C42" s="1454"/>
      <c r="D42" s="1454"/>
      <c r="E42" s="1454"/>
      <c r="F42" s="1454"/>
      <c r="G42" s="1454"/>
      <c r="H42" s="877"/>
      <c r="I42" s="878"/>
      <c r="J42" s="879"/>
      <c r="K42" s="880"/>
      <c r="L42" s="865">
        <f t="shared" si="2"/>
        <v>0</v>
      </c>
    </row>
    <row r="43" spans="1:12">
      <c r="A43" s="1453"/>
      <c r="B43" s="1454"/>
      <c r="C43" s="1454"/>
      <c r="D43" s="1454"/>
      <c r="E43" s="1454"/>
      <c r="F43" s="1454"/>
      <c r="G43" s="1454"/>
      <c r="H43" s="877"/>
      <c r="I43" s="878"/>
      <c r="J43" s="879"/>
      <c r="K43" s="880"/>
      <c r="L43" s="865">
        <f t="shared" si="2"/>
        <v>0</v>
      </c>
    </row>
    <row r="44" spans="1:12">
      <c r="A44" s="1453"/>
      <c r="B44" s="1454"/>
      <c r="C44" s="1454"/>
      <c r="D44" s="1454"/>
      <c r="E44" s="1454"/>
      <c r="F44" s="1454"/>
      <c r="G44" s="1454"/>
      <c r="H44" s="877"/>
      <c r="I44" s="878"/>
      <c r="J44" s="879"/>
      <c r="K44" s="880"/>
      <c r="L44" s="865">
        <f t="shared" si="2"/>
        <v>0</v>
      </c>
    </row>
    <row r="45" spans="1:12">
      <c r="A45" s="1453"/>
      <c r="B45" s="1454"/>
      <c r="C45" s="1454"/>
      <c r="D45" s="1454"/>
      <c r="E45" s="1454"/>
      <c r="F45" s="1454"/>
      <c r="G45" s="1454"/>
      <c r="H45" s="877"/>
      <c r="I45" s="878"/>
      <c r="J45" s="879"/>
      <c r="K45" s="880"/>
      <c r="L45" s="865">
        <f t="shared" si="2"/>
        <v>0</v>
      </c>
    </row>
    <row r="46" spans="1:12" ht="14.4">
      <c r="A46" s="1451" t="str">
        <f>'Pricing Schedule'!A38&amp;" " &amp;'Pricing Schedule'!B38</f>
        <v xml:space="preserve"> (d)  Supervision of the work:</v>
      </c>
      <c r="B46" s="1452"/>
      <c r="C46" s="1452"/>
      <c r="D46" s="1452"/>
      <c r="E46" s="1452"/>
      <c r="F46" s="1452"/>
      <c r="G46" s="1452"/>
      <c r="H46" s="861"/>
      <c r="I46" s="532"/>
      <c r="J46" s="862"/>
      <c r="K46" s="532"/>
      <c r="L46" s="863"/>
    </row>
    <row r="47" spans="1:12">
      <c r="A47" s="1451" t="str">
        <f>'Pricing Schedule'!A39&amp;" " &amp;'Pricing Schedule'!B39</f>
        <v xml:space="preserve">     (i)   Full time</v>
      </c>
      <c r="B47" s="1452"/>
      <c r="C47" s="1452"/>
      <c r="D47" s="1452"/>
      <c r="E47" s="1452"/>
      <c r="F47" s="1452"/>
      <c r="G47" s="1452"/>
      <c r="H47" s="861">
        <f>'Pricing Schedule'!F39</f>
        <v>200000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53"/>
      <c r="B48" s="1454"/>
      <c r="C48" s="1454"/>
      <c r="D48" s="1454"/>
      <c r="E48" s="1454"/>
      <c r="F48" s="1454"/>
      <c r="G48" s="1454"/>
      <c r="H48" s="877"/>
      <c r="I48" s="878"/>
      <c r="J48" s="879"/>
      <c r="K48" s="880"/>
      <c r="L48" s="865">
        <f t="shared" ref="L48:L71" si="3">K48*J48</f>
        <v>0</v>
      </c>
    </row>
    <row r="49" spans="1:12">
      <c r="A49" s="1453"/>
      <c r="B49" s="1454"/>
      <c r="C49" s="1454"/>
      <c r="D49" s="1454"/>
      <c r="E49" s="1454"/>
      <c r="F49" s="1454"/>
      <c r="G49" s="1454"/>
      <c r="H49" s="877"/>
      <c r="I49" s="878"/>
      <c r="J49" s="879"/>
      <c r="K49" s="880"/>
      <c r="L49" s="865">
        <f t="shared" si="3"/>
        <v>0</v>
      </c>
    </row>
    <row r="50" spans="1:12">
      <c r="A50" s="1453"/>
      <c r="B50" s="1454"/>
      <c r="C50" s="1454"/>
      <c r="D50" s="1454"/>
      <c r="E50" s="1454"/>
      <c r="F50" s="1454"/>
      <c r="G50" s="1454"/>
      <c r="H50" s="877"/>
      <c r="I50" s="878"/>
      <c r="J50" s="879"/>
      <c r="K50" s="880"/>
      <c r="L50" s="865">
        <f t="shared" si="3"/>
        <v>0</v>
      </c>
    </row>
    <row r="51" spans="1:12">
      <c r="A51" s="1453"/>
      <c r="B51" s="1454"/>
      <c r="C51" s="1454"/>
      <c r="D51" s="1454"/>
      <c r="E51" s="1454"/>
      <c r="F51" s="1454"/>
      <c r="G51" s="1454"/>
      <c r="H51" s="877"/>
      <c r="I51" s="878"/>
      <c r="J51" s="879"/>
      <c r="K51" s="880"/>
      <c r="L51" s="865">
        <f t="shared" si="3"/>
        <v>0</v>
      </c>
    </row>
    <row r="52" spans="1:12">
      <c r="A52" s="1453"/>
      <c r="B52" s="1454"/>
      <c r="C52" s="1454"/>
      <c r="D52" s="1454"/>
      <c r="E52" s="1454"/>
      <c r="F52" s="1454"/>
      <c r="G52" s="1454"/>
      <c r="H52" s="877"/>
      <c r="I52" s="878"/>
      <c r="J52" s="879"/>
      <c r="K52" s="880"/>
      <c r="L52" s="865">
        <f t="shared" si="3"/>
        <v>0</v>
      </c>
    </row>
    <row r="53" spans="1:12">
      <c r="A53" s="1453"/>
      <c r="B53" s="1454"/>
      <c r="C53" s="1454"/>
      <c r="D53" s="1454"/>
      <c r="E53" s="1454"/>
      <c r="F53" s="1454"/>
      <c r="G53" s="1454"/>
      <c r="H53" s="877"/>
      <c r="I53" s="878"/>
      <c r="J53" s="879"/>
      <c r="K53" s="880"/>
      <c r="L53" s="865">
        <f t="shared" si="3"/>
        <v>0</v>
      </c>
    </row>
    <row r="54" spans="1:12">
      <c r="A54" s="1453"/>
      <c r="B54" s="1454"/>
      <c r="C54" s="1454"/>
      <c r="D54" s="1454"/>
      <c r="E54" s="1454"/>
      <c r="F54" s="1454"/>
      <c r="G54" s="1454"/>
      <c r="H54" s="877"/>
      <c r="I54" s="878"/>
      <c r="J54" s="879"/>
      <c r="K54" s="880"/>
      <c r="L54" s="865">
        <f t="shared" si="3"/>
        <v>0</v>
      </c>
    </row>
    <row r="55" spans="1:12">
      <c r="A55" s="1451" t="str">
        <f>'Pricing Schedule'!A41&amp;" " &amp;'Pricing Schedule'!B41</f>
        <v xml:space="preserve">    (iii)  Accommodation costs</v>
      </c>
      <c r="B55" s="1452"/>
      <c r="C55" s="1452"/>
      <c r="D55" s="1452"/>
      <c r="E55" s="1452"/>
      <c r="F55" s="1452"/>
      <c r="G55" s="1452"/>
      <c r="H55" s="861">
        <f>'Pricing Schedule'!F41</f>
        <v>50000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53"/>
      <c r="B56" s="1454"/>
      <c r="C56" s="1454"/>
      <c r="D56" s="1454"/>
      <c r="E56" s="1454"/>
      <c r="F56" s="1454"/>
      <c r="G56" s="1454"/>
      <c r="H56" s="877"/>
      <c r="I56" s="878"/>
      <c r="J56" s="879"/>
      <c r="K56" s="880"/>
      <c r="L56" s="865">
        <f t="shared" si="3"/>
        <v>0</v>
      </c>
    </row>
    <row r="57" spans="1:12">
      <c r="A57" s="1453"/>
      <c r="B57" s="1454"/>
      <c r="C57" s="1454"/>
      <c r="D57" s="1454"/>
      <c r="E57" s="1454"/>
      <c r="F57" s="1454"/>
      <c r="G57" s="1454"/>
      <c r="H57" s="877"/>
      <c r="I57" s="878"/>
      <c r="J57" s="879"/>
      <c r="K57" s="880"/>
      <c r="L57" s="865">
        <f t="shared" si="3"/>
        <v>0</v>
      </c>
    </row>
    <row r="58" spans="1:12">
      <c r="A58" s="1453"/>
      <c r="B58" s="1454"/>
      <c r="C58" s="1454"/>
      <c r="D58" s="1454"/>
      <c r="E58" s="1454"/>
      <c r="F58" s="1454"/>
      <c r="G58" s="1454"/>
      <c r="H58" s="877"/>
      <c r="I58" s="878"/>
      <c r="J58" s="879"/>
      <c r="K58" s="880"/>
      <c r="L58" s="865">
        <f t="shared" si="3"/>
        <v>0</v>
      </c>
    </row>
    <row r="59" spans="1:12">
      <c r="A59" s="1453"/>
      <c r="B59" s="1454"/>
      <c r="C59" s="1454"/>
      <c r="D59" s="1454"/>
      <c r="E59" s="1454"/>
      <c r="F59" s="1454"/>
      <c r="G59" s="1454"/>
      <c r="H59" s="877"/>
      <c r="I59" s="878"/>
      <c r="J59" s="879"/>
      <c r="K59" s="880"/>
      <c r="L59" s="865">
        <f t="shared" si="3"/>
        <v>0</v>
      </c>
    </row>
    <row r="60" spans="1:12">
      <c r="A60" s="1453"/>
      <c r="B60" s="1454"/>
      <c r="C60" s="1454"/>
      <c r="D60" s="1454"/>
      <c r="E60" s="1454"/>
      <c r="F60" s="1454"/>
      <c r="G60" s="1454"/>
      <c r="H60" s="877"/>
      <c r="I60" s="878"/>
      <c r="J60" s="879"/>
      <c r="K60" s="880"/>
      <c r="L60" s="865">
        <f t="shared" si="3"/>
        <v>0</v>
      </c>
    </row>
    <row r="61" spans="1:12">
      <c r="A61" s="1453"/>
      <c r="B61" s="1454"/>
      <c r="C61" s="1454"/>
      <c r="D61" s="1454"/>
      <c r="E61" s="1454"/>
      <c r="F61" s="1454"/>
      <c r="G61" s="1454"/>
      <c r="H61" s="877"/>
      <c r="I61" s="878"/>
      <c r="J61" s="879"/>
      <c r="K61" s="880"/>
      <c r="L61" s="865">
        <f t="shared" si="3"/>
        <v>0</v>
      </c>
    </row>
    <row r="62" spans="1:12">
      <c r="A62" s="1453"/>
      <c r="B62" s="1454"/>
      <c r="C62" s="1454"/>
      <c r="D62" s="1454"/>
      <c r="E62" s="1454"/>
      <c r="F62" s="1454"/>
      <c r="G62" s="1454"/>
      <c r="H62" s="877"/>
      <c r="I62" s="878"/>
      <c r="J62" s="879"/>
      <c r="K62" s="880"/>
      <c r="L62" s="865">
        <f t="shared" si="3"/>
        <v>0</v>
      </c>
    </row>
    <row r="63" spans="1:12" ht="14.4">
      <c r="A63" s="1451" t="str">
        <f>'Pricing Schedule'!A43&amp;" " &amp;'Pricing Schedule'!B43</f>
        <v xml:space="preserve"> (e)  Contracting Services for Geotechnical and Drilling Works:</v>
      </c>
      <c r="B63" s="1452"/>
      <c r="C63" s="1452"/>
      <c r="D63" s="1452"/>
      <c r="E63" s="1452"/>
      <c r="F63" s="1452"/>
      <c r="G63" s="1452"/>
      <c r="H63" s="861"/>
      <c r="I63" s="532"/>
      <c r="J63" s="862"/>
      <c r="K63" s="532"/>
      <c r="L63" s="863"/>
    </row>
    <row r="64" spans="1:12">
      <c r="A64" s="1451" t="str">
        <f>'Pricing Schedule'!A44&amp;" " &amp;'Pricing Schedule'!B44</f>
        <v xml:space="preserve"> (i)  Geotechnical and Drilling contractor</v>
      </c>
      <c r="B64" s="1452"/>
      <c r="C64" s="1452"/>
      <c r="D64" s="1452"/>
      <c r="E64" s="1452"/>
      <c r="F64" s="1452"/>
      <c r="G64" s="1452"/>
      <c r="H64" s="861">
        <f>'Pricing Schedule'!F44</f>
        <v>500000</v>
      </c>
      <c r="I64" s="532"/>
      <c r="J64" s="532"/>
      <c r="K64" s="864">
        <f>IF(H64=0,L64/100,(L64/H64))</f>
        <v>0</v>
      </c>
      <c r="L64" s="863">
        <f>SUM(L65:L71)</f>
        <v>0</v>
      </c>
    </row>
    <row r="65" spans="1:12">
      <c r="A65" s="1453"/>
      <c r="B65" s="1454"/>
      <c r="C65" s="1454"/>
      <c r="D65" s="1454"/>
      <c r="E65" s="1454"/>
      <c r="F65" s="1454"/>
      <c r="G65" s="1454"/>
      <c r="H65" s="877"/>
      <c r="I65" s="878"/>
      <c r="J65" s="879"/>
      <c r="K65" s="880"/>
      <c r="L65" s="865">
        <f t="shared" si="3"/>
        <v>0</v>
      </c>
    </row>
    <row r="66" spans="1:12">
      <c r="A66" s="1453"/>
      <c r="B66" s="1454"/>
      <c r="C66" s="1454"/>
      <c r="D66" s="1454"/>
      <c r="E66" s="1454"/>
      <c r="F66" s="1454"/>
      <c r="G66" s="1454"/>
      <c r="H66" s="877"/>
      <c r="I66" s="878"/>
      <c r="J66" s="879"/>
      <c r="K66" s="880"/>
      <c r="L66" s="865">
        <f t="shared" si="3"/>
        <v>0</v>
      </c>
    </row>
    <row r="67" spans="1:12">
      <c r="A67" s="1453"/>
      <c r="B67" s="1454"/>
      <c r="C67" s="1454"/>
      <c r="D67" s="1454"/>
      <c r="E67" s="1454"/>
      <c r="F67" s="1454"/>
      <c r="G67" s="1454"/>
      <c r="H67" s="877"/>
      <c r="I67" s="878"/>
      <c r="J67" s="879"/>
      <c r="K67" s="880"/>
      <c r="L67" s="865">
        <f t="shared" si="3"/>
        <v>0</v>
      </c>
    </row>
    <row r="68" spans="1:12">
      <c r="A68" s="1453"/>
      <c r="B68" s="1454"/>
      <c r="C68" s="1454"/>
      <c r="D68" s="1454"/>
      <c r="E68" s="1454"/>
      <c r="F68" s="1454"/>
      <c r="G68" s="1454"/>
      <c r="H68" s="877"/>
      <c r="I68" s="878"/>
      <c r="J68" s="879"/>
      <c r="K68" s="880"/>
      <c r="L68" s="865">
        <f t="shared" si="3"/>
        <v>0</v>
      </c>
    </row>
    <row r="69" spans="1:12">
      <c r="A69" s="1453"/>
      <c r="B69" s="1454"/>
      <c r="C69" s="1454"/>
      <c r="D69" s="1454"/>
      <c r="E69" s="1454"/>
      <c r="F69" s="1454"/>
      <c r="G69" s="1454"/>
      <c r="H69" s="877"/>
      <c r="I69" s="878"/>
      <c r="J69" s="879"/>
      <c r="K69" s="880"/>
      <c r="L69" s="865">
        <f t="shared" si="3"/>
        <v>0</v>
      </c>
    </row>
    <row r="70" spans="1:12">
      <c r="A70" s="1453"/>
      <c r="B70" s="1454"/>
      <c r="C70" s="1454"/>
      <c r="D70" s="1454"/>
      <c r="E70" s="1454"/>
      <c r="F70" s="1454"/>
      <c r="G70" s="1454"/>
      <c r="H70" s="877"/>
      <c r="I70" s="878"/>
      <c r="J70" s="879"/>
      <c r="K70" s="880"/>
      <c r="L70" s="865">
        <f t="shared" si="3"/>
        <v>0</v>
      </c>
    </row>
    <row r="71" spans="1:12">
      <c r="A71" s="1453"/>
      <c r="B71" s="1454"/>
      <c r="C71" s="1454"/>
      <c r="D71" s="1454"/>
      <c r="E71" s="1454"/>
      <c r="F71" s="1454"/>
      <c r="G71" s="1454"/>
      <c r="H71" s="877"/>
      <c r="I71" s="878"/>
      <c r="J71" s="879"/>
      <c r="K71" s="880"/>
      <c r="L71" s="865">
        <f t="shared" si="3"/>
        <v>0</v>
      </c>
    </row>
    <row r="72" spans="1:12" ht="14.4">
      <c r="A72" s="1451" t="str">
        <f>'Pricing Schedule'!A55&amp;" " &amp;'Pricing Schedule'!B55</f>
        <v>3.3.6 Laboratory testing and reporting</v>
      </c>
      <c r="B72" s="1452"/>
      <c r="C72" s="1452"/>
      <c r="D72" s="1452"/>
      <c r="E72" s="1452"/>
      <c r="F72" s="1452"/>
      <c r="G72" s="1452"/>
      <c r="H72" s="861"/>
      <c r="I72" s="532"/>
      <c r="J72" s="862"/>
      <c r="K72" s="532"/>
      <c r="L72" s="863"/>
    </row>
    <row r="73" spans="1:12" ht="14.4">
      <c r="A73" s="1478" t="str">
        <f>'Pricing Schedule'!A85&amp;" " &amp;'Pricing Schedule'!B85</f>
        <v xml:space="preserve"> (b) Laboratory Testing where no schedule is available, or specialised testing</v>
      </c>
      <c r="B73" s="1479"/>
      <c r="C73" s="1479"/>
      <c r="D73" s="1479"/>
      <c r="E73" s="1479"/>
      <c r="F73" s="1479"/>
      <c r="G73" s="1480"/>
      <c r="H73" s="861">
        <f>'Pricing Schedule'!F85</f>
        <v>0</v>
      </c>
      <c r="I73" s="532"/>
      <c r="J73" s="532"/>
      <c r="K73" s="864">
        <f>IF(H73=0,L73/100,(L73/H73))</f>
        <v>0</v>
      </c>
      <c r="L73" s="863">
        <f>SUM(L74:L80)</f>
        <v>0</v>
      </c>
    </row>
    <row r="74" spans="1:12">
      <c r="A74" s="1453"/>
      <c r="B74" s="1454"/>
      <c r="C74" s="1454"/>
      <c r="D74" s="1454"/>
      <c r="E74" s="1454"/>
      <c r="F74" s="1454"/>
      <c r="G74" s="1454"/>
      <c r="H74" s="877"/>
      <c r="I74" s="878"/>
      <c r="J74" s="879"/>
      <c r="K74" s="880"/>
      <c r="L74" s="865">
        <f>K74*J74</f>
        <v>0</v>
      </c>
    </row>
    <row r="75" spans="1:12">
      <c r="A75" s="1453"/>
      <c r="B75" s="1454"/>
      <c r="C75" s="1454"/>
      <c r="D75" s="1454"/>
      <c r="E75" s="1454"/>
      <c r="F75" s="1454"/>
      <c r="G75" s="1454"/>
      <c r="H75" s="877"/>
      <c r="I75" s="878"/>
      <c r="J75" s="879"/>
      <c r="K75" s="880"/>
      <c r="L75" s="865">
        <f t="shared" ref="L75:L80" si="4">K75*J75</f>
        <v>0</v>
      </c>
    </row>
    <row r="76" spans="1:12">
      <c r="A76" s="1453"/>
      <c r="B76" s="1454"/>
      <c r="C76" s="1454"/>
      <c r="D76" s="1454"/>
      <c r="E76" s="1454"/>
      <c r="F76" s="1454"/>
      <c r="G76" s="1454"/>
      <c r="H76" s="877"/>
      <c r="I76" s="878"/>
      <c r="J76" s="879"/>
      <c r="K76" s="880"/>
      <c r="L76" s="865">
        <f t="shared" si="4"/>
        <v>0</v>
      </c>
    </row>
    <row r="77" spans="1:12">
      <c r="A77" s="1453"/>
      <c r="B77" s="1454"/>
      <c r="C77" s="1454"/>
      <c r="D77" s="1454"/>
      <c r="E77" s="1454"/>
      <c r="F77" s="1454"/>
      <c r="G77" s="1454"/>
      <c r="H77" s="877"/>
      <c r="I77" s="878"/>
      <c r="J77" s="879"/>
      <c r="K77" s="880"/>
      <c r="L77" s="865">
        <f t="shared" si="4"/>
        <v>0</v>
      </c>
    </row>
    <row r="78" spans="1:12">
      <c r="A78" s="1453"/>
      <c r="B78" s="1454"/>
      <c r="C78" s="1454"/>
      <c r="D78" s="1454"/>
      <c r="E78" s="1454"/>
      <c r="F78" s="1454"/>
      <c r="G78" s="1454"/>
      <c r="H78" s="877"/>
      <c r="I78" s="878"/>
      <c r="J78" s="879"/>
      <c r="K78" s="880"/>
      <c r="L78" s="865">
        <f t="shared" si="4"/>
        <v>0</v>
      </c>
    </row>
    <row r="79" spans="1:12">
      <c r="A79" s="1453"/>
      <c r="B79" s="1454"/>
      <c r="C79" s="1454"/>
      <c r="D79" s="1454"/>
      <c r="E79" s="1454"/>
      <c r="F79" s="1454"/>
      <c r="G79" s="1454"/>
      <c r="H79" s="877"/>
      <c r="I79" s="878"/>
      <c r="J79" s="879"/>
      <c r="K79" s="880"/>
      <c r="L79" s="865">
        <f t="shared" si="4"/>
        <v>0</v>
      </c>
    </row>
    <row r="80" spans="1:12" ht="13.8" thickBot="1">
      <c r="A80" s="1453"/>
      <c r="B80" s="1454"/>
      <c r="C80" s="1454"/>
      <c r="D80" s="1454"/>
      <c r="E80" s="1454"/>
      <c r="F80" s="1454"/>
      <c r="G80" s="1454"/>
      <c r="H80" s="877"/>
      <c r="I80" s="878"/>
      <c r="J80" s="879"/>
      <c r="K80" s="880"/>
      <c r="L80" s="865">
        <f t="shared" si="4"/>
        <v>0</v>
      </c>
    </row>
    <row r="81" spans="1:12">
      <c r="A81" s="1465"/>
      <c r="B81" s="1466"/>
      <c r="C81" s="1466"/>
      <c r="D81" s="1466"/>
      <c r="E81" s="1466"/>
      <c r="F81" s="1466"/>
      <c r="G81" s="1466"/>
      <c r="H81" s="1467"/>
      <c r="I81" s="866"/>
      <c r="J81" s="867" t="s">
        <v>366</v>
      </c>
      <c r="K81" s="868">
        <f>'C3.3'!A7</f>
        <v>3.3</v>
      </c>
      <c r="L81" s="534">
        <f>L11+L20+L29+L38+L47+L55+L64+L73</f>
        <v>0</v>
      </c>
    </row>
    <row r="82" spans="1:12" ht="13.8" thickBot="1">
      <c r="A82" s="1462"/>
      <c r="B82" s="1463"/>
      <c r="C82" s="1463"/>
      <c r="D82" s="1463"/>
      <c r="E82" s="1463"/>
      <c r="F82" s="1463"/>
      <c r="G82" s="1463"/>
      <c r="H82" s="1464"/>
      <c r="I82" s="869"/>
      <c r="J82" s="869"/>
      <c r="K82" s="870"/>
      <c r="L82" s="871"/>
    </row>
    <row r="83" spans="1:12" ht="13.8" thickBot="1">
      <c r="A83" s="1458" t="s">
        <v>418</v>
      </c>
      <c r="B83" s="1459"/>
      <c r="C83" s="1459"/>
      <c r="D83" s="1459"/>
      <c r="E83" s="1459"/>
      <c r="F83" s="1459"/>
      <c r="G83" s="1459"/>
      <c r="H83" s="1459"/>
      <c r="I83" s="1459"/>
      <c r="J83" s="1459"/>
      <c r="K83" s="1472"/>
      <c r="L83" s="872">
        <f>L81</f>
        <v>0</v>
      </c>
    </row>
    <row r="84" spans="1:12" ht="15.6">
      <c r="L84" s="857" t="s">
        <v>419</v>
      </c>
    </row>
    <row r="85" spans="1:12" ht="8.25" customHeight="1">
      <c r="L85" s="858"/>
    </row>
    <row r="86" spans="1:12" ht="15.75" customHeight="1">
      <c r="A86" s="1457" t="s">
        <v>420</v>
      </c>
      <c r="B86" s="1401"/>
      <c r="C86" s="524" t="str">
        <f>$C$3</f>
        <v>NRA.N.007-040-2024/1F</v>
      </c>
      <c r="D86" s="403"/>
      <c r="E86" s="403"/>
      <c r="F86" s="1471">
        <f>$F$3</f>
        <v>45169</v>
      </c>
      <c r="G86" s="1471"/>
      <c r="H86" s="1455" t="s">
        <v>377</v>
      </c>
      <c r="I86" s="1455"/>
      <c r="J86" s="1455"/>
      <c r="K86" s="1456">
        <f>$K$3</f>
        <v>1</v>
      </c>
      <c r="L86" s="1403"/>
    </row>
    <row r="87" spans="1:12" ht="15.75" customHeight="1" thickBot="1"/>
    <row r="88" spans="1:12" ht="15.75" customHeight="1">
      <c r="A88" s="439"/>
      <c r="B88" s="440"/>
      <c r="C88" s="440"/>
      <c r="D88" s="440"/>
      <c r="E88" s="440"/>
      <c r="F88" s="440"/>
      <c r="G88" s="440"/>
      <c r="H88" s="440"/>
      <c r="I88" s="440"/>
      <c r="J88" s="440"/>
      <c r="K88" s="440"/>
      <c r="L88" s="525"/>
    </row>
    <row r="89" spans="1:12" ht="15.75" customHeight="1">
      <c r="A89" s="1395" t="s">
        <v>417</v>
      </c>
      <c r="B89" s="1396"/>
      <c r="C89" s="1396"/>
      <c r="D89" s="1396"/>
      <c r="E89" s="1396"/>
      <c r="F89" s="1396"/>
      <c r="G89" s="1396"/>
      <c r="H89" s="1396"/>
      <c r="I89" s="1396"/>
      <c r="J89" s="1396"/>
      <c r="K89" s="1396"/>
      <c r="L89" s="1397"/>
    </row>
    <row r="90" spans="1:12" ht="15.75" customHeight="1" thickBot="1">
      <c r="A90" s="526"/>
      <c r="L90" s="527"/>
    </row>
    <row r="91" spans="1:12" ht="15.75" customHeight="1" thickBot="1">
      <c r="A91" s="1468" t="s">
        <v>0</v>
      </c>
      <c r="B91" s="1469"/>
      <c r="C91" s="1469"/>
      <c r="D91" s="1469"/>
      <c r="E91" s="1469"/>
      <c r="F91" s="1469"/>
      <c r="G91" s="1469"/>
      <c r="H91" s="1470"/>
      <c r="I91" s="528" t="s">
        <v>1</v>
      </c>
      <c r="J91" s="528" t="s">
        <v>2</v>
      </c>
      <c r="K91" s="528" t="s">
        <v>3</v>
      </c>
      <c r="L91" s="529" t="s">
        <v>402</v>
      </c>
    </row>
    <row r="92" spans="1:12" ht="12.75" customHeight="1" thickBot="1">
      <c r="A92" s="1458" t="s">
        <v>421</v>
      </c>
      <c r="B92" s="1459"/>
      <c r="C92" s="1459"/>
      <c r="D92" s="1459"/>
      <c r="E92" s="1459"/>
      <c r="F92" s="1459"/>
      <c r="G92" s="1459"/>
      <c r="H92" s="1459"/>
      <c r="I92" s="1459"/>
      <c r="J92" s="1459"/>
      <c r="K92" s="1472"/>
      <c r="L92" s="545">
        <f>L83</f>
        <v>0</v>
      </c>
    </row>
    <row r="93" spans="1:12" ht="12.75" customHeight="1">
      <c r="A93" s="1460" t="str">
        <f>'Pricing Schedule'!A88&amp;" " &amp;'Pricing Schedule'!B88</f>
        <v>3.4 DESIGN DEVELOPMENT STAGE</v>
      </c>
      <c r="B93" s="1461"/>
      <c r="C93" s="1461"/>
      <c r="D93" s="1461"/>
      <c r="E93" s="1461"/>
      <c r="F93" s="1461"/>
      <c r="G93" s="1461"/>
      <c r="H93" s="860"/>
      <c r="I93" s="535"/>
      <c r="J93" s="535"/>
      <c r="K93" s="535"/>
      <c r="L93" s="536"/>
    </row>
    <row r="94" spans="1:12" ht="14.4">
      <c r="A94" s="1451" t="str">
        <f>'Pricing Schedule'!A164&amp;" " &amp;'Pricing Schedule'!B164</f>
        <v>3.4.6 Road Safety Audit:  Feasibility/Preliminary/Detail</v>
      </c>
      <c r="B94" s="1452"/>
      <c r="C94" s="1452"/>
      <c r="D94" s="1452"/>
      <c r="E94" s="1452"/>
      <c r="F94" s="1452"/>
      <c r="G94" s="1452"/>
      <c r="H94" s="861"/>
      <c r="I94" s="532"/>
      <c r="J94" s="862"/>
      <c r="K94" s="532"/>
      <c r="L94" s="863"/>
    </row>
    <row r="95" spans="1:12">
      <c r="A95" s="1451" t="str">
        <f>'Pricing Schedule'!A165&amp;" " &amp;'Pricing Schedule'!B165</f>
        <v xml:space="preserve"> (a) Road Safety Audit</v>
      </c>
      <c r="B95" s="1452"/>
      <c r="C95" s="1452"/>
      <c r="D95" s="1452"/>
      <c r="E95" s="1452"/>
      <c r="F95" s="1452"/>
      <c r="G95" s="1452"/>
      <c r="H95" s="861">
        <f>'Pricing Schedule'!F165</f>
        <v>100000</v>
      </c>
      <c r="I95" s="532"/>
      <c r="J95" s="532"/>
      <c r="K95" s="864">
        <f>IF(H95=0,L95/100,(L95/H95))</f>
        <v>0</v>
      </c>
      <c r="L95" s="863">
        <f>SUM(L96:L102)</f>
        <v>0</v>
      </c>
    </row>
    <row r="96" spans="1:12">
      <c r="A96" s="1453"/>
      <c r="B96" s="1454"/>
      <c r="C96" s="1454"/>
      <c r="D96" s="1454"/>
      <c r="E96" s="1454"/>
      <c r="F96" s="1454"/>
      <c r="G96" s="1454"/>
      <c r="H96" s="877"/>
      <c r="I96" s="878"/>
      <c r="J96" s="879"/>
      <c r="K96" s="880"/>
      <c r="L96" s="865">
        <f>K96*J96</f>
        <v>0</v>
      </c>
    </row>
    <row r="97" spans="1:12">
      <c r="A97" s="1453"/>
      <c r="B97" s="1454"/>
      <c r="C97" s="1454"/>
      <c r="D97" s="1454"/>
      <c r="E97" s="1454"/>
      <c r="F97" s="1454"/>
      <c r="G97" s="1454"/>
      <c r="H97" s="877"/>
      <c r="I97" s="878"/>
      <c r="J97" s="879"/>
      <c r="K97" s="880"/>
      <c r="L97" s="865">
        <f t="shared" ref="L97:L102" si="5">K97*J97</f>
        <v>0</v>
      </c>
    </row>
    <row r="98" spans="1:12">
      <c r="A98" s="1453"/>
      <c r="B98" s="1454"/>
      <c r="C98" s="1454"/>
      <c r="D98" s="1454"/>
      <c r="E98" s="1454"/>
      <c r="F98" s="1454"/>
      <c r="G98" s="1454"/>
      <c r="H98" s="877"/>
      <c r="I98" s="878"/>
      <c r="J98" s="879"/>
      <c r="K98" s="880"/>
      <c r="L98" s="865">
        <f t="shared" si="5"/>
        <v>0</v>
      </c>
    </row>
    <row r="99" spans="1:12">
      <c r="A99" s="1453"/>
      <c r="B99" s="1454"/>
      <c r="C99" s="1454"/>
      <c r="D99" s="1454"/>
      <c r="E99" s="1454"/>
      <c r="F99" s="1454"/>
      <c r="G99" s="1454"/>
      <c r="H99" s="877"/>
      <c r="I99" s="878"/>
      <c r="J99" s="879"/>
      <c r="K99" s="880"/>
      <c r="L99" s="865">
        <f t="shared" si="5"/>
        <v>0</v>
      </c>
    </row>
    <row r="100" spans="1:12">
      <c r="A100" s="1453"/>
      <c r="B100" s="1454"/>
      <c r="C100" s="1454"/>
      <c r="D100" s="1454"/>
      <c r="E100" s="1454"/>
      <c r="F100" s="1454"/>
      <c r="G100" s="1454"/>
      <c r="H100" s="877"/>
      <c r="I100" s="878"/>
      <c r="J100" s="879"/>
      <c r="K100" s="880"/>
      <c r="L100" s="865">
        <f t="shared" si="5"/>
        <v>0</v>
      </c>
    </row>
    <row r="101" spans="1:12">
      <c r="A101" s="1453"/>
      <c r="B101" s="1454"/>
      <c r="C101" s="1454"/>
      <c r="D101" s="1454"/>
      <c r="E101" s="1454"/>
      <c r="F101" s="1454"/>
      <c r="G101" s="1454"/>
      <c r="H101" s="877"/>
      <c r="I101" s="878"/>
      <c r="J101" s="879"/>
      <c r="K101" s="880"/>
      <c r="L101" s="865">
        <f t="shared" si="5"/>
        <v>0</v>
      </c>
    </row>
    <row r="102" spans="1:12">
      <c r="A102" s="1453"/>
      <c r="B102" s="1454"/>
      <c r="C102" s="1454"/>
      <c r="D102" s="1454"/>
      <c r="E102" s="1454"/>
      <c r="F102" s="1454"/>
      <c r="G102" s="1454"/>
      <c r="H102" s="877"/>
      <c r="I102" s="878"/>
      <c r="J102" s="879"/>
      <c r="K102" s="880"/>
      <c r="L102" s="865">
        <f t="shared" si="5"/>
        <v>0</v>
      </c>
    </row>
    <row r="103" spans="1:12" ht="14.4">
      <c r="A103" s="1451" t="str">
        <f>'Pricing Schedule'!A167&amp;" " &amp;'Pricing Schedule'!B167</f>
        <v>3.4.7 Road Safety Audit:  Construction/Pre-opening</v>
      </c>
      <c r="B103" s="1452"/>
      <c r="C103" s="1452"/>
      <c r="D103" s="1452"/>
      <c r="E103" s="1452"/>
      <c r="F103" s="1452"/>
      <c r="G103" s="1452"/>
      <c r="H103" s="861"/>
      <c r="I103" s="532"/>
      <c r="J103" s="862"/>
      <c r="K103" s="532"/>
      <c r="L103" s="863"/>
    </row>
    <row r="104" spans="1:12">
      <c r="A104" s="1451" t="str">
        <f>'Pricing Schedule'!A168&amp;" " &amp;'Pricing Schedule'!B168</f>
        <v xml:space="preserve"> (a)  Road Safety Audit</v>
      </c>
      <c r="B104" s="1452"/>
      <c r="C104" s="1452"/>
      <c r="D104" s="1452"/>
      <c r="E104" s="1452"/>
      <c r="F104" s="1452"/>
      <c r="G104" s="1452"/>
      <c r="H104" s="861">
        <f>'Pricing Schedule'!F168</f>
        <v>100000</v>
      </c>
      <c r="I104" s="532"/>
      <c r="J104" s="532"/>
      <c r="K104" s="864">
        <f>IF(H104=0,L104/100,(L104/H104))</f>
        <v>0</v>
      </c>
      <c r="L104" s="863">
        <f>SUM(L105:L111)</f>
        <v>0</v>
      </c>
    </row>
    <row r="105" spans="1:12">
      <c r="A105" s="1453"/>
      <c r="B105" s="1454"/>
      <c r="C105" s="1454"/>
      <c r="D105" s="1454"/>
      <c r="E105" s="1454"/>
      <c r="F105" s="1454"/>
      <c r="G105" s="1454"/>
      <c r="H105" s="877"/>
      <c r="I105" s="878"/>
      <c r="J105" s="879"/>
      <c r="K105" s="880"/>
      <c r="L105" s="865">
        <f>K105*J105</f>
        <v>0</v>
      </c>
    </row>
    <row r="106" spans="1:12">
      <c r="A106" s="1453"/>
      <c r="B106" s="1454"/>
      <c r="C106" s="1454"/>
      <c r="D106" s="1454"/>
      <c r="E106" s="1454"/>
      <c r="F106" s="1454"/>
      <c r="G106" s="1454"/>
      <c r="H106" s="877"/>
      <c r="I106" s="878"/>
      <c r="J106" s="879"/>
      <c r="K106" s="880"/>
      <c r="L106" s="865">
        <f t="shared" ref="L106:L111" si="6">K106*J106</f>
        <v>0</v>
      </c>
    </row>
    <row r="107" spans="1:12">
      <c r="A107" s="1453"/>
      <c r="B107" s="1454"/>
      <c r="C107" s="1454"/>
      <c r="D107" s="1454"/>
      <c r="E107" s="1454"/>
      <c r="F107" s="1454"/>
      <c r="G107" s="1454"/>
      <c r="H107" s="877"/>
      <c r="I107" s="878"/>
      <c r="J107" s="879"/>
      <c r="K107" s="880"/>
      <c r="L107" s="865">
        <f t="shared" si="6"/>
        <v>0</v>
      </c>
    </row>
    <row r="108" spans="1:12">
      <c r="A108" s="1453"/>
      <c r="B108" s="1454"/>
      <c r="C108" s="1454"/>
      <c r="D108" s="1454"/>
      <c r="E108" s="1454"/>
      <c r="F108" s="1454"/>
      <c r="G108" s="1454"/>
      <c r="H108" s="877"/>
      <c r="I108" s="878"/>
      <c r="J108" s="879"/>
      <c r="K108" s="880"/>
      <c r="L108" s="865">
        <f t="shared" si="6"/>
        <v>0</v>
      </c>
    </row>
    <row r="109" spans="1:12">
      <c r="A109" s="1453"/>
      <c r="B109" s="1454"/>
      <c r="C109" s="1454"/>
      <c r="D109" s="1454"/>
      <c r="E109" s="1454"/>
      <c r="F109" s="1454"/>
      <c r="G109" s="1454"/>
      <c r="H109" s="877"/>
      <c r="I109" s="878"/>
      <c r="J109" s="879"/>
      <c r="K109" s="880"/>
      <c r="L109" s="865">
        <f t="shared" si="6"/>
        <v>0</v>
      </c>
    </row>
    <row r="110" spans="1:12">
      <c r="A110" s="1453"/>
      <c r="B110" s="1454"/>
      <c r="C110" s="1454"/>
      <c r="D110" s="1454"/>
      <c r="E110" s="1454"/>
      <c r="F110" s="1454"/>
      <c r="G110" s="1454"/>
      <c r="H110" s="877"/>
      <c r="I110" s="878"/>
      <c r="J110" s="879"/>
      <c r="K110" s="880"/>
      <c r="L110" s="865">
        <f t="shared" si="6"/>
        <v>0</v>
      </c>
    </row>
    <row r="111" spans="1:12">
      <c r="A111" s="1453"/>
      <c r="B111" s="1454"/>
      <c r="C111" s="1454"/>
      <c r="D111" s="1454"/>
      <c r="E111" s="1454"/>
      <c r="F111" s="1454"/>
      <c r="G111" s="1454"/>
      <c r="H111" s="877"/>
      <c r="I111" s="878"/>
      <c r="J111" s="879"/>
      <c r="K111" s="880"/>
      <c r="L111" s="865">
        <f t="shared" si="6"/>
        <v>0</v>
      </c>
    </row>
    <row r="112" spans="1:12" ht="14.4">
      <c r="A112" s="1451" t="str">
        <f>'Pricing Schedule'!A171&amp;" " &amp;'Pricing Schedule'!B171</f>
        <v>3.4.9 Training</v>
      </c>
      <c r="B112" s="1452"/>
      <c r="C112" s="1452"/>
      <c r="D112" s="1452"/>
      <c r="E112" s="1452"/>
      <c r="F112" s="1452"/>
      <c r="G112" s="1452"/>
      <c r="H112" s="861"/>
      <c r="I112" s="532"/>
      <c r="J112" s="862"/>
      <c r="K112" s="532"/>
      <c r="L112" s="863"/>
    </row>
    <row r="113" spans="1:12" ht="14.4">
      <c r="A113" s="1451" t="str">
        <f>'Pricing Schedule'!A172&amp;" " &amp;'Pricing Schedule'!B172</f>
        <v xml:space="preserve"> (a)   Service Provider’s staff and Targeted Enterprises:</v>
      </c>
      <c r="B113" s="1452"/>
      <c r="C113" s="1452"/>
      <c r="D113" s="1452"/>
      <c r="E113" s="1452"/>
      <c r="F113" s="1452"/>
      <c r="G113" s="1452"/>
      <c r="H113" s="861"/>
      <c r="I113" s="532"/>
      <c r="J113" s="862"/>
      <c r="K113" s="532"/>
      <c r="L113" s="863"/>
    </row>
    <row r="114" spans="1:12">
      <c r="A114" s="1451" t="str">
        <f>'Pricing Schedule'!A175&amp;" " &amp;'Pricing Schedule'!B175</f>
        <v xml:space="preserve"> (iii)  Disbursements</v>
      </c>
      <c r="B114" s="1452"/>
      <c r="C114" s="1452"/>
      <c r="D114" s="1452"/>
      <c r="E114" s="1452"/>
      <c r="F114" s="1452"/>
      <c r="G114" s="1452"/>
      <c r="H114" s="861">
        <f>'Pricing Schedule'!F175</f>
        <v>100000</v>
      </c>
      <c r="I114" s="532"/>
      <c r="J114" s="532"/>
      <c r="K114" s="864">
        <f>IF(H114=0,L114/100,(L114/H114))</f>
        <v>0</v>
      </c>
      <c r="L114" s="863">
        <f>SUM(L115:L121)</f>
        <v>0</v>
      </c>
    </row>
    <row r="115" spans="1:12">
      <c r="A115" s="1453"/>
      <c r="B115" s="1454"/>
      <c r="C115" s="1454"/>
      <c r="D115" s="1454"/>
      <c r="E115" s="1454"/>
      <c r="F115" s="1454"/>
      <c r="G115" s="1454"/>
      <c r="H115" s="877"/>
      <c r="I115" s="878"/>
      <c r="J115" s="879"/>
      <c r="K115" s="880"/>
      <c r="L115" s="865">
        <f>K115*J115</f>
        <v>0</v>
      </c>
    </row>
    <row r="116" spans="1:12">
      <c r="A116" s="1453"/>
      <c r="B116" s="1454"/>
      <c r="C116" s="1454"/>
      <c r="D116" s="1454"/>
      <c r="E116" s="1454"/>
      <c r="F116" s="1454"/>
      <c r="G116" s="1454"/>
      <c r="H116" s="877"/>
      <c r="I116" s="878"/>
      <c r="J116" s="879"/>
      <c r="K116" s="880"/>
      <c r="L116" s="865">
        <f t="shared" ref="L116:L121" si="7">K116*J116</f>
        <v>0</v>
      </c>
    </row>
    <row r="117" spans="1:12">
      <c r="A117" s="1453"/>
      <c r="B117" s="1454"/>
      <c r="C117" s="1454"/>
      <c r="D117" s="1454"/>
      <c r="E117" s="1454"/>
      <c r="F117" s="1454"/>
      <c r="G117" s="1454"/>
      <c r="H117" s="877"/>
      <c r="I117" s="878"/>
      <c r="J117" s="879"/>
      <c r="K117" s="880"/>
      <c r="L117" s="865">
        <f t="shared" si="7"/>
        <v>0</v>
      </c>
    </row>
    <row r="118" spans="1:12">
      <c r="A118" s="1453"/>
      <c r="B118" s="1454"/>
      <c r="C118" s="1454"/>
      <c r="D118" s="1454"/>
      <c r="E118" s="1454"/>
      <c r="F118" s="1454"/>
      <c r="G118" s="1454"/>
      <c r="H118" s="877"/>
      <c r="I118" s="878"/>
      <c r="J118" s="879"/>
      <c r="K118" s="880"/>
      <c r="L118" s="865">
        <f t="shared" si="7"/>
        <v>0</v>
      </c>
    </row>
    <row r="119" spans="1:12">
      <c r="A119" s="1453"/>
      <c r="B119" s="1454"/>
      <c r="C119" s="1454"/>
      <c r="D119" s="1454"/>
      <c r="E119" s="1454"/>
      <c r="F119" s="1454"/>
      <c r="G119" s="1454"/>
      <c r="H119" s="877"/>
      <c r="I119" s="878"/>
      <c r="J119" s="879"/>
      <c r="K119" s="880"/>
      <c r="L119" s="865">
        <f t="shared" si="7"/>
        <v>0</v>
      </c>
    </row>
    <row r="120" spans="1:12">
      <c r="A120" s="1453"/>
      <c r="B120" s="1454"/>
      <c r="C120" s="1454"/>
      <c r="D120" s="1454"/>
      <c r="E120" s="1454"/>
      <c r="F120" s="1454"/>
      <c r="G120" s="1454"/>
      <c r="H120" s="877"/>
      <c r="I120" s="878"/>
      <c r="J120" s="879"/>
      <c r="K120" s="880"/>
      <c r="L120" s="865">
        <f t="shared" si="7"/>
        <v>0</v>
      </c>
    </row>
    <row r="121" spans="1:12">
      <c r="A121" s="1453"/>
      <c r="B121" s="1454"/>
      <c r="C121" s="1454"/>
      <c r="D121" s="1454"/>
      <c r="E121" s="1454"/>
      <c r="F121" s="1454"/>
      <c r="G121" s="1454"/>
      <c r="H121" s="877"/>
      <c r="I121" s="878"/>
      <c r="J121" s="879"/>
      <c r="K121" s="880"/>
      <c r="L121" s="865">
        <f t="shared" si="7"/>
        <v>0</v>
      </c>
    </row>
    <row r="122" spans="1:12" ht="14.4">
      <c r="A122" s="1451" t="str">
        <f>'Pricing Schedule'!A176&amp;" " &amp;'Pricing Schedule'!B176</f>
        <v xml:space="preserve"> (b)   Employer’s Trainees:</v>
      </c>
      <c r="B122" s="1452"/>
      <c r="C122" s="1452"/>
      <c r="D122" s="1452"/>
      <c r="E122" s="1452"/>
      <c r="F122" s="1452"/>
      <c r="G122" s="1452"/>
      <c r="H122" s="861"/>
      <c r="I122" s="532"/>
      <c r="J122" s="862"/>
      <c r="K122" s="532"/>
      <c r="L122" s="863"/>
    </row>
    <row r="123" spans="1:12">
      <c r="A123" s="1451" t="str">
        <f>'Pricing Schedule'!A179&amp;" " &amp;'Pricing Schedule'!B179</f>
        <v xml:space="preserve"> (iii)  Student stipend</v>
      </c>
      <c r="B123" s="1452"/>
      <c r="C123" s="1452"/>
      <c r="D123" s="1452"/>
      <c r="E123" s="1452"/>
      <c r="F123" s="1452"/>
      <c r="G123" s="1452"/>
      <c r="H123" s="861">
        <f>'Pricing Schedule'!F179</f>
        <v>100000</v>
      </c>
      <c r="I123" s="532"/>
      <c r="J123" s="532"/>
      <c r="K123" s="864">
        <f>IF(H123=0,L123/100,(L123/H123))</f>
        <v>0</v>
      </c>
      <c r="L123" s="863">
        <f>SUM(L124:L130)</f>
        <v>0</v>
      </c>
    </row>
    <row r="124" spans="1:12">
      <c r="A124" s="1453"/>
      <c r="B124" s="1454"/>
      <c r="C124" s="1454"/>
      <c r="D124" s="1454"/>
      <c r="E124" s="1454"/>
      <c r="F124" s="1454"/>
      <c r="G124" s="1454"/>
      <c r="H124" s="877"/>
      <c r="I124" s="878"/>
      <c r="J124" s="879"/>
      <c r="K124" s="880"/>
      <c r="L124" s="865">
        <f t="shared" ref="L124:L130" si="8">K124*J124</f>
        <v>0</v>
      </c>
    </row>
    <row r="125" spans="1:12">
      <c r="A125" s="1453"/>
      <c r="B125" s="1454"/>
      <c r="C125" s="1454"/>
      <c r="D125" s="1454"/>
      <c r="E125" s="1454"/>
      <c r="F125" s="1454"/>
      <c r="G125" s="1454"/>
      <c r="H125" s="877"/>
      <c r="I125" s="878"/>
      <c r="J125" s="879"/>
      <c r="K125" s="880"/>
      <c r="L125" s="865">
        <f t="shared" si="8"/>
        <v>0</v>
      </c>
    </row>
    <row r="126" spans="1:12">
      <c r="A126" s="1453"/>
      <c r="B126" s="1454"/>
      <c r="C126" s="1454"/>
      <c r="D126" s="1454"/>
      <c r="E126" s="1454"/>
      <c r="F126" s="1454"/>
      <c r="G126" s="1454"/>
      <c r="H126" s="877"/>
      <c r="I126" s="878"/>
      <c r="J126" s="879"/>
      <c r="K126" s="880"/>
      <c r="L126" s="865">
        <f t="shared" si="8"/>
        <v>0</v>
      </c>
    </row>
    <row r="127" spans="1:12">
      <c r="A127" s="1453"/>
      <c r="B127" s="1454"/>
      <c r="C127" s="1454"/>
      <c r="D127" s="1454"/>
      <c r="E127" s="1454"/>
      <c r="F127" s="1454"/>
      <c r="G127" s="1454"/>
      <c r="H127" s="877"/>
      <c r="I127" s="878"/>
      <c r="J127" s="879"/>
      <c r="K127" s="880"/>
      <c r="L127" s="865">
        <f t="shared" si="8"/>
        <v>0</v>
      </c>
    </row>
    <row r="128" spans="1:12">
      <c r="A128" s="1453"/>
      <c r="B128" s="1454"/>
      <c r="C128" s="1454"/>
      <c r="D128" s="1454"/>
      <c r="E128" s="1454"/>
      <c r="F128" s="1454"/>
      <c r="G128" s="1454"/>
      <c r="H128" s="877"/>
      <c r="I128" s="878"/>
      <c r="J128" s="879"/>
      <c r="K128" s="880"/>
      <c r="L128" s="865">
        <f t="shared" si="8"/>
        <v>0</v>
      </c>
    </row>
    <row r="129" spans="1:12">
      <c r="A129" s="1453"/>
      <c r="B129" s="1454"/>
      <c r="C129" s="1454"/>
      <c r="D129" s="1454"/>
      <c r="E129" s="1454"/>
      <c r="F129" s="1454"/>
      <c r="G129" s="1454"/>
      <c r="H129" s="877"/>
      <c r="I129" s="878"/>
      <c r="J129" s="879"/>
      <c r="K129" s="880"/>
      <c r="L129" s="865">
        <f t="shared" si="8"/>
        <v>0</v>
      </c>
    </row>
    <row r="130" spans="1:12">
      <c r="A130" s="1453"/>
      <c r="B130" s="1454"/>
      <c r="C130" s="1454"/>
      <c r="D130" s="1454"/>
      <c r="E130" s="1454"/>
      <c r="F130" s="1454"/>
      <c r="G130" s="1454"/>
      <c r="H130" s="877"/>
      <c r="I130" s="878"/>
      <c r="J130" s="879"/>
      <c r="K130" s="880"/>
      <c r="L130" s="865">
        <f t="shared" si="8"/>
        <v>0</v>
      </c>
    </row>
    <row r="131" spans="1:12" ht="14.4">
      <c r="A131" s="1451" t="str">
        <f>'Pricing Schedule'!A180&amp;" " &amp;'Pricing Schedule'!B180</f>
        <v>3.4.10 Phase / Stage discontinuity</v>
      </c>
      <c r="B131" s="1452"/>
      <c r="C131" s="1452"/>
      <c r="D131" s="1452"/>
      <c r="E131" s="1452"/>
      <c r="F131" s="1452"/>
      <c r="G131" s="1452"/>
      <c r="H131" s="861"/>
      <c r="I131" s="532"/>
      <c r="J131" s="862"/>
      <c r="K131" s="532"/>
      <c r="L131" s="863"/>
    </row>
    <row r="132" spans="1:12">
      <c r="A132" s="1451" t="str">
        <f>'Pricing Schedule'!A182&amp;" " &amp;'Pricing Schedule'!B182</f>
        <v xml:space="preserve"> (b)   Review of tender documentation by original designer</v>
      </c>
      <c r="B132" s="1452"/>
      <c r="C132" s="1452"/>
      <c r="D132" s="1452"/>
      <c r="E132" s="1452"/>
      <c r="F132" s="1452"/>
      <c r="G132" s="1452"/>
      <c r="H132" s="861">
        <f>'Pricing Schedule'!F182</f>
        <v>0</v>
      </c>
      <c r="I132" s="532"/>
      <c r="J132" s="532"/>
      <c r="K132" s="864">
        <f>IF(H132=0,L132/100,(L132/H132))</f>
        <v>0</v>
      </c>
      <c r="L132" s="863">
        <f>SUM(L133:L139)</f>
        <v>0</v>
      </c>
    </row>
    <row r="133" spans="1:12">
      <c r="A133" s="1453"/>
      <c r="B133" s="1454"/>
      <c r="C133" s="1454"/>
      <c r="D133" s="1454"/>
      <c r="E133" s="1454"/>
      <c r="F133" s="1454"/>
      <c r="G133" s="1454"/>
      <c r="H133" s="877"/>
      <c r="I133" s="878"/>
      <c r="J133" s="879"/>
      <c r="K133" s="880"/>
      <c r="L133" s="865">
        <f>K133*J133</f>
        <v>0</v>
      </c>
    </row>
    <row r="134" spans="1:12">
      <c r="A134" s="1453"/>
      <c r="B134" s="1454"/>
      <c r="C134" s="1454"/>
      <c r="D134" s="1454"/>
      <c r="E134" s="1454"/>
      <c r="F134" s="1454"/>
      <c r="G134" s="1454"/>
      <c r="H134" s="877"/>
      <c r="I134" s="878"/>
      <c r="J134" s="879"/>
      <c r="K134" s="880"/>
      <c r="L134" s="865">
        <f t="shared" ref="L134:L139" si="9">K134*J134</f>
        <v>0</v>
      </c>
    </row>
    <row r="135" spans="1:12">
      <c r="A135" s="1453"/>
      <c r="B135" s="1454"/>
      <c r="C135" s="1454"/>
      <c r="D135" s="1454"/>
      <c r="E135" s="1454"/>
      <c r="F135" s="1454"/>
      <c r="G135" s="1454"/>
      <c r="H135" s="877"/>
      <c r="I135" s="878"/>
      <c r="J135" s="879"/>
      <c r="K135" s="880"/>
      <c r="L135" s="865">
        <f t="shared" si="9"/>
        <v>0</v>
      </c>
    </row>
    <row r="136" spans="1:12">
      <c r="A136" s="1453"/>
      <c r="B136" s="1454"/>
      <c r="C136" s="1454"/>
      <c r="D136" s="1454"/>
      <c r="E136" s="1454"/>
      <c r="F136" s="1454"/>
      <c r="G136" s="1454"/>
      <c r="H136" s="877"/>
      <c r="I136" s="878"/>
      <c r="J136" s="879"/>
      <c r="K136" s="880"/>
      <c r="L136" s="865">
        <f t="shared" si="9"/>
        <v>0</v>
      </c>
    </row>
    <row r="137" spans="1:12">
      <c r="A137" s="1453"/>
      <c r="B137" s="1454"/>
      <c r="C137" s="1454"/>
      <c r="D137" s="1454"/>
      <c r="E137" s="1454"/>
      <c r="F137" s="1454"/>
      <c r="G137" s="1454"/>
      <c r="H137" s="877"/>
      <c r="I137" s="878"/>
      <c r="J137" s="879"/>
      <c r="K137" s="880"/>
      <c r="L137" s="865">
        <f t="shared" si="9"/>
        <v>0</v>
      </c>
    </row>
    <row r="138" spans="1:12">
      <c r="A138" s="1453"/>
      <c r="B138" s="1454"/>
      <c r="C138" s="1454"/>
      <c r="D138" s="1454"/>
      <c r="E138" s="1454"/>
      <c r="F138" s="1454"/>
      <c r="G138" s="1454"/>
      <c r="H138" s="877"/>
      <c r="I138" s="878"/>
      <c r="J138" s="879"/>
      <c r="K138" s="880"/>
      <c r="L138" s="865">
        <f t="shared" si="9"/>
        <v>0</v>
      </c>
    </row>
    <row r="139" spans="1:12">
      <c r="A139" s="1453"/>
      <c r="B139" s="1454"/>
      <c r="C139" s="1454"/>
      <c r="D139" s="1454"/>
      <c r="E139" s="1454"/>
      <c r="F139" s="1454"/>
      <c r="G139" s="1454"/>
      <c r="H139" s="877"/>
      <c r="I139" s="878"/>
      <c r="J139" s="879"/>
      <c r="K139" s="880"/>
      <c r="L139" s="865">
        <f t="shared" si="9"/>
        <v>0</v>
      </c>
    </row>
    <row r="140" spans="1:12">
      <c r="A140" s="1451" t="str">
        <f>'Pricing Schedule'!A183&amp;" " &amp;'Pricing Schedule'!B183</f>
        <v xml:space="preserve"> (c)   Visit to construction site by original designer</v>
      </c>
      <c r="B140" s="1452"/>
      <c r="C140" s="1452"/>
      <c r="D140" s="1452"/>
      <c r="E140" s="1452"/>
      <c r="F140" s="1452"/>
      <c r="G140" s="1452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53"/>
      <c r="B141" s="1454"/>
      <c r="C141" s="1454"/>
      <c r="D141" s="1454"/>
      <c r="E141" s="1454"/>
      <c r="F141" s="1454"/>
      <c r="G141" s="1454"/>
      <c r="H141" s="877"/>
      <c r="I141" s="878"/>
      <c r="J141" s="879"/>
      <c r="K141" s="880"/>
      <c r="L141" s="865">
        <f>K141*J141</f>
        <v>0</v>
      </c>
    </row>
    <row r="142" spans="1:12">
      <c r="A142" s="1453"/>
      <c r="B142" s="1454"/>
      <c r="C142" s="1454"/>
      <c r="D142" s="1454"/>
      <c r="E142" s="1454"/>
      <c r="F142" s="1454"/>
      <c r="G142" s="1454"/>
      <c r="H142" s="877"/>
      <c r="I142" s="878"/>
      <c r="J142" s="879"/>
      <c r="K142" s="880"/>
      <c r="L142" s="865">
        <f t="shared" ref="L142:L147" si="10">K142*J142</f>
        <v>0</v>
      </c>
    </row>
    <row r="143" spans="1:12">
      <c r="A143" s="1453"/>
      <c r="B143" s="1454"/>
      <c r="C143" s="1454"/>
      <c r="D143" s="1454"/>
      <c r="E143" s="1454"/>
      <c r="F143" s="1454"/>
      <c r="G143" s="1454"/>
      <c r="H143" s="877"/>
      <c r="I143" s="878"/>
      <c r="J143" s="879"/>
      <c r="K143" s="880"/>
      <c r="L143" s="865">
        <f t="shared" si="10"/>
        <v>0</v>
      </c>
    </row>
    <row r="144" spans="1:12">
      <c r="A144" s="1453"/>
      <c r="B144" s="1454"/>
      <c r="C144" s="1454"/>
      <c r="D144" s="1454"/>
      <c r="E144" s="1454"/>
      <c r="F144" s="1454"/>
      <c r="G144" s="1454"/>
      <c r="H144" s="877"/>
      <c r="I144" s="878"/>
      <c r="J144" s="879"/>
      <c r="K144" s="880"/>
      <c r="L144" s="865">
        <f t="shared" si="10"/>
        <v>0</v>
      </c>
    </row>
    <row r="145" spans="1:12">
      <c r="A145" s="1453"/>
      <c r="B145" s="1454"/>
      <c r="C145" s="1454"/>
      <c r="D145" s="1454"/>
      <c r="E145" s="1454"/>
      <c r="F145" s="1454"/>
      <c r="G145" s="1454"/>
      <c r="H145" s="877"/>
      <c r="I145" s="878"/>
      <c r="J145" s="879"/>
      <c r="K145" s="880"/>
      <c r="L145" s="865">
        <f t="shared" si="10"/>
        <v>0</v>
      </c>
    </row>
    <row r="146" spans="1:12">
      <c r="A146" s="1453"/>
      <c r="B146" s="1454"/>
      <c r="C146" s="1454"/>
      <c r="D146" s="1454"/>
      <c r="E146" s="1454"/>
      <c r="F146" s="1454"/>
      <c r="G146" s="1454"/>
      <c r="H146" s="877"/>
      <c r="I146" s="878"/>
      <c r="J146" s="879"/>
      <c r="K146" s="880"/>
      <c r="L146" s="865">
        <f t="shared" si="10"/>
        <v>0</v>
      </c>
    </row>
    <row r="147" spans="1:12">
      <c r="A147" s="1453"/>
      <c r="B147" s="1454"/>
      <c r="C147" s="1454"/>
      <c r="D147" s="1454"/>
      <c r="E147" s="1454"/>
      <c r="F147" s="1454"/>
      <c r="G147" s="1454"/>
      <c r="H147" s="877"/>
      <c r="I147" s="878"/>
      <c r="J147" s="879"/>
      <c r="K147" s="880"/>
      <c r="L147" s="865">
        <f t="shared" si="10"/>
        <v>0</v>
      </c>
    </row>
    <row r="148" spans="1:12" ht="14.4">
      <c r="A148" s="1451" t="str">
        <f>'Pricing Schedule'!A185&amp;" " &amp;'Pricing Schedule'!B185</f>
        <v>3.4.11 Field work for identification of material sources by service provider</v>
      </c>
      <c r="B148" s="1452"/>
      <c r="C148" s="1452"/>
      <c r="D148" s="1452"/>
      <c r="E148" s="1452"/>
      <c r="F148" s="1452"/>
      <c r="G148" s="1452"/>
      <c r="H148" s="861"/>
      <c r="I148" s="532"/>
      <c r="J148" s="862"/>
      <c r="K148" s="532"/>
      <c r="L148" s="863"/>
    </row>
    <row r="149" spans="1:12">
      <c r="A149" s="1451" t="str">
        <f>'Pricing Schedule'!A186&amp;" " &amp;'Pricing Schedule'!B186</f>
        <v xml:space="preserve"> (a)  Personnel cost</v>
      </c>
      <c r="B149" s="1452"/>
      <c r="C149" s="1452"/>
      <c r="D149" s="1452"/>
      <c r="E149" s="1452"/>
      <c r="F149" s="1452"/>
      <c r="G149" s="1452"/>
      <c r="H149" s="861">
        <f>'Pricing Schedule'!F186</f>
        <v>0</v>
      </c>
      <c r="I149" s="532"/>
      <c r="J149" s="532"/>
      <c r="K149" s="864">
        <f>IF(H149=0,L149/100,(L149/H149))</f>
        <v>0</v>
      </c>
      <c r="L149" s="863">
        <f>SUM(L150:L156)</f>
        <v>0</v>
      </c>
    </row>
    <row r="150" spans="1:12">
      <c r="A150" s="1453"/>
      <c r="B150" s="1454"/>
      <c r="C150" s="1454"/>
      <c r="D150" s="1454"/>
      <c r="E150" s="1454"/>
      <c r="F150" s="1454"/>
      <c r="G150" s="1454"/>
      <c r="H150" s="877"/>
      <c r="I150" s="878"/>
      <c r="J150" s="879"/>
      <c r="K150" s="880"/>
      <c r="L150" s="865">
        <f>K150*J150</f>
        <v>0</v>
      </c>
    </row>
    <row r="151" spans="1:12">
      <c r="A151" s="1453"/>
      <c r="B151" s="1454"/>
      <c r="C151" s="1454"/>
      <c r="D151" s="1454"/>
      <c r="E151" s="1454"/>
      <c r="F151" s="1454"/>
      <c r="G151" s="1454"/>
      <c r="H151" s="877"/>
      <c r="I151" s="878"/>
      <c r="J151" s="879"/>
      <c r="K151" s="880"/>
      <c r="L151" s="865">
        <f t="shared" ref="L151:L156" si="11">K151*J151</f>
        <v>0</v>
      </c>
    </row>
    <row r="152" spans="1:12">
      <c r="A152" s="1453"/>
      <c r="B152" s="1454"/>
      <c r="C152" s="1454"/>
      <c r="D152" s="1454"/>
      <c r="E152" s="1454"/>
      <c r="F152" s="1454"/>
      <c r="G152" s="1454"/>
      <c r="H152" s="877"/>
      <c r="I152" s="878"/>
      <c r="J152" s="879"/>
      <c r="K152" s="880"/>
      <c r="L152" s="865">
        <f t="shared" si="11"/>
        <v>0</v>
      </c>
    </row>
    <row r="153" spans="1:12">
      <c r="A153" s="1453"/>
      <c r="B153" s="1454"/>
      <c r="C153" s="1454"/>
      <c r="D153" s="1454"/>
      <c r="E153" s="1454"/>
      <c r="F153" s="1454"/>
      <c r="G153" s="1454"/>
      <c r="H153" s="877"/>
      <c r="I153" s="878"/>
      <c r="J153" s="879"/>
      <c r="K153" s="880"/>
      <c r="L153" s="865">
        <f t="shared" si="11"/>
        <v>0</v>
      </c>
    </row>
    <row r="154" spans="1:12">
      <c r="A154" s="1453"/>
      <c r="B154" s="1454"/>
      <c r="C154" s="1454"/>
      <c r="D154" s="1454"/>
      <c r="E154" s="1454"/>
      <c r="F154" s="1454"/>
      <c r="G154" s="1454"/>
      <c r="H154" s="877"/>
      <c r="I154" s="878"/>
      <c r="J154" s="879"/>
      <c r="K154" s="880"/>
      <c r="L154" s="865">
        <f t="shared" si="11"/>
        <v>0</v>
      </c>
    </row>
    <row r="155" spans="1:12">
      <c r="A155" s="1453"/>
      <c r="B155" s="1454"/>
      <c r="C155" s="1454"/>
      <c r="D155" s="1454"/>
      <c r="E155" s="1454"/>
      <c r="F155" s="1454"/>
      <c r="G155" s="1454"/>
      <c r="H155" s="877"/>
      <c r="I155" s="878"/>
      <c r="J155" s="879"/>
      <c r="K155" s="880"/>
      <c r="L155" s="865">
        <f t="shared" si="11"/>
        <v>0</v>
      </c>
    </row>
    <row r="156" spans="1:12">
      <c r="A156" s="1453"/>
      <c r="B156" s="1454"/>
      <c r="C156" s="1454"/>
      <c r="D156" s="1454"/>
      <c r="E156" s="1454"/>
      <c r="F156" s="1454"/>
      <c r="G156" s="1454"/>
      <c r="H156" s="877"/>
      <c r="I156" s="878"/>
      <c r="J156" s="879"/>
      <c r="K156" s="880"/>
      <c r="L156" s="865">
        <f t="shared" si="11"/>
        <v>0</v>
      </c>
    </row>
    <row r="157" spans="1:12">
      <c r="A157" s="1451" t="str">
        <f>'Pricing Schedule'!A187&amp;" " &amp;'Pricing Schedule'!B187</f>
        <v xml:space="preserve"> (b)  Disbursements</v>
      </c>
      <c r="B157" s="1452"/>
      <c r="C157" s="1452"/>
      <c r="D157" s="1452"/>
      <c r="E157" s="1452"/>
      <c r="F157" s="1452"/>
      <c r="G157" s="1452"/>
      <c r="H157" s="861">
        <f>'Pricing Schedule'!F187</f>
        <v>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53"/>
      <c r="B158" s="1454"/>
      <c r="C158" s="1454"/>
      <c r="D158" s="1454"/>
      <c r="E158" s="1454"/>
      <c r="F158" s="1454"/>
      <c r="G158" s="1454"/>
      <c r="H158" s="877"/>
      <c r="I158" s="878"/>
      <c r="J158" s="879"/>
      <c r="K158" s="880"/>
      <c r="L158" s="863">
        <f t="shared" ref="L158:L164" si="12">K158*J158</f>
        <v>0</v>
      </c>
    </row>
    <row r="159" spans="1:12">
      <c r="A159" s="1453"/>
      <c r="B159" s="1454"/>
      <c r="C159" s="1454"/>
      <c r="D159" s="1454"/>
      <c r="E159" s="1454"/>
      <c r="F159" s="1454"/>
      <c r="G159" s="1454"/>
      <c r="H159" s="877"/>
      <c r="I159" s="878"/>
      <c r="J159" s="879"/>
      <c r="K159" s="880"/>
      <c r="L159" s="863">
        <f t="shared" si="12"/>
        <v>0</v>
      </c>
    </row>
    <row r="160" spans="1:12">
      <c r="A160" s="1453"/>
      <c r="B160" s="1454"/>
      <c r="C160" s="1454"/>
      <c r="D160" s="1454"/>
      <c r="E160" s="1454"/>
      <c r="F160" s="1454"/>
      <c r="G160" s="1454"/>
      <c r="H160" s="877"/>
      <c r="I160" s="878"/>
      <c r="J160" s="879"/>
      <c r="K160" s="880"/>
      <c r="L160" s="863">
        <f t="shared" si="12"/>
        <v>0</v>
      </c>
    </row>
    <row r="161" spans="1:12">
      <c r="A161" s="1453"/>
      <c r="B161" s="1454"/>
      <c r="C161" s="1454"/>
      <c r="D161" s="1454"/>
      <c r="E161" s="1454"/>
      <c r="F161" s="1454"/>
      <c r="G161" s="1454"/>
      <c r="H161" s="877"/>
      <c r="I161" s="878"/>
      <c r="J161" s="879"/>
      <c r="K161" s="880"/>
      <c r="L161" s="863">
        <f t="shared" si="12"/>
        <v>0</v>
      </c>
    </row>
    <row r="162" spans="1:12">
      <c r="A162" s="1453"/>
      <c r="B162" s="1454"/>
      <c r="C162" s="1454"/>
      <c r="D162" s="1454"/>
      <c r="E162" s="1454"/>
      <c r="F162" s="1454"/>
      <c r="G162" s="1454"/>
      <c r="H162" s="877"/>
      <c r="I162" s="878"/>
      <c r="J162" s="879"/>
      <c r="K162" s="880"/>
      <c r="L162" s="863">
        <f t="shared" si="12"/>
        <v>0</v>
      </c>
    </row>
    <row r="163" spans="1:12">
      <c r="A163" s="1453"/>
      <c r="B163" s="1454"/>
      <c r="C163" s="1454"/>
      <c r="D163" s="1454"/>
      <c r="E163" s="1454"/>
      <c r="F163" s="1454"/>
      <c r="G163" s="1454"/>
      <c r="H163" s="877"/>
      <c r="I163" s="878"/>
      <c r="J163" s="879"/>
      <c r="K163" s="880"/>
      <c r="L163" s="863">
        <f t="shared" si="12"/>
        <v>0</v>
      </c>
    </row>
    <row r="164" spans="1:12">
      <c r="A164" s="1453"/>
      <c r="B164" s="1454"/>
      <c r="C164" s="1454"/>
      <c r="D164" s="1454"/>
      <c r="E164" s="1454"/>
      <c r="F164" s="1454"/>
      <c r="G164" s="1454"/>
      <c r="H164" s="877"/>
      <c r="I164" s="878"/>
      <c r="J164" s="879"/>
      <c r="K164" s="880"/>
      <c r="L164" s="863">
        <f t="shared" si="12"/>
        <v>0</v>
      </c>
    </row>
    <row r="165" spans="1:12" ht="14.4">
      <c r="A165" s="1451" t="str">
        <f>'Pricing Schedule'!A189&amp;" " &amp;'Pricing Schedule'!B189</f>
        <v>3.4.12 Investigation and sampling for roadbed, borrow pits, quarries, structure founding materials and other areas, e.g. Cuttings</v>
      </c>
      <c r="B165" s="1452"/>
      <c r="C165" s="1452"/>
      <c r="D165" s="1452"/>
      <c r="E165" s="1452"/>
      <c r="F165" s="1452"/>
      <c r="G165" s="1452"/>
      <c r="H165" s="861"/>
      <c r="I165" s="532"/>
      <c r="J165" s="862"/>
      <c r="K165" s="532"/>
      <c r="L165" s="863"/>
    </row>
    <row r="166" spans="1:12">
      <c r="A166" s="1451" t="str">
        <f>'Pricing Schedule'!A191&amp;" " &amp;'Pricing Schedule'!B191</f>
        <v xml:space="preserve"> (b)   Hire and operation of excavator</v>
      </c>
      <c r="B166" s="1452"/>
      <c r="C166" s="1452"/>
      <c r="D166" s="1452"/>
      <c r="E166" s="1452"/>
      <c r="F166" s="1452"/>
      <c r="G166" s="1452"/>
      <c r="H166" s="861">
        <f>'Pricing Schedule'!F191</f>
        <v>0</v>
      </c>
      <c r="I166" s="532"/>
      <c r="J166" s="532"/>
      <c r="K166" s="864">
        <f>IF(H166=0,L166/100,(L166/H166))</f>
        <v>0</v>
      </c>
      <c r="L166" s="863">
        <f>SUM(L167:L173)</f>
        <v>0</v>
      </c>
    </row>
    <row r="167" spans="1:12">
      <c r="A167" s="1453"/>
      <c r="B167" s="1454"/>
      <c r="C167" s="1454"/>
      <c r="D167" s="1454"/>
      <c r="E167" s="1454"/>
      <c r="F167" s="1454"/>
      <c r="G167" s="1454"/>
      <c r="H167" s="877"/>
      <c r="I167" s="878"/>
      <c r="J167" s="879"/>
      <c r="K167" s="880"/>
      <c r="L167" s="865">
        <f>K167*J167</f>
        <v>0</v>
      </c>
    </row>
    <row r="168" spans="1:12">
      <c r="A168" s="1453"/>
      <c r="B168" s="1454"/>
      <c r="C168" s="1454"/>
      <c r="D168" s="1454"/>
      <c r="E168" s="1454"/>
      <c r="F168" s="1454"/>
      <c r="G168" s="1454"/>
      <c r="H168" s="877"/>
      <c r="I168" s="878"/>
      <c r="J168" s="879"/>
      <c r="K168" s="880"/>
      <c r="L168" s="865">
        <f t="shared" ref="L168:L173" si="13">K168*J168</f>
        <v>0</v>
      </c>
    </row>
    <row r="169" spans="1:12">
      <c r="A169" s="1453"/>
      <c r="B169" s="1454"/>
      <c r="C169" s="1454"/>
      <c r="D169" s="1454"/>
      <c r="E169" s="1454"/>
      <c r="F169" s="1454"/>
      <c r="G169" s="1454"/>
      <c r="H169" s="877"/>
      <c r="I169" s="878"/>
      <c r="J169" s="879"/>
      <c r="K169" s="880"/>
      <c r="L169" s="865">
        <f t="shared" si="13"/>
        <v>0</v>
      </c>
    </row>
    <row r="170" spans="1:12">
      <c r="A170" s="1453"/>
      <c r="B170" s="1454"/>
      <c r="C170" s="1454"/>
      <c r="D170" s="1454"/>
      <c r="E170" s="1454"/>
      <c r="F170" s="1454"/>
      <c r="G170" s="1454"/>
      <c r="H170" s="877"/>
      <c r="I170" s="878"/>
      <c r="J170" s="879"/>
      <c r="K170" s="880"/>
      <c r="L170" s="865">
        <f t="shared" si="13"/>
        <v>0</v>
      </c>
    </row>
    <row r="171" spans="1:12">
      <c r="A171" s="1453"/>
      <c r="B171" s="1454"/>
      <c r="C171" s="1454"/>
      <c r="D171" s="1454"/>
      <c r="E171" s="1454"/>
      <c r="F171" s="1454"/>
      <c r="G171" s="1454"/>
      <c r="H171" s="877"/>
      <c r="I171" s="878"/>
      <c r="J171" s="879"/>
      <c r="K171" s="880"/>
      <c r="L171" s="865">
        <f t="shared" si="13"/>
        <v>0</v>
      </c>
    </row>
    <row r="172" spans="1:12">
      <c r="A172" s="1453"/>
      <c r="B172" s="1454"/>
      <c r="C172" s="1454"/>
      <c r="D172" s="1454"/>
      <c r="E172" s="1454"/>
      <c r="F172" s="1454"/>
      <c r="G172" s="1454"/>
      <c r="H172" s="877"/>
      <c r="I172" s="878"/>
      <c r="J172" s="879"/>
      <c r="K172" s="880"/>
      <c r="L172" s="865">
        <f t="shared" si="13"/>
        <v>0</v>
      </c>
    </row>
    <row r="173" spans="1:12">
      <c r="A173" s="1453"/>
      <c r="B173" s="1454"/>
      <c r="C173" s="1454"/>
      <c r="D173" s="1454"/>
      <c r="E173" s="1454"/>
      <c r="F173" s="1454"/>
      <c r="G173" s="1454"/>
      <c r="H173" s="877"/>
      <c r="I173" s="878"/>
      <c r="J173" s="879"/>
      <c r="K173" s="880"/>
      <c r="L173" s="865">
        <f t="shared" si="13"/>
        <v>0</v>
      </c>
    </row>
    <row r="174" spans="1:12" ht="14.4">
      <c r="A174" s="1451" t="str">
        <f>'Pricing Schedule'!A199&amp;" " &amp;'Pricing Schedule'!B199</f>
        <v>3.4.13 Laboratory testing and reporting</v>
      </c>
      <c r="B174" s="1452"/>
      <c r="C174" s="1452"/>
      <c r="D174" s="1452"/>
      <c r="E174" s="1452"/>
      <c r="F174" s="1452"/>
      <c r="G174" s="1452"/>
      <c r="H174" s="861"/>
      <c r="I174" s="532"/>
      <c r="J174" s="862"/>
      <c r="K174" s="532"/>
      <c r="L174" s="863"/>
    </row>
    <row r="175" spans="1:12">
      <c r="A175" s="1451" t="str">
        <f>'Pricing Schedule'!A229&amp;" " &amp;'Pricing Schedule'!B229</f>
        <v xml:space="preserve"> (b)   Laboratory Testing where no schedule is available, or specialised testing</v>
      </c>
      <c r="B175" s="1452"/>
      <c r="C175" s="1452"/>
      <c r="D175" s="1452"/>
      <c r="E175" s="1452"/>
      <c r="F175" s="1452"/>
      <c r="G175" s="1452"/>
      <c r="H175" s="861">
        <f>'Pricing Schedule'!F229</f>
        <v>250000</v>
      </c>
      <c r="I175" s="532"/>
      <c r="J175" s="532"/>
      <c r="K175" s="864">
        <f>IF(H175=0,L175/100,(L175/H175))</f>
        <v>0</v>
      </c>
      <c r="L175" s="863">
        <f>SUM(L176:L182)</f>
        <v>0</v>
      </c>
    </row>
    <row r="176" spans="1:12">
      <c r="A176" s="1453"/>
      <c r="B176" s="1454"/>
      <c r="C176" s="1454"/>
      <c r="D176" s="1454"/>
      <c r="E176" s="1454"/>
      <c r="F176" s="1454"/>
      <c r="G176" s="1454"/>
      <c r="H176" s="877"/>
      <c r="I176" s="878"/>
      <c r="J176" s="879"/>
      <c r="K176" s="880"/>
      <c r="L176" s="865">
        <f>K176*J176</f>
        <v>0</v>
      </c>
    </row>
    <row r="177" spans="1:12">
      <c r="A177" s="1453"/>
      <c r="B177" s="1454"/>
      <c r="C177" s="1454"/>
      <c r="D177" s="1454"/>
      <c r="E177" s="1454"/>
      <c r="F177" s="1454"/>
      <c r="G177" s="1454"/>
      <c r="H177" s="877"/>
      <c r="I177" s="878"/>
      <c r="J177" s="879"/>
      <c r="K177" s="880"/>
      <c r="L177" s="865">
        <f t="shared" ref="L177:L182" si="14">K177*J177</f>
        <v>0</v>
      </c>
    </row>
    <row r="178" spans="1:12">
      <c r="A178" s="1453"/>
      <c r="B178" s="1454"/>
      <c r="C178" s="1454"/>
      <c r="D178" s="1454"/>
      <c r="E178" s="1454"/>
      <c r="F178" s="1454"/>
      <c r="G178" s="1454"/>
      <c r="H178" s="877"/>
      <c r="I178" s="878"/>
      <c r="J178" s="879"/>
      <c r="K178" s="880"/>
      <c r="L178" s="865">
        <f t="shared" si="14"/>
        <v>0</v>
      </c>
    </row>
    <row r="179" spans="1:12">
      <c r="A179" s="1453"/>
      <c r="B179" s="1454"/>
      <c r="C179" s="1454"/>
      <c r="D179" s="1454"/>
      <c r="E179" s="1454"/>
      <c r="F179" s="1454"/>
      <c r="G179" s="1454"/>
      <c r="H179" s="877"/>
      <c r="I179" s="878"/>
      <c r="J179" s="879"/>
      <c r="K179" s="880"/>
      <c r="L179" s="865">
        <f t="shared" si="14"/>
        <v>0</v>
      </c>
    </row>
    <row r="180" spans="1:12">
      <c r="A180" s="1453"/>
      <c r="B180" s="1454"/>
      <c r="C180" s="1454"/>
      <c r="D180" s="1454"/>
      <c r="E180" s="1454"/>
      <c r="F180" s="1454"/>
      <c r="G180" s="1454"/>
      <c r="H180" s="877"/>
      <c r="I180" s="878"/>
      <c r="J180" s="879"/>
      <c r="K180" s="880"/>
      <c r="L180" s="865">
        <f t="shared" si="14"/>
        <v>0</v>
      </c>
    </row>
    <row r="181" spans="1:12">
      <c r="A181" s="1453"/>
      <c r="B181" s="1454"/>
      <c r="C181" s="1454"/>
      <c r="D181" s="1454"/>
      <c r="E181" s="1454"/>
      <c r="F181" s="1454"/>
      <c r="G181" s="1454"/>
      <c r="H181" s="877"/>
      <c r="I181" s="878"/>
      <c r="J181" s="879"/>
      <c r="K181" s="880"/>
      <c r="L181" s="865">
        <f t="shared" si="14"/>
        <v>0</v>
      </c>
    </row>
    <row r="182" spans="1:12">
      <c r="A182" s="1453"/>
      <c r="B182" s="1454"/>
      <c r="C182" s="1454"/>
      <c r="D182" s="1454"/>
      <c r="E182" s="1454"/>
      <c r="F182" s="1454"/>
      <c r="G182" s="1454"/>
      <c r="H182" s="877"/>
      <c r="I182" s="878"/>
      <c r="J182" s="879"/>
      <c r="K182" s="880"/>
      <c r="L182" s="865">
        <f t="shared" si="14"/>
        <v>0</v>
      </c>
    </row>
    <row r="183" spans="1:12" ht="14.4">
      <c r="A183" s="1451" t="str">
        <f>'Pricing Schedule'!A231&amp;" " &amp;'Pricing Schedule'!B231</f>
        <v>3.4.14 Protection, removal, realignment and replacement of services prior to construction phase</v>
      </c>
      <c r="B183" s="1452"/>
      <c r="C183" s="1452"/>
      <c r="D183" s="1452"/>
      <c r="E183" s="1452"/>
      <c r="F183" s="1452"/>
      <c r="G183" s="1452"/>
      <c r="H183" s="861"/>
      <c r="I183" s="532"/>
      <c r="J183" s="862"/>
      <c r="K183" s="532"/>
      <c r="L183" s="863"/>
    </row>
    <row r="184" spans="1:12">
      <c r="A184" s="1451" t="str">
        <f>'Pricing Schedule'!A232&amp;" " &amp;'Pricing Schedule'!B232</f>
        <v xml:space="preserve"> (a)  Services</v>
      </c>
      <c r="B184" s="1452"/>
      <c r="C184" s="1452"/>
      <c r="D184" s="1452"/>
      <c r="E184" s="1452"/>
      <c r="F184" s="1452"/>
      <c r="G184" s="1452"/>
      <c r="H184" s="861">
        <f>'Pricing Schedule'!F232</f>
        <v>250000</v>
      </c>
      <c r="I184" s="532"/>
      <c r="J184" s="532"/>
      <c r="K184" s="864">
        <f>IF(H184=0,L184/100,(L184/H184))</f>
        <v>0</v>
      </c>
      <c r="L184" s="863">
        <f>SUM(L185:L191)</f>
        <v>0</v>
      </c>
    </row>
    <row r="185" spans="1:12">
      <c r="A185" s="1453"/>
      <c r="B185" s="1454"/>
      <c r="C185" s="1454"/>
      <c r="D185" s="1454"/>
      <c r="E185" s="1454"/>
      <c r="F185" s="1454"/>
      <c r="G185" s="1454"/>
      <c r="H185" s="877"/>
      <c r="I185" s="878"/>
      <c r="J185" s="879"/>
      <c r="K185" s="880"/>
      <c r="L185" s="865">
        <f>K185*J185</f>
        <v>0</v>
      </c>
    </row>
    <row r="186" spans="1:12">
      <c r="A186" s="1453"/>
      <c r="B186" s="1454"/>
      <c r="C186" s="1454"/>
      <c r="D186" s="1454"/>
      <c r="E186" s="1454"/>
      <c r="F186" s="1454"/>
      <c r="G186" s="1454"/>
      <c r="H186" s="877"/>
      <c r="I186" s="878"/>
      <c r="J186" s="879"/>
      <c r="K186" s="880"/>
      <c r="L186" s="865">
        <f t="shared" ref="L186:L191" si="15">K186*J186</f>
        <v>0</v>
      </c>
    </row>
    <row r="187" spans="1:12">
      <c r="A187" s="1453"/>
      <c r="B187" s="1454"/>
      <c r="C187" s="1454"/>
      <c r="D187" s="1454"/>
      <c r="E187" s="1454"/>
      <c r="F187" s="1454"/>
      <c r="G187" s="1454"/>
      <c r="H187" s="877"/>
      <c r="I187" s="878"/>
      <c r="J187" s="879"/>
      <c r="K187" s="880"/>
      <c r="L187" s="865">
        <f t="shared" si="15"/>
        <v>0</v>
      </c>
    </row>
    <row r="188" spans="1:12">
      <c r="A188" s="1453"/>
      <c r="B188" s="1454"/>
      <c r="C188" s="1454"/>
      <c r="D188" s="1454"/>
      <c r="E188" s="1454"/>
      <c r="F188" s="1454"/>
      <c r="G188" s="1454"/>
      <c r="H188" s="877"/>
      <c r="I188" s="878"/>
      <c r="J188" s="879"/>
      <c r="K188" s="880"/>
      <c r="L188" s="865">
        <f t="shared" si="15"/>
        <v>0</v>
      </c>
    </row>
    <row r="189" spans="1:12">
      <c r="A189" s="1453"/>
      <c r="B189" s="1454"/>
      <c r="C189" s="1454"/>
      <c r="D189" s="1454"/>
      <c r="E189" s="1454"/>
      <c r="F189" s="1454"/>
      <c r="G189" s="1454"/>
      <c r="H189" s="877"/>
      <c r="I189" s="878"/>
      <c r="J189" s="879"/>
      <c r="K189" s="880"/>
      <c r="L189" s="865">
        <f t="shared" si="15"/>
        <v>0</v>
      </c>
    </row>
    <row r="190" spans="1:12">
      <c r="A190" s="1453"/>
      <c r="B190" s="1454"/>
      <c r="C190" s="1454"/>
      <c r="D190" s="1454"/>
      <c r="E190" s="1454"/>
      <c r="F190" s="1454"/>
      <c r="G190" s="1454"/>
      <c r="H190" s="877"/>
      <c r="I190" s="878"/>
      <c r="J190" s="879"/>
      <c r="K190" s="880"/>
      <c r="L190" s="865">
        <f t="shared" si="15"/>
        <v>0</v>
      </c>
    </row>
    <row r="191" spans="1:12" ht="13.8" thickBot="1">
      <c r="A191" s="1453"/>
      <c r="B191" s="1454"/>
      <c r="C191" s="1454"/>
      <c r="D191" s="1454"/>
      <c r="E191" s="1454"/>
      <c r="F191" s="1454"/>
      <c r="G191" s="1454"/>
      <c r="H191" s="877"/>
      <c r="I191" s="878"/>
      <c r="J191" s="879"/>
      <c r="K191" s="880"/>
      <c r="L191" s="865">
        <f t="shared" si="15"/>
        <v>0</v>
      </c>
    </row>
    <row r="192" spans="1:12">
      <c r="A192" s="1465"/>
      <c r="B192" s="1466"/>
      <c r="C192" s="1466"/>
      <c r="D192" s="1466"/>
      <c r="E192" s="1466"/>
      <c r="F192" s="1466"/>
      <c r="G192" s="1466"/>
      <c r="H192" s="1467"/>
      <c r="I192" s="866"/>
      <c r="J192" s="867" t="s">
        <v>366</v>
      </c>
      <c r="K192" s="868">
        <f>'C3.4'!A7</f>
        <v>3.4</v>
      </c>
      <c r="L192" s="534">
        <f>L95+L104+L114+L123+L132+L140+L149+L157+L166+L175+L184</f>
        <v>0</v>
      </c>
    </row>
    <row r="193" spans="1:12" ht="13.8" thickBot="1">
      <c r="A193" s="1462"/>
      <c r="B193" s="1463"/>
      <c r="C193" s="1463"/>
      <c r="D193" s="1463"/>
      <c r="E193" s="1463"/>
      <c r="F193" s="1463"/>
      <c r="G193" s="1463"/>
      <c r="H193" s="1464"/>
      <c r="I193" s="869"/>
      <c r="J193" s="869"/>
      <c r="K193" s="870"/>
      <c r="L193" s="871"/>
    </row>
    <row r="194" spans="1:12" ht="13.8" thickBot="1">
      <c r="A194" s="1458" t="s">
        <v>422</v>
      </c>
      <c r="B194" s="1459"/>
      <c r="C194" s="1459"/>
      <c r="D194" s="1459"/>
      <c r="E194" s="1459"/>
      <c r="F194" s="1459"/>
      <c r="G194" s="1459"/>
      <c r="H194" s="1459"/>
      <c r="I194" s="1459"/>
      <c r="J194" s="1459"/>
      <c r="K194" s="1472"/>
      <c r="L194" s="873">
        <f>L92+L192</f>
        <v>0</v>
      </c>
    </row>
    <row r="195" spans="1:12" ht="15.6">
      <c r="L195" s="857" t="s">
        <v>423</v>
      </c>
    </row>
    <row r="196" spans="1:12" ht="8.25" customHeight="1">
      <c r="L196" s="858"/>
    </row>
    <row r="197" spans="1:12" ht="15.75" customHeight="1">
      <c r="A197" s="1457" t="s">
        <v>420</v>
      </c>
      <c r="B197" s="1401"/>
      <c r="C197" s="524" t="str">
        <f>$C$3</f>
        <v>NRA.N.007-040-2024/1F</v>
      </c>
      <c r="D197" s="403"/>
      <c r="E197" s="403"/>
      <c r="F197" s="1471">
        <f>$F$3</f>
        <v>45169</v>
      </c>
      <c r="G197" s="1471"/>
      <c r="H197" s="1455" t="s">
        <v>377</v>
      </c>
      <c r="I197" s="1455"/>
      <c r="J197" s="1455"/>
      <c r="K197" s="1456">
        <f>$K$3</f>
        <v>1</v>
      </c>
      <c r="L197" s="1403"/>
    </row>
    <row r="198" spans="1:12" ht="15.75" customHeight="1" thickBot="1"/>
    <row r="199" spans="1:12" ht="15.75" customHeight="1">
      <c r="A199" s="439"/>
      <c r="B199" s="440"/>
      <c r="C199" s="440"/>
      <c r="D199" s="440"/>
      <c r="E199" s="440"/>
      <c r="F199" s="440"/>
      <c r="G199" s="440"/>
      <c r="H199" s="440"/>
      <c r="I199" s="440"/>
      <c r="J199" s="440"/>
      <c r="K199" s="440"/>
      <c r="L199" s="525"/>
    </row>
    <row r="200" spans="1:12" ht="15.75" customHeight="1">
      <c r="A200" s="1395" t="s">
        <v>417</v>
      </c>
      <c r="B200" s="1396"/>
      <c r="C200" s="1396"/>
      <c r="D200" s="1396"/>
      <c r="E200" s="1396"/>
      <c r="F200" s="1396"/>
      <c r="G200" s="1396"/>
      <c r="H200" s="1396"/>
      <c r="I200" s="1396"/>
      <c r="J200" s="1396"/>
      <c r="K200" s="1396"/>
      <c r="L200" s="1397"/>
    </row>
    <row r="201" spans="1:12" ht="15.75" customHeight="1" thickBot="1">
      <c r="A201" s="526"/>
      <c r="L201" s="527"/>
    </row>
    <row r="202" spans="1:12" ht="15.75" customHeight="1" thickBot="1">
      <c r="A202" s="1468" t="s">
        <v>0</v>
      </c>
      <c r="B202" s="1469"/>
      <c r="C202" s="1469"/>
      <c r="D202" s="1469"/>
      <c r="E202" s="1469"/>
      <c r="F202" s="1469"/>
      <c r="G202" s="1469"/>
      <c r="H202" s="1470"/>
      <c r="I202" s="528" t="s">
        <v>1</v>
      </c>
      <c r="J202" s="528" t="s">
        <v>2</v>
      </c>
      <c r="K202" s="528" t="s">
        <v>3</v>
      </c>
      <c r="L202" s="529" t="s">
        <v>402</v>
      </c>
    </row>
    <row r="203" spans="1:12" ht="12.75" customHeight="1" thickBot="1">
      <c r="A203" s="1458" t="s">
        <v>424</v>
      </c>
      <c r="B203" s="1459"/>
      <c r="C203" s="1459"/>
      <c r="D203" s="1459"/>
      <c r="E203" s="1459"/>
      <c r="F203" s="1459"/>
      <c r="G203" s="1459"/>
      <c r="H203" s="1459"/>
      <c r="I203" s="1459"/>
      <c r="J203" s="1459"/>
      <c r="K203" s="1472"/>
      <c r="L203" s="545">
        <f>L194</f>
        <v>0</v>
      </c>
    </row>
    <row r="204" spans="1:12" ht="12.75" customHeight="1">
      <c r="A204" s="1473" t="str">
        <f>'Pricing Schedule'!A244&amp;" " &amp;'Pricing Schedule'!B244</f>
        <v>3.6 CLARIFICATION MEETING, TENDER PERIOD AND TENDER EVALUATION</v>
      </c>
      <c r="B204" s="1474"/>
      <c r="C204" s="1474"/>
      <c r="D204" s="1474"/>
      <c r="E204" s="1474"/>
      <c r="F204" s="1474"/>
      <c r="G204" s="1474"/>
      <c r="H204" s="1474"/>
      <c r="I204" s="1474"/>
      <c r="J204" s="1474"/>
      <c r="K204" s="1414"/>
      <c r="L204" s="536"/>
    </row>
    <row r="205" spans="1:12" ht="14.4">
      <c r="A205" s="1451" t="str">
        <f>'Pricing Schedule'!A245&amp;" " &amp;'Pricing Schedule'!B245</f>
        <v>3.6.1 Clarification meeting and tender period</v>
      </c>
      <c r="B205" s="1452"/>
      <c r="C205" s="1452"/>
      <c r="D205" s="1452"/>
      <c r="E205" s="1452"/>
      <c r="F205" s="1452"/>
      <c r="G205" s="1452"/>
      <c r="H205" s="861"/>
      <c r="I205" s="532"/>
      <c r="J205" s="862"/>
      <c r="K205" s="532"/>
      <c r="L205" s="863"/>
    </row>
    <row r="206" spans="1:12">
      <c r="A206" s="1451" t="str">
        <f>'Pricing Schedule'!A247&amp;" " &amp;'Pricing Schedule'!B247</f>
        <v xml:space="preserve"> (b)  Provision for pre-recorded video</v>
      </c>
      <c r="B206" s="1452"/>
      <c r="C206" s="1452"/>
      <c r="D206" s="1452"/>
      <c r="E206" s="1452"/>
      <c r="F206" s="1452"/>
      <c r="G206" s="1452"/>
      <c r="H206" s="861">
        <f>'Pricing Schedule'!F247</f>
        <v>20000</v>
      </c>
      <c r="I206" s="532"/>
      <c r="J206" s="532"/>
      <c r="K206" s="864">
        <f>IF(H206=0,L206/100,(L206/H206))</f>
        <v>0</v>
      </c>
      <c r="L206" s="863">
        <f>SUM(L207:L213)</f>
        <v>0</v>
      </c>
    </row>
    <row r="207" spans="1:12">
      <c r="A207" s="1453"/>
      <c r="B207" s="1454"/>
      <c r="C207" s="1454"/>
      <c r="D207" s="1454"/>
      <c r="E207" s="1454"/>
      <c r="F207" s="1454"/>
      <c r="G207" s="1454"/>
      <c r="H207" s="877"/>
      <c r="I207" s="878"/>
      <c r="J207" s="879"/>
      <c r="K207" s="880"/>
      <c r="L207" s="865">
        <f>K207*J207</f>
        <v>0</v>
      </c>
    </row>
    <row r="208" spans="1:12">
      <c r="A208" s="1453"/>
      <c r="B208" s="1454"/>
      <c r="C208" s="1454"/>
      <c r="D208" s="1454"/>
      <c r="E208" s="1454"/>
      <c r="F208" s="1454"/>
      <c r="G208" s="1454"/>
      <c r="H208" s="877"/>
      <c r="I208" s="878"/>
      <c r="J208" s="879"/>
      <c r="K208" s="880"/>
      <c r="L208" s="865">
        <f t="shared" ref="L208:L213" si="16">K208*J208</f>
        <v>0</v>
      </c>
    </row>
    <row r="209" spans="1:12">
      <c r="A209" s="1453"/>
      <c r="B209" s="1454"/>
      <c r="C209" s="1454"/>
      <c r="D209" s="1454"/>
      <c r="E209" s="1454"/>
      <c r="F209" s="1454"/>
      <c r="G209" s="1454"/>
      <c r="H209" s="877"/>
      <c r="I209" s="878"/>
      <c r="J209" s="879"/>
      <c r="K209" s="880"/>
      <c r="L209" s="865">
        <f t="shared" si="16"/>
        <v>0</v>
      </c>
    </row>
    <row r="210" spans="1:12">
      <c r="A210" s="1453"/>
      <c r="B210" s="1454"/>
      <c r="C210" s="1454"/>
      <c r="D210" s="1454"/>
      <c r="E210" s="1454"/>
      <c r="F210" s="1454"/>
      <c r="G210" s="1454"/>
      <c r="H210" s="877"/>
      <c r="I210" s="878"/>
      <c r="J210" s="879"/>
      <c r="K210" s="880"/>
      <c r="L210" s="865">
        <f t="shared" si="16"/>
        <v>0</v>
      </c>
    </row>
    <row r="211" spans="1:12">
      <c r="A211" s="1453"/>
      <c r="B211" s="1454"/>
      <c r="C211" s="1454"/>
      <c r="D211" s="1454"/>
      <c r="E211" s="1454"/>
      <c r="F211" s="1454"/>
      <c r="G211" s="1454"/>
      <c r="H211" s="877"/>
      <c r="I211" s="878"/>
      <c r="J211" s="879"/>
      <c r="K211" s="880"/>
      <c r="L211" s="865">
        <f t="shared" si="16"/>
        <v>0</v>
      </c>
    </row>
    <row r="212" spans="1:12">
      <c r="A212" s="1453"/>
      <c r="B212" s="1454"/>
      <c r="C212" s="1454"/>
      <c r="D212" s="1454"/>
      <c r="E212" s="1454"/>
      <c r="F212" s="1454"/>
      <c r="G212" s="1454"/>
      <c r="H212" s="877"/>
      <c r="I212" s="878"/>
      <c r="J212" s="879"/>
      <c r="K212" s="880"/>
      <c r="L212" s="865">
        <f t="shared" si="16"/>
        <v>0</v>
      </c>
    </row>
    <row r="213" spans="1:12" ht="13.8" thickBot="1">
      <c r="A213" s="1453"/>
      <c r="B213" s="1454"/>
      <c r="C213" s="1454"/>
      <c r="D213" s="1454"/>
      <c r="E213" s="1454"/>
      <c r="F213" s="1454"/>
      <c r="G213" s="1454"/>
      <c r="H213" s="877"/>
      <c r="I213" s="878"/>
      <c r="J213" s="879"/>
      <c r="K213" s="880"/>
      <c r="L213" s="865">
        <f t="shared" si="16"/>
        <v>0</v>
      </c>
    </row>
    <row r="214" spans="1:12">
      <c r="A214" s="1465"/>
      <c r="B214" s="1466"/>
      <c r="C214" s="1466"/>
      <c r="D214" s="1466"/>
      <c r="E214" s="1466"/>
      <c r="F214" s="1466"/>
      <c r="G214" s="1466"/>
      <c r="H214" s="1467"/>
      <c r="I214" s="866"/>
      <c r="J214" s="867" t="s">
        <v>366</v>
      </c>
      <c r="K214" s="868">
        <f>'C3.6'!A7</f>
        <v>3.6</v>
      </c>
      <c r="L214" s="534">
        <f>L206</f>
        <v>0</v>
      </c>
    </row>
    <row r="215" spans="1:12" ht="13.8" thickBot="1">
      <c r="A215" s="1462"/>
      <c r="B215" s="1463"/>
      <c r="C215" s="1463"/>
      <c r="D215" s="1463"/>
      <c r="E215" s="1463"/>
      <c r="F215" s="1463"/>
      <c r="G215" s="1463"/>
      <c r="H215" s="1464"/>
      <c r="I215" s="869"/>
      <c r="J215" s="869"/>
      <c r="K215" s="870"/>
      <c r="L215" s="871"/>
    </row>
    <row r="216" spans="1:12" ht="13.8" thickBot="1">
      <c r="A216" s="1458" t="s">
        <v>794</v>
      </c>
      <c r="B216" s="1459"/>
      <c r="C216" s="1459"/>
      <c r="D216" s="1459"/>
      <c r="E216" s="1459"/>
      <c r="F216" s="1459"/>
      <c r="G216" s="1459"/>
      <c r="H216" s="1459"/>
      <c r="I216" s="1459"/>
      <c r="J216" s="1459"/>
      <c r="K216" s="1472"/>
      <c r="L216" s="873">
        <f>L203+L214</f>
        <v>0</v>
      </c>
    </row>
    <row r="217" spans="1:12" ht="15.6">
      <c r="L217" s="857" t="s">
        <v>425</v>
      </c>
    </row>
    <row r="218" spans="1:12" ht="15.6">
      <c r="L218" s="858"/>
    </row>
    <row r="219" spans="1:12">
      <c r="A219" s="1457" t="s">
        <v>420</v>
      </c>
      <c r="B219" s="1401"/>
      <c r="C219" s="524" t="str">
        <f>$C$3</f>
        <v>NRA.N.007-040-2024/1F</v>
      </c>
      <c r="D219" s="403"/>
      <c r="E219" s="403"/>
      <c r="F219" s="1471">
        <f>$F$3</f>
        <v>45169</v>
      </c>
      <c r="G219" s="1471"/>
      <c r="H219" s="1455" t="s">
        <v>377</v>
      </c>
      <c r="I219" s="1455"/>
      <c r="J219" s="1455"/>
      <c r="K219" s="1456">
        <f>$K$3</f>
        <v>1</v>
      </c>
      <c r="L219" s="1403"/>
    </row>
    <row r="220" spans="1:12" ht="13.8" thickBot="1"/>
    <row r="221" spans="1:12">
      <c r="A221" s="439"/>
      <c r="B221" s="440"/>
      <c r="C221" s="440"/>
      <c r="D221" s="440"/>
      <c r="E221" s="440"/>
      <c r="F221" s="440"/>
      <c r="G221" s="440"/>
      <c r="H221" s="440"/>
      <c r="I221" s="440"/>
      <c r="J221" s="440"/>
      <c r="K221" s="440"/>
      <c r="L221" s="525"/>
    </row>
    <row r="222" spans="1:12" ht="13.8">
      <c r="A222" s="1395" t="s">
        <v>417</v>
      </c>
      <c r="B222" s="1396"/>
      <c r="C222" s="1396"/>
      <c r="D222" s="1396"/>
      <c r="E222" s="1396"/>
      <c r="F222" s="1396"/>
      <c r="G222" s="1396"/>
      <c r="H222" s="1396"/>
      <c r="I222" s="1396"/>
      <c r="J222" s="1396"/>
      <c r="K222" s="1396"/>
      <c r="L222" s="1397"/>
    </row>
    <row r="223" spans="1:12" ht="13.8" thickBot="1">
      <c r="A223" s="526"/>
      <c r="L223" s="527"/>
    </row>
    <row r="224" spans="1:12" ht="13.8" thickBot="1">
      <c r="A224" s="1468" t="s">
        <v>0</v>
      </c>
      <c r="B224" s="1469"/>
      <c r="C224" s="1469"/>
      <c r="D224" s="1469"/>
      <c r="E224" s="1469"/>
      <c r="F224" s="1469"/>
      <c r="G224" s="1469"/>
      <c r="H224" s="1470"/>
      <c r="I224" s="528" t="s">
        <v>1</v>
      </c>
      <c r="J224" s="528" t="s">
        <v>2</v>
      </c>
      <c r="K224" s="528" t="s">
        <v>3</v>
      </c>
      <c r="L224" s="529" t="s">
        <v>402</v>
      </c>
    </row>
    <row r="225" spans="1:12" ht="13.8" thickBot="1">
      <c r="A225" s="1458" t="s">
        <v>426</v>
      </c>
      <c r="B225" s="1459"/>
      <c r="C225" s="1459"/>
      <c r="D225" s="1459"/>
      <c r="E225" s="1459"/>
      <c r="F225" s="1459"/>
      <c r="G225" s="1459"/>
      <c r="H225" s="1459"/>
      <c r="I225" s="1459"/>
      <c r="J225" s="1459"/>
      <c r="K225" s="1472"/>
      <c r="L225" s="545">
        <f>L216</f>
        <v>0</v>
      </c>
    </row>
    <row r="226" spans="1:12">
      <c r="A226" s="1473" t="str">
        <f>'Pricing Schedule'!A254&amp;" " &amp;'Pricing Schedule'!B254</f>
        <v>3.7 ADMINISTRATION AND MONITORING OF THE WORKS CONTRACT</v>
      </c>
      <c r="B226" s="1474"/>
      <c r="C226" s="1474"/>
      <c r="D226" s="1474"/>
      <c r="E226" s="1474"/>
      <c r="F226" s="1474"/>
      <c r="G226" s="1474"/>
      <c r="H226" s="1474"/>
      <c r="I226" s="1474"/>
      <c r="J226" s="1474"/>
      <c r="K226" s="1414"/>
      <c r="L226" s="536"/>
    </row>
    <row r="227" spans="1:12" ht="14.4">
      <c r="A227" s="1451" t="str">
        <f>'Pricing Schedule'!A255&amp;" " &amp;'Pricing Schedule'!B255</f>
        <v>3.7.1 ADMINISTRATION AND MONITORING OF THE WORKS CONTRACT</v>
      </c>
      <c r="B227" s="1452"/>
      <c r="C227" s="1452"/>
      <c r="D227" s="1452"/>
      <c r="E227" s="1452"/>
      <c r="F227" s="1452"/>
      <c r="G227" s="1452"/>
      <c r="H227" s="861"/>
      <c r="I227" s="532"/>
      <c r="J227" s="862"/>
      <c r="K227" s="532"/>
      <c r="L227" s="863"/>
    </row>
    <row r="228" spans="1:12" ht="14.4">
      <c r="A228" s="1451" t="str">
        <f>'Pricing Schedule'!A280&amp;" " &amp;'Pricing Schedule'!B280</f>
        <v xml:space="preserve"> (k)  Training of Service Provider’s staff and Targeted Enterprises:</v>
      </c>
      <c r="B228" s="1452"/>
      <c r="C228" s="1452"/>
      <c r="D228" s="1452"/>
      <c r="E228" s="1452"/>
      <c r="F228" s="1452"/>
      <c r="G228" s="1452"/>
      <c r="H228" s="861"/>
      <c r="I228" s="532"/>
      <c r="J228" s="862"/>
      <c r="K228" s="532"/>
      <c r="L228" s="863"/>
    </row>
    <row r="229" spans="1:12">
      <c r="A229" s="1451" t="str">
        <f>'Pricing Schedule'!A281&amp;" " &amp;'Pricing Schedule'!B281</f>
        <v xml:space="preserve"> (i)   Assistant Contract Engineer</v>
      </c>
      <c r="B229" s="1452"/>
      <c r="C229" s="1452"/>
      <c r="D229" s="1452"/>
      <c r="E229" s="1452"/>
      <c r="F229" s="1452"/>
      <c r="G229" s="1452"/>
      <c r="H229" s="861">
        <f>'Pricing Schedule'!F281</f>
        <v>400000</v>
      </c>
      <c r="I229" s="532"/>
      <c r="J229" s="532"/>
      <c r="K229" s="864">
        <f>IF(H229=0,L229/100,(L229/H229))</f>
        <v>0</v>
      </c>
      <c r="L229" s="863">
        <f>SUM(L230:L236)</f>
        <v>0</v>
      </c>
    </row>
    <row r="230" spans="1:12">
      <c r="A230" s="1453"/>
      <c r="B230" s="1454"/>
      <c r="C230" s="1454"/>
      <c r="D230" s="1454"/>
      <c r="E230" s="1454"/>
      <c r="F230" s="1454"/>
      <c r="G230" s="1454"/>
      <c r="H230" s="877"/>
      <c r="I230" s="878"/>
      <c r="J230" s="879"/>
      <c r="K230" s="880"/>
      <c r="L230" s="865">
        <f>K230*J230</f>
        <v>0</v>
      </c>
    </row>
    <row r="231" spans="1:12">
      <c r="A231" s="1453"/>
      <c r="B231" s="1454"/>
      <c r="C231" s="1454"/>
      <c r="D231" s="1454"/>
      <c r="E231" s="1454"/>
      <c r="F231" s="1454"/>
      <c r="G231" s="1454"/>
      <c r="H231" s="877"/>
      <c r="I231" s="878"/>
      <c r="J231" s="879"/>
      <c r="K231" s="880"/>
      <c r="L231" s="865">
        <f t="shared" ref="L231:L236" si="17">K231*J231</f>
        <v>0</v>
      </c>
    </row>
    <row r="232" spans="1:12">
      <c r="A232" s="1453"/>
      <c r="B232" s="1454"/>
      <c r="C232" s="1454"/>
      <c r="D232" s="1454"/>
      <c r="E232" s="1454"/>
      <c r="F232" s="1454"/>
      <c r="G232" s="1454"/>
      <c r="H232" s="877"/>
      <c r="I232" s="878"/>
      <c r="J232" s="879"/>
      <c r="K232" s="880"/>
      <c r="L232" s="865">
        <f t="shared" si="17"/>
        <v>0</v>
      </c>
    </row>
    <row r="233" spans="1:12">
      <c r="A233" s="1453"/>
      <c r="B233" s="1454"/>
      <c r="C233" s="1454"/>
      <c r="D233" s="1454"/>
      <c r="E233" s="1454"/>
      <c r="F233" s="1454"/>
      <c r="G233" s="1454"/>
      <c r="H233" s="877"/>
      <c r="I233" s="878"/>
      <c r="J233" s="879"/>
      <c r="K233" s="880"/>
      <c r="L233" s="865">
        <f t="shared" si="17"/>
        <v>0</v>
      </c>
    </row>
    <row r="234" spans="1:12">
      <c r="A234" s="1453"/>
      <c r="B234" s="1454"/>
      <c r="C234" s="1454"/>
      <c r="D234" s="1454"/>
      <c r="E234" s="1454"/>
      <c r="F234" s="1454"/>
      <c r="G234" s="1454"/>
      <c r="H234" s="877"/>
      <c r="I234" s="878"/>
      <c r="J234" s="879"/>
      <c r="K234" s="880"/>
      <c r="L234" s="865">
        <f t="shared" si="17"/>
        <v>0</v>
      </c>
    </row>
    <row r="235" spans="1:12">
      <c r="A235" s="1453"/>
      <c r="B235" s="1454"/>
      <c r="C235" s="1454"/>
      <c r="D235" s="1454"/>
      <c r="E235" s="1454"/>
      <c r="F235" s="1454"/>
      <c r="G235" s="1454"/>
      <c r="H235" s="877"/>
      <c r="I235" s="878"/>
      <c r="J235" s="879"/>
      <c r="K235" s="880"/>
      <c r="L235" s="865">
        <f t="shared" si="17"/>
        <v>0</v>
      </c>
    </row>
    <row r="236" spans="1:12">
      <c r="A236" s="1453"/>
      <c r="B236" s="1454"/>
      <c r="C236" s="1454"/>
      <c r="D236" s="1454"/>
      <c r="E236" s="1454"/>
      <c r="F236" s="1454"/>
      <c r="G236" s="1454"/>
      <c r="H236" s="877"/>
      <c r="I236" s="878"/>
      <c r="J236" s="879"/>
      <c r="K236" s="880"/>
      <c r="L236" s="865">
        <f t="shared" si="17"/>
        <v>0</v>
      </c>
    </row>
    <row r="237" spans="1:12">
      <c r="A237" s="1451" t="str">
        <f>'Pricing Schedule'!A282&amp;" " &amp;'Pricing Schedule'!B282</f>
        <v xml:space="preserve"> (ii)  Disbursements</v>
      </c>
      <c r="B237" s="1452"/>
      <c r="C237" s="1452"/>
      <c r="D237" s="1452"/>
      <c r="E237" s="1452"/>
      <c r="F237" s="1452"/>
      <c r="G237" s="1452"/>
      <c r="H237" s="861">
        <f>'Pricing Schedule'!F282</f>
        <v>100000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53"/>
      <c r="B238" s="1454"/>
      <c r="C238" s="1454"/>
      <c r="D238" s="1454"/>
      <c r="E238" s="1454"/>
      <c r="F238" s="1454"/>
      <c r="G238" s="1454"/>
      <c r="H238" s="877"/>
      <c r="I238" s="878"/>
      <c r="J238" s="879"/>
      <c r="K238" s="880"/>
      <c r="L238" s="865">
        <f>K238*J238</f>
        <v>0</v>
      </c>
    </row>
    <row r="239" spans="1:12">
      <c r="A239" s="1453"/>
      <c r="B239" s="1454"/>
      <c r="C239" s="1454"/>
      <c r="D239" s="1454"/>
      <c r="E239" s="1454"/>
      <c r="F239" s="1454"/>
      <c r="G239" s="1454"/>
      <c r="H239" s="877"/>
      <c r="I239" s="878"/>
      <c r="J239" s="879"/>
      <c r="K239" s="880"/>
      <c r="L239" s="865">
        <f t="shared" ref="L239:L244" si="18">K239*J239</f>
        <v>0</v>
      </c>
    </row>
    <row r="240" spans="1:12">
      <c r="A240" s="1453"/>
      <c r="B240" s="1454"/>
      <c r="C240" s="1454"/>
      <c r="D240" s="1454"/>
      <c r="E240" s="1454"/>
      <c r="F240" s="1454"/>
      <c r="G240" s="1454"/>
      <c r="H240" s="877"/>
      <c r="I240" s="878"/>
      <c r="J240" s="879"/>
      <c r="K240" s="880"/>
      <c r="L240" s="865">
        <f t="shared" si="18"/>
        <v>0</v>
      </c>
    </row>
    <row r="241" spans="1:12">
      <c r="A241" s="1453"/>
      <c r="B241" s="1454"/>
      <c r="C241" s="1454"/>
      <c r="D241" s="1454"/>
      <c r="E241" s="1454"/>
      <c r="F241" s="1454"/>
      <c r="G241" s="1454"/>
      <c r="H241" s="877"/>
      <c r="I241" s="878"/>
      <c r="J241" s="879"/>
      <c r="K241" s="880"/>
      <c r="L241" s="865">
        <f t="shared" si="18"/>
        <v>0</v>
      </c>
    </row>
    <row r="242" spans="1:12">
      <c r="A242" s="1453"/>
      <c r="B242" s="1454"/>
      <c r="C242" s="1454"/>
      <c r="D242" s="1454"/>
      <c r="E242" s="1454"/>
      <c r="F242" s="1454"/>
      <c r="G242" s="1454"/>
      <c r="H242" s="877"/>
      <c r="I242" s="878"/>
      <c r="J242" s="879"/>
      <c r="K242" s="880"/>
      <c r="L242" s="865">
        <f t="shared" si="18"/>
        <v>0</v>
      </c>
    </row>
    <row r="243" spans="1:12">
      <c r="A243" s="1453"/>
      <c r="B243" s="1454"/>
      <c r="C243" s="1454"/>
      <c r="D243" s="1454"/>
      <c r="E243" s="1454"/>
      <c r="F243" s="1454"/>
      <c r="G243" s="1454"/>
      <c r="H243" s="877"/>
      <c r="I243" s="878"/>
      <c r="J243" s="879"/>
      <c r="K243" s="880"/>
      <c r="L243" s="865">
        <f t="shared" si="18"/>
        <v>0</v>
      </c>
    </row>
    <row r="244" spans="1:12">
      <c r="A244" s="1453"/>
      <c r="B244" s="1454"/>
      <c r="C244" s="1454"/>
      <c r="D244" s="1454"/>
      <c r="E244" s="1454"/>
      <c r="F244" s="1454"/>
      <c r="G244" s="1454"/>
      <c r="H244" s="877"/>
      <c r="I244" s="878"/>
      <c r="J244" s="879"/>
      <c r="K244" s="880"/>
      <c r="L244" s="865">
        <f t="shared" si="18"/>
        <v>0</v>
      </c>
    </row>
    <row r="245" spans="1:12" ht="14.4">
      <c r="A245" s="1451" t="str">
        <f>'Pricing Schedule'!A283&amp;" " &amp;'Pricing Schedule'!B283</f>
        <v>3.7.2 Occupational Health and Safety obligations</v>
      </c>
      <c r="B245" s="1452"/>
      <c r="C245" s="1452"/>
      <c r="D245" s="1452"/>
      <c r="E245" s="1452"/>
      <c r="F245" s="1452"/>
      <c r="G245" s="1452"/>
      <c r="H245" s="861"/>
      <c r="I245" s="532"/>
      <c r="J245" s="862"/>
      <c r="K245" s="532"/>
      <c r="L245" s="863"/>
    </row>
    <row r="246" spans="1:12">
      <c r="A246" s="1451" t="str">
        <f>'Pricing Schedule'!A285&amp;" " &amp;'Pricing Schedule'!B285</f>
        <v xml:space="preserve"> (b) external site audits</v>
      </c>
      <c r="B246" s="1452"/>
      <c r="C246" s="1452"/>
      <c r="D246" s="1452"/>
      <c r="E246" s="1452"/>
      <c r="F246" s="1452"/>
      <c r="G246" s="1452"/>
      <c r="H246" s="861">
        <f>'Pricing Schedule'!F285</f>
        <v>30000</v>
      </c>
      <c r="I246" s="532"/>
      <c r="J246" s="532"/>
      <c r="K246" s="864">
        <f>IF(H246=0,L246/100,(L246/H246))</f>
        <v>0</v>
      </c>
      <c r="L246" s="863">
        <f>SUM(L247:L253)</f>
        <v>0</v>
      </c>
    </row>
    <row r="247" spans="1:12">
      <c r="A247" s="1453"/>
      <c r="B247" s="1454"/>
      <c r="C247" s="1454"/>
      <c r="D247" s="1454"/>
      <c r="E247" s="1454"/>
      <c r="F247" s="1454"/>
      <c r="G247" s="1454"/>
      <c r="H247" s="877"/>
      <c r="I247" s="878"/>
      <c r="J247" s="879"/>
      <c r="K247" s="880"/>
      <c r="L247" s="865">
        <f>K247*J247</f>
        <v>0</v>
      </c>
    </row>
    <row r="248" spans="1:12">
      <c r="A248" s="1453"/>
      <c r="B248" s="1454"/>
      <c r="C248" s="1454"/>
      <c r="D248" s="1454"/>
      <c r="E248" s="1454"/>
      <c r="F248" s="1454"/>
      <c r="G248" s="1454"/>
      <c r="H248" s="877"/>
      <c r="I248" s="878"/>
      <c r="J248" s="879"/>
      <c r="K248" s="880"/>
      <c r="L248" s="865">
        <f t="shared" ref="L248:L253" si="19">K248*J248</f>
        <v>0</v>
      </c>
    </row>
    <row r="249" spans="1:12">
      <c r="A249" s="1453"/>
      <c r="B249" s="1454"/>
      <c r="C249" s="1454"/>
      <c r="D249" s="1454"/>
      <c r="E249" s="1454"/>
      <c r="F249" s="1454"/>
      <c r="G249" s="1454"/>
      <c r="H249" s="877"/>
      <c r="I249" s="878"/>
      <c r="J249" s="879"/>
      <c r="K249" s="880"/>
      <c r="L249" s="865">
        <f t="shared" si="19"/>
        <v>0</v>
      </c>
    </row>
    <row r="250" spans="1:12">
      <c r="A250" s="1453"/>
      <c r="B250" s="1454"/>
      <c r="C250" s="1454"/>
      <c r="D250" s="1454"/>
      <c r="E250" s="1454"/>
      <c r="F250" s="1454"/>
      <c r="G250" s="1454"/>
      <c r="H250" s="877"/>
      <c r="I250" s="878"/>
      <c r="J250" s="879"/>
      <c r="K250" s="880"/>
      <c r="L250" s="865">
        <f t="shared" si="19"/>
        <v>0</v>
      </c>
    </row>
    <row r="251" spans="1:12">
      <c r="A251" s="1453"/>
      <c r="B251" s="1454"/>
      <c r="C251" s="1454"/>
      <c r="D251" s="1454"/>
      <c r="E251" s="1454"/>
      <c r="F251" s="1454"/>
      <c r="G251" s="1454"/>
      <c r="H251" s="877"/>
      <c r="I251" s="878"/>
      <c r="J251" s="879"/>
      <c r="K251" s="880"/>
      <c r="L251" s="865">
        <f t="shared" si="19"/>
        <v>0</v>
      </c>
    </row>
    <row r="252" spans="1:12">
      <c r="A252" s="1453"/>
      <c r="B252" s="1454"/>
      <c r="C252" s="1454"/>
      <c r="D252" s="1454"/>
      <c r="E252" s="1454"/>
      <c r="F252" s="1454"/>
      <c r="G252" s="1454"/>
      <c r="H252" s="877"/>
      <c r="I252" s="878"/>
      <c r="J252" s="879"/>
      <c r="K252" s="880"/>
      <c r="L252" s="865">
        <f t="shared" si="19"/>
        <v>0</v>
      </c>
    </row>
    <row r="253" spans="1:12">
      <c r="A253" s="1453"/>
      <c r="B253" s="1454"/>
      <c r="C253" s="1454"/>
      <c r="D253" s="1454"/>
      <c r="E253" s="1454"/>
      <c r="F253" s="1454"/>
      <c r="G253" s="1454"/>
      <c r="H253" s="877"/>
      <c r="I253" s="878"/>
      <c r="J253" s="879"/>
      <c r="K253" s="880"/>
      <c r="L253" s="865">
        <f t="shared" si="19"/>
        <v>0</v>
      </c>
    </row>
    <row r="254" spans="1:12" ht="14.4">
      <c r="A254" s="1451" t="str">
        <f>'Pricing Schedule'!A287&amp;" " &amp;'Pricing Schedule'!B287</f>
        <v>3.7.3 Establishment of supervisory personnel on site</v>
      </c>
      <c r="B254" s="1452"/>
      <c r="C254" s="1452"/>
      <c r="D254" s="1452"/>
      <c r="E254" s="1452"/>
      <c r="F254" s="1452"/>
      <c r="G254" s="1452"/>
      <c r="H254" s="861"/>
      <c r="I254" s="532"/>
      <c r="J254" s="862"/>
      <c r="K254" s="532"/>
      <c r="L254" s="863"/>
    </row>
    <row r="255" spans="1:12">
      <c r="A255" s="1451" t="str">
        <f>'Pricing Schedule'!A288&amp;" " &amp;'Pricing Schedule'!B288</f>
        <v xml:space="preserve"> (a) Relocation costs of individual site personnel</v>
      </c>
      <c r="B255" s="1452"/>
      <c r="C255" s="1452"/>
      <c r="D255" s="1452"/>
      <c r="E255" s="1452"/>
      <c r="F255" s="1452"/>
      <c r="G255" s="1452"/>
      <c r="H255" s="861">
        <f>'Pricing Schedule'!F288</f>
        <v>100000</v>
      </c>
      <c r="I255" s="532"/>
      <c r="J255" s="532"/>
      <c r="K255" s="864">
        <f>IF(H255=0,L255/100,(L255/H255))</f>
        <v>0</v>
      </c>
      <c r="L255" s="863">
        <f>SUM(L256:L262)</f>
        <v>0</v>
      </c>
    </row>
    <row r="256" spans="1:12">
      <c r="A256" s="1453"/>
      <c r="B256" s="1454"/>
      <c r="C256" s="1454"/>
      <c r="D256" s="1454"/>
      <c r="E256" s="1454"/>
      <c r="F256" s="1454"/>
      <c r="G256" s="1454"/>
      <c r="H256" s="877"/>
      <c r="I256" s="878"/>
      <c r="J256" s="879"/>
      <c r="K256" s="880"/>
      <c r="L256" s="865">
        <f>K256*J256</f>
        <v>0</v>
      </c>
    </row>
    <row r="257" spans="1:12">
      <c r="A257" s="1453"/>
      <c r="B257" s="1454"/>
      <c r="C257" s="1454"/>
      <c r="D257" s="1454"/>
      <c r="E257" s="1454"/>
      <c r="F257" s="1454"/>
      <c r="G257" s="1454"/>
      <c r="H257" s="877"/>
      <c r="I257" s="878"/>
      <c r="J257" s="879"/>
      <c r="K257" s="880"/>
      <c r="L257" s="865">
        <f t="shared" ref="L257:L262" si="20">K257*J257</f>
        <v>0</v>
      </c>
    </row>
    <row r="258" spans="1:12">
      <c r="A258" s="1453"/>
      <c r="B258" s="1454"/>
      <c r="C258" s="1454"/>
      <c r="D258" s="1454"/>
      <c r="E258" s="1454"/>
      <c r="F258" s="1454"/>
      <c r="G258" s="1454"/>
      <c r="H258" s="877"/>
      <c r="I258" s="878"/>
      <c r="J258" s="879"/>
      <c r="K258" s="880"/>
      <c r="L258" s="865">
        <f t="shared" si="20"/>
        <v>0</v>
      </c>
    </row>
    <row r="259" spans="1:12">
      <c r="A259" s="1453"/>
      <c r="B259" s="1454"/>
      <c r="C259" s="1454"/>
      <c r="D259" s="1454"/>
      <c r="E259" s="1454"/>
      <c r="F259" s="1454"/>
      <c r="G259" s="1454"/>
      <c r="H259" s="877"/>
      <c r="I259" s="878"/>
      <c r="J259" s="879"/>
      <c r="K259" s="880"/>
      <c r="L259" s="865">
        <f t="shared" si="20"/>
        <v>0</v>
      </c>
    </row>
    <row r="260" spans="1:12">
      <c r="A260" s="1453"/>
      <c r="B260" s="1454"/>
      <c r="C260" s="1454"/>
      <c r="D260" s="1454"/>
      <c r="E260" s="1454"/>
      <c r="F260" s="1454"/>
      <c r="G260" s="1454"/>
      <c r="H260" s="877"/>
      <c r="I260" s="878"/>
      <c r="J260" s="879"/>
      <c r="K260" s="880"/>
      <c r="L260" s="865">
        <f t="shared" si="20"/>
        <v>0</v>
      </c>
    </row>
    <row r="261" spans="1:12">
      <c r="A261" s="1453"/>
      <c r="B261" s="1454"/>
      <c r="C261" s="1454"/>
      <c r="D261" s="1454"/>
      <c r="E261" s="1454"/>
      <c r="F261" s="1454"/>
      <c r="G261" s="1454"/>
      <c r="H261" s="877"/>
      <c r="I261" s="878"/>
      <c r="J261" s="879"/>
      <c r="K261" s="880"/>
      <c r="L261" s="865">
        <f t="shared" si="20"/>
        <v>0</v>
      </c>
    </row>
    <row r="262" spans="1:12">
      <c r="A262" s="1453"/>
      <c r="B262" s="1454"/>
      <c r="C262" s="1454"/>
      <c r="D262" s="1454"/>
      <c r="E262" s="1454"/>
      <c r="F262" s="1454"/>
      <c r="G262" s="1454"/>
      <c r="H262" s="877"/>
      <c r="I262" s="878"/>
      <c r="J262" s="879"/>
      <c r="K262" s="880"/>
      <c r="L262" s="865">
        <f t="shared" si="20"/>
        <v>0</v>
      </c>
    </row>
    <row r="263" spans="1:12" ht="14.4">
      <c r="A263" s="1451" t="str">
        <f>'Pricing Schedule'!A291&amp;" " &amp;'Pricing Schedule'!B291</f>
        <v>3.7.4 Provision of Supervisory Staff and Equipment</v>
      </c>
      <c r="B263" s="1452"/>
      <c r="C263" s="1452"/>
      <c r="D263" s="1452"/>
      <c r="E263" s="1452"/>
      <c r="F263" s="1452"/>
      <c r="G263" s="1452"/>
      <c r="H263" s="861"/>
      <c r="I263" s="532"/>
      <c r="J263" s="862"/>
      <c r="K263" s="532"/>
      <c r="L263" s="863"/>
    </row>
    <row r="264" spans="1:12">
      <c r="A264" s="1451" t="str">
        <f>'Pricing Schedule'!A292&amp;" " &amp;'Pricing Schedule'!B292</f>
        <v xml:space="preserve"> (a) Site supervision staff</v>
      </c>
      <c r="B264" s="1452"/>
      <c r="C264" s="1452"/>
      <c r="D264" s="1452"/>
      <c r="E264" s="1452"/>
      <c r="F264" s="1452"/>
      <c r="G264" s="1452"/>
      <c r="H264" s="861">
        <f>'Pricing Schedule'!F292</f>
        <v>11000000</v>
      </c>
      <c r="I264" s="532"/>
      <c r="J264" s="532"/>
      <c r="K264" s="864">
        <f>IF(H264=0,L264/100,(L264/H264))</f>
        <v>0</v>
      </c>
      <c r="L264" s="863">
        <f>SUM(L265:L271)</f>
        <v>0</v>
      </c>
    </row>
    <row r="265" spans="1:12">
      <c r="A265" s="1453"/>
      <c r="B265" s="1454"/>
      <c r="C265" s="1454"/>
      <c r="D265" s="1454"/>
      <c r="E265" s="1454"/>
      <c r="F265" s="1454"/>
      <c r="G265" s="1454"/>
      <c r="H265" s="877"/>
      <c r="I265" s="878"/>
      <c r="J265" s="879"/>
      <c r="K265" s="880"/>
      <c r="L265" s="865">
        <f>K265*J265</f>
        <v>0</v>
      </c>
    </row>
    <row r="266" spans="1:12">
      <c r="A266" s="1453"/>
      <c r="B266" s="1454"/>
      <c r="C266" s="1454"/>
      <c r="D266" s="1454"/>
      <c r="E266" s="1454"/>
      <c r="F266" s="1454"/>
      <c r="G266" s="1454"/>
      <c r="H266" s="877"/>
      <c r="I266" s="878"/>
      <c r="J266" s="879"/>
      <c r="K266" s="880"/>
      <c r="L266" s="865">
        <f t="shared" ref="L266:L271" si="21">K266*J266</f>
        <v>0</v>
      </c>
    </row>
    <row r="267" spans="1:12">
      <c r="A267" s="1453"/>
      <c r="B267" s="1454"/>
      <c r="C267" s="1454"/>
      <c r="D267" s="1454"/>
      <c r="E267" s="1454"/>
      <c r="F267" s="1454"/>
      <c r="G267" s="1454"/>
      <c r="H267" s="877"/>
      <c r="I267" s="878"/>
      <c r="J267" s="879"/>
      <c r="K267" s="880"/>
      <c r="L267" s="865">
        <f t="shared" si="21"/>
        <v>0</v>
      </c>
    </row>
    <row r="268" spans="1:12">
      <c r="A268" s="1453"/>
      <c r="B268" s="1454"/>
      <c r="C268" s="1454"/>
      <c r="D268" s="1454"/>
      <c r="E268" s="1454"/>
      <c r="F268" s="1454"/>
      <c r="G268" s="1454"/>
      <c r="H268" s="877"/>
      <c r="I268" s="878"/>
      <c r="J268" s="879"/>
      <c r="K268" s="880"/>
      <c r="L268" s="865">
        <f t="shared" si="21"/>
        <v>0</v>
      </c>
    </row>
    <row r="269" spans="1:12">
      <c r="A269" s="1453"/>
      <c r="B269" s="1454"/>
      <c r="C269" s="1454"/>
      <c r="D269" s="1454"/>
      <c r="E269" s="1454"/>
      <c r="F269" s="1454"/>
      <c r="G269" s="1454"/>
      <c r="H269" s="877"/>
      <c r="I269" s="878"/>
      <c r="J269" s="879"/>
      <c r="K269" s="880"/>
      <c r="L269" s="865">
        <f t="shared" si="21"/>
        <v>0</v>
      </c>
    </row>
    <row r="270" spans="1:12">
      <c r="A270" s="1453"/>
      <c r="B270" s="1454"/>
      <c r="C270" s="1454"/>
      <c r="D270" s="1454"/>
      <c r="E270" s="1454"/>
      <c r="F270" s="1454"/>
      <c r="G270" s="1454"/>
      <c r="H270" s="877"/>
      <c r="I270" s="878"/>
      <c r="J270" s="879"/>
      <c r="K270" s="880"/>
      <c r="L270" s="865">
        <f t="shared" si="21"/>
        <v>0</v>
      </c>
    </row>
    <row r="271" spans="1:12">
      <c r="A271" s="1453"/>
      <c r="B271" s="1454"/>
      <c r="C271" s="1454"/>
      <c r="D271" s="1454"/>
      <c r="E271" s="1454"/>
      <c r="F271" s="1454"/>
      <c r="G271" s="1454"/>
      <c r="H271" s="877"/>
      <c r="I271" s="878"/>
      <c r="J271" s="879"/>
      <c r="K271" s="880"/>
      <c r="L271" s="865">
        <f t="shared" si="21"/>
        <v>0</v>
      </c>
    </row>
    <row r="272" spans="1:12">
      <c r="A272" s="1451" t="str">
        <f>'Pricing Schedule'!A294&amp;" " &amp;'Pricing Schedule'!B294</f>
        <v xml:space="preserve"> (c) Surveyor and assistants</v>
      </c>
      <c r="B272" s="1452"/>
      <c r="C272" s="1452"/>
      <c r="D272" s="1452"/>
      <c r="E272" s="1452"/>
      <c r="F272" s="1452"/>
      <c r="G272" s="1452"/>
      <c r="H272" s="861">
        <f>'Pricing Schedule'!F294</f>
        <v>700000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53"/>
      <c r="B273" s="1454"/>
      <c r="C273" s="1454"/>
      <c r="D273" s="1454"/>
      <c r="E273" s="1454"/>
      <c r="F273" s="1454"/>
      <c r="G273" s="1454"/>
      <c r="H273" s="877"/>
      <c r="I273" s="878"/>
      <c r="J273" s="879"/>
      <c r="K273" s="880"/>
      <c r="L273" s="865">
        <f>K273*J273</f>
        <v>0</v>
      </c>
    </row>
    <row r="274" spans="1:12">
      <c r="A274" s="1453"/>
      <c r="B274" s="1454"/>
      <c r="C274" s="1454"/>
      <c r="D274" s="1454"/>
      <c r="E274" s="1454"/>
      <c r="F274" s="1454"/>
      <c r="G274" s="1454"/>
      <c r="H274" s="877"/>
      <c r="I274" s="878"/>
      <c r="J274" s="879"/>
      <c r="K274" s="880"/>
      <c r="L274" s="865">
        <f t="shared" ref="L274:L279" si="22">K274*J274</f>
        <v>0</v>
      </c>
    </row>
    <row r="275" spans="1:12">
      <c r="A275" s="1453"/>
      <c r="B275" s="1454"/>
      <c r="C275" s="1454"/>
      <c r="D275" s="1454"/>
      <c r="E275" s="1454"/>
      <c r="F275" s="1454"/>
      <c r="G275" s="1454"/>
      <c r="H275" s="877"/>
      <c r="I275" s="878"/>
      <c r="J275" s="879"/>
      <c r="K275" s="880"/>
      <c r="L275" s="865">
        <f t="shared" si="22"/>
        <v>0</v>
      </c>
    </row>
    <row r="276" spans="1:12">
      <c r="A276" s="1453"/>
      <c r="B276" s="1454"/>
      <c r="C276" s="1454"/>
      <c r="D276" s="1454"/>
      <c r="E276" s="1454"/>
      <c r="F276" s="1454"/>
      <c r="G276" s="1454"/>
      <c r="H276" s="877"/>
      <c r="I276" s="878"/>
      <c r="J276" s="879"/>
      <c r="K276" s="880"/>
      <c r="L276" s="865">
        <f t="shared" si="22"/>
        <v>0</v>
      </c>
    </row>
    <row r="277" spans="1:12">
      <c r="A277" s="1453"/>
      <c r="B277" s="1454"/>
      <c r="C277" s="1454"/>
      <c r="D277" s="1454"/>
      <c r="E277" s="1454"/>
      <c r="F277" s="1454"/>
      <c r="G277" s="1454"/>
      <c r="H277" s="877"/>
      <c r="I277" s="878"/>
      <c r="J277" s="879"/>
      <c r="K277" s="880"/>
      <c r="L277" s="865">
        <f t="shared" si="22"/>
        <v>0</v>
      </c>
    </row>
    <row r="278" spans="1:12">
      <c r="A278" s="1453"/>
      <c r="B278" s="1454"/>
      <c r="C278" s="1454"/>
      <c r="D278" s="1454"/>
      <c r="E278" s="1454"/>
      <c r="F278" s="1454"/>
      <c r="G278" s="1454"/>
      <c r="H278" s="877"/>
      <c r="I278" s="878"/>
      <c r="J278" s="879"/>
      <c r="K278" s="880"/>
      <c r="L278" s="865">
        <f t="shared" si="22"/>
        <v>0</v>
      </c>
    </row>
    <row r="279" spans="1:12">
      <c r="A279" s="1453"/>
      <c r="B279" s="1454"/>
      <c r="C279" s="1454"/>
      <c r="D279" s="1454"/>
      <c r="E279" s="1454"/>
      <c r="F279" s="1454"/>
      <c r="G279" s="1454"/>
      <c r="H279" s="877"/>
      <c r="I279" s="878"/>
      <c r="J279" s="879"/>
      <c r="K279" s="880"/>
      <c r="L279" s="865">
        <f t="shared" si="22"/>
        <v>0</v>
      </c>
    </row>
    <row r="280" spans="1:12">
      <c r="A280" s="1451" t="str">
        <f>'Pricing Schedule'!A297&amp;" " &amp;'Pricing Schedule'!B297</f>
        <v xml:space="preserve"> (f) Project Liaison Officer (PLO)</v>
      </c>
      <c r="B280" s="1452"/>
      <c r="C280" s="1452"/>
      <c r="D280" s="1452"/>
      <c r="E280" s="1452"/>
      <c r="F280" s="1452"/>
      <c r="G280" s="1452"/>
      <c r="H280" s="861">
        <f>'Pricing Schedule'!F297</f>
        <v>250000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53"/>
      <c r="B281" s="1454"/>
      <c r="C281" s="1454"/>
      <c r="D281" s="1454"/>
      <c r="E281" s="1454"/>
      <c r="F281" s="1454"/>
      <c r="G281" s="1454"/>
      <c r="H281" s="877"/>
      <c r="I281" s="878"/>
      <c r="J281" s="879"/>
      <c r="K281" s="880"/>
      <c r="L281" s="865">
        <f>K281*J281</f>
        <v>0</v>
      </c>
    </row>
    <row r="282" spans="1:12">
      <c r="A282" s="1453"/>
      <c r="B282" s="1454"/>
      <c r="C282" s="1454"/>
      <c r="D282" s="1454"/>
      <c r="E282" s="1454"/>
      <c r="F282" s="1454"/>
      <c r="G282" s="1454"/>
      <c r="H282" s="877"/>
      <c r="I282" s="878"/>
      <c r="J282" s="879"/>
      <c r="K282" s="880"/>
      <c r="L282" s="865">
        <f t="shared" ref="L282:L287" si="23">K282*J282</f>
        <v>0</v>
      </c>
    </row>
    <row r="283" spans="1:12">
      <c r="A283" s="1453"/>
      <c r="B283" s="1454"/>
      <c r="C283" s="1454"/>
      <c r="D283" s="1454"/>
      <c r="E283" s="1454"/>
      <c r="F283" s="1454"/>
      <c r="G283" s="1454"/>
      <c r="H283" s="877"/>
      <c r="I283" s="878"/>
      <c r="J283" s="879"/>
      <c r="K283" s="880"/>
      <c r="L283" s="865">
        <f t="shared" si="23"/>
        <v>0</v>
      </c>
    </row>
    <row r="284" spans="1:12">
      <c r="A284" s="1453"/>
      <c r="B284" s="1454"/>
      <c r="C284" s="1454"/>
      <c r="D284" s="1454"/>
      <c r="E284" s="1454"/>
      <c r="F284" s="1454"/>
      <c r="G284" s="1454"/>
      <c r="H284" s="877"/>
      <c r="I284" s="878"/>
      <c r="J284" s="879"/>
      <c r="K284" s="880"/>
      <c r="L284" s="865">
        <f t="shared" si="23"/>
        <v>0</v>
      </c>
    </row>
    <row r="285" spans="1:12">
      <c r="A285" s="1453"/>
      <c r="B285" s="1454"/>
      <c r="C285" s="1454"/>
      <c r="D285" s="1454"/>
      <c r="E285" s="1454"/>
      <c r="F285" s="1454"/>
      <c r="G285" s="1454"/>
      <c r="H285" s="877"/>
      <c r="I285" s="878"/>
      <c r="J285" s="879"/>
      <c r="K285" s="880"/>
      <c r="L285" s="865">
        <f t="shared" si="23"/>
        <v>0</v>
      </c>
    </row>
    <row r="286" spans="1:12">
      <c r="A286" s="1453"/>
      <c r="B286" s="1454"/>
      <c r="C286" s="1454"/>
      <c r="D286" s="1454"/>
      <c r="E286" s="1454"/>
      <c r="F286" s="1454"/>
      <c r="G286" s="1454"/>
      <c r="H286" s="877"/>
      <c r="I286" s="878"/>
      <c r="J286" s="879"/>
      <c r="K286" s="880"/>
      <c r="L286" s="865">
        <f t="shared" si="23"/>
        <v>0</v>
      </c>
    </row>
    <row r="287" spans="1:12">
      <c r="A287" s="1453"/>
      <c r="B287" s="1454"/>
      <c r="C287" s="1454"/>
      <c r="D287" s="1454"/>
      <c r="E287" s="1454"/>
      <c r="F287" s="1454"/>
      <c r="G287" s="1454"/>
      <c r="H287" s="877"/>
      <c r="I287" s="878"/>
      <c r="J287" s="879"/>
      <c r="K287" s="880"/>
      <c r="L287" s="865">
        <f t="shared" si="23"/>
        <v>0</v>
      </c>
    </row>
    <row r="288" spans="1:12">
      <c r="A288" s="1451" t="str">
        <f>'Pricing Schedule'!A299&amp;" " &amp;'Pricing Schedule'!B299</f>
        <v xml:space="preserve"> (h) Accommodation for supervisory staff</v>
      </c>
      <c r="B288" s="1452"/>
      <c r="C288" s="1452"/>
      <c r="D288" s="1452"/>
      <c r="E288" s="1452"/>
      <c r="F288" s="1452"/>
      <c r="G288" s="1452"/>
      <c r="H288" s="861">
        <f>'Pricing Schedule'!F299</f>
        <v>1500000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53"/>
      <c r="B289" s="1454"/>
      <c r="C289" s="1454"/>
      <c r="D289" s="1454"/>
      <c r="E289" s="1454"/>
      <c r="F289" s="1454"/>
      <c r="G289" s="1454"/>
      <c r="H289" s="877"/>
      <c r="I289" s="878"/>
      <c r="J289" s="879"/>
      <c r="K289" s="880"/>
      <c r="L289" s="865">
        <f>K289*J289</f>
        <v>0</v>
      </c>
    </row>
    <row r="290" spans="1:12">
      <c r="A290" s="1453"/>
      <c r="B290" s="1454"/>
      <c r="C290" s="1454"/>
      <c r="D290" s="1454"/>
      <c r="E290" s="1454"/>
      <c r="F290" s="1454"/>
      <c r="G290" s="1454"/>
      <c r="H290" s="877"/>
      <c r="I290" s="878"/>
      <c r="J290" s="879"/>
      <c r="K290" s="880"/>
      <c r="L290" s="865">
        <f t="shared" ref="L290:L295" si="24">K290*J290</f>
        <v>0</v>
      </c>
    </row>
    <row r="291" spans="1:12">
      <c r="A291" s="1453"/>
      <c r="B291" s="1454"/>
      <c r="C291" s="1454"/>
      <c r="D291" s="1454"/>
      <c r="E291" s="1454"/>
      <c r="F291" s="1454"/>
      <c r="G291" s="1454"/>
      <c r="H291" s="877"/>
      <c r="I291" s="878"/>
      <c r="J291" s="879"/>
      <c r="K291" s="880"/>
      <c r="L291" s="865">
        <f t="shared" si="24"/>
        <v>0</v>
      </c>
    </row>
    <row r="292" spans="1:12">
      <c r="A292" s="1453"/>
      <c r="B292" s="1454"/>
      <c r="C292" s="1454"/>
      <c r="D292" s="1454"/>
      <c r="E292" s="1454"/>
      <c r="F292" s="1454"/>
      <c r="G292" s="1454"/>
      <c r="H292" s="877"/>
      <c r="I292" s="878"/>
      <c r="J292" s="879"/>
      <c r="K292" s="880"/>
      <c r="L292" s="865">
        <f t="shared" si="24"/>
        <v>0</v>
      </c>
    </row>
    <row r="293" spans="1:12">
      <c r="A293" s="1453"/>
      <c r="B293" s="1454"/>
      <c r="C293" s="1454"/>
      <c r="D293" s="1454"/>
      <c r="E293" s="1454"/>
      <c r="F293" s="1454"/>
      <c r="G293" s="1454"/>
      <c r="H293" s="877"/>
      <c r="I293" s="878"/>
      <c r="J293" s="879"/>
      <c r="K293" s="880"/>
      <c r="L293" s="865">
        <f t="shared" si="24"/>
        <v>0</v>
      </c>
    </row>
    <row r="294" spans="1:12">
      <c r="A294" s="1453"/>
      <c r="B294" s="1454"/>
      <c r="C294" s="1454"/>
      <c r="D294" s="1454"/>
      <c r="E294" s="1454"/>
      <c r="F294" s="1454"/>
      <c r="G294" s="1454"/>
      <c r="H294" s="877"/>
      <c r="I294" s="878"/>
      <c r="J294" s="879"/>
      <c r="K294" s="880"/>
      <c r="L294" s="865">
        <f t="shared" si="24"/>
        <v>0</v>
      </c>
    </row>
    <row r="295" spans="1:12">
      <c r="A295" s="1453"/>
      <c r="B295" s="1454"/>
      <c r="C295" s="1454"/>
      <c r="D295" s="1454"/>
      <c r="E295" s="1454"/>
      <c r="F295" s="1454"/>
      <c r="G295" s="1454"/>
      <c r="H295" s="877"/>
      <c r="I295" s="878"/>
      <c r="J295" s="879"/>
      <c r="K295" s="880"/>
      <c r="L295" s="865">
        <f t="shared" si="24"/>
        <v>0</v>
      </c>
    </row>
    <row r="296" spans="1:12" ht="14.4">
      <c r="A296" s="1451" t="str">
        <f>'Pricing Schedule'!A301&amp;" " &amp;'Pricing Schedule'!B301</f>
        <v>3.7.5 Training</v>
      </c>
      <c r="B296" s="1452"/>
      <c r="C296" s="1452"/>
      <c r="D296" s="1452"/>
      <c r="E296" s="1452"/>
      <c r="F296" s="1452"/>
      <c r="G296" s="1452"/>
      <c r="H296" s="861"/>
      <c r="I296" s="532"/>
      <c r="J296" s="862"/>
      <c r="K296" s="532"/>
      <c r="L296" s="863"/>
    </row>
    <row r="297" spans="1:12">
      <c r="A297" s="1451" t="str">
        <f>'Pricing Schedule'!A304&amp;" " &amp;'Pricing Schedule'!B304</f>
        <v xml:space="preserve"> (c)   Student stipend</v>
      </c>
      <c r="B297" s="1452"/>
      <c r="C297" s="1452"/>
      <c r="D297" s="1452"/>
      <c r="E297" s="1452"/>
      <c r="F297" s="1452"/>
      <c r="G297" s="1452"/>
      <c r="H297" s="861">
        <f>'Pricing Schedule'!F304</f>
        <v>300000</v>
      </c>
      <c r="I297" s="532"/>
      <c r="J297" s="532"/>
      <c r="K297" s="864">
        <f>IF(H297=0,L297/100,(L297/H297))</f>
        <v>0</v>
      </c>
      <c r="L297" s="863">
        <f>SUM(L298:L304)</f>
        <v>0</v>
      </c>
    </row>
    <row r="298" spans="1:12">
      <c r="A298" s="1453"/>
      <c r="B298" s="1454"/>
      <c r="C298" s="1454"/>
      <c r="D298" s="1454"/>
      <c r="E298" s="1454"/>
      <c r="F298" s="1454"/>
      <c r="G298" s="1454"/>
      <c r="H298" s="877"/>
      <c r="I298" s="878"/>
      <c r="J298" s="879"/>
      <c r="K298" s="880"/>
      <c r="L298" s="865">
        <f>K298*J298</f>
        <v>0</v>
      </c>
    </row>
    <row r="299" spans="1:12">
      <c r="A299" s="1453"/>
      <c r="B299" s="1454"/>
      <c r="C299" s="1454"/>
      <c r="D299" s="1454"/>
      <c r="E299" s="1454"/>
      <c r="F299" s="1454"/>
      <c r="G299" s="1454"/>
      <c r="H299" s="877"/>
      <c r="I299" s="878"/>
      <c r="J299" s="879"/>
      <c r="K299" s="880"/>
      <c r="L299" s="865">
        <f t="shared" ref="L299:L304" si="25">K299*J299</f>
        <v>0</v>
      </c>
    </row>
    <row r="300" spans="1:12">
      <c r="A300" s="1453"/>
      <c r="B300" s="1454"/>
      <c r="C300" s="1454"/>
      <c r="D300" s="1454"/>
      <c r="E300" s="1454"/>
      <c r="F300" s="1454"/>
      <c r="G300" s="1454"/>
      <c r="H300" s="877"/>
      <c r="I300" s="878"/>
      <c r="J300" s="879"/>
      <c r="K300" s="880"/>
      <c r="L300" s="865">
        <f t="shared" si="25"/>
        <v>0</v>
      </c>
    </row>
    <row r="301" spans="1:12">
      <c r="A301" s="1453"/>
      <c r="B301" s="1454"/>
      <c r="C301" s="1454"/>
      <c r="D301" s="1454"/>
      <c r="E301" s="1454"/>
      <c r="F301" s="1454"/>
      <c r="G301" s="1454"/>
      <c r="H301" s="877"/>
      <c r="I301" s="878"/>
      <c r="J301" s="879"/>
      <c r="K301" s="880"/>
      <c r="L301" s="865">
        <f t="shared" si="25"/>
        <v>0</v>
      </c>
    </row>
    <row r="302" spans="1:12">
      <c r="A302" s="1453"/>
      <c r="B302" s="1454"/>
      <c r="C302" s="1454"/>
      <c r="D302" s="1454"/>
      <c r="E302" s="1454"/>
      <c r="F302" s="1454"/>
      <c r="G302" s="1454"/>
      <c r="H302" s="877"/>
      <c r="I302" s="878"/>
      <c r="J302" s="879"/>
      <c r="K302" s="880"/>
      <c r="L302" s="865">
        <f t="shared" si="25"/>
        <v>0</v>
      </c>
    </row>
    <row r="303" spans="1:12">
      <c r="A303" s="1453"/>
      <c r="B303" s="1454"/>
      <c r="C303" s="1454"/>
      <c r="D303" s="1454"/>
      <c r="E303" s="1454"/>
      <c r="F303" s="1454"/>
      <c r="G303" s="1454"/>
      <c r="H303" s="877"/>
      <c r="I303" s="878"/>
      <c r="J303" s="879"/>
      <c r="K303" s="880"/>
      <c r="L303" s="865">
        <f t="shared" si="25"/>
        <v>0</v>
      </c>
    </row>
    <row r="304" spans="1:12">
      <c r="A304" s="1453"/>
      <c r="B304" s="1454"/>
      <c r="C304" s="1454"/>
      <c r="D304" s="1454"/>
      <c r="E304" s="1454"/>
      <c r="F304" s="1454"/>
      <c r="G304" s="1454"/>
      <c r="H304" s="877"/>
      <c r="I304" s="878"/>
      <c r="J304" s="879"/>
      <c r="K304" s="880"/>
      <c r="L304" s="865">
        <f t="shared" si="25"/>
        <v>0</v>
      </c>
    </row>
    <row r="305" spans="1:12" ht="14.4">
      <c r="A305" s="1451" t="str">
        <f>'Pricing Schedule'!A305&amp;" " &amp;'Pricing Schedule'!B305</f>
        <v>3.7.6 Transport for site supervisory staff and for additional services</v>
      </c>
      <c r="B305" s="1452"/>
      <c r="C305" s="1452"/>
      <c r="D305" s="1452"/>
      <c r="E305" s="1452"/>
      <c r="F305" s="1452"/>
      <c r="G305" s="1452"/>
      <c r="H305" s="861"/>
      <c r="I305" s="532"/>
      <c r="J305" s="862"/>
      <c r="K305" s="532"/>
      <c r="L305" s="863"/>
    </row>
    <row r="306" spans="1:12">
      <c r="A306" s="1451" t="str">
        <f>'Pricing Schedule'!A306&amp;" " &amp;'Pricing Schedule'!B306</f>
        <v xml:space="preserve"> (a) Travelling to perform duties</v>
      </c>
      <c r="B306" s="1452"/>
      <c r="C306" s="1452"/>
      <c r="D306" s="1452"/>
      <c r="E306" s="1452"/>
      <c r="F306" s="1452"/>
      <c r="G306" s="1452"/>
      <c r="H306" s="861">
        <f>'Pricing Schedule'!F306</f>
        <v>1500000</v>
      </c>
      <c r="I306" s="532"/>
      <c r="J306" s="532"/>
      <c r="K306" s="864">
        <f>IF(H306=0,L306/100,(L306/H306))</f>
        <v>0</v>
      </c>
      <c r="L306" s="863">
        <f>SUM(L307:L313)</f>
        <v>0</v>
      </c>
    </row>
    <row r="307" spans="1:12">
      <c r="A307" s="1453"/>
      <c r="B307" s="1454"/>
      <c r="C307" s="1454"/>
      <c r="D307" s="1454"/>
      <c r="E307" s="1454"/>
      <c r="F307" s="1454"/>
      <c r="G307" s="1454"/>
      <c r="H307" s="877"/>
      <c r="I307" s="878"/>
      <c r="J307" s="879"/>
      <c r="K307" s="880"/>
      <c r="L307" s="865">
        <f>K307*J307</f>
        <v>0</v>
      </c>
    </row>
    <row r="308" spans="1:12">
      <c r="A308" s="1453"/>
      <c r="B308" s="1454"/>
      <c r="C308" s="1454"/>
      <c r="D308" s="1454"/>
      <c r="E308" s="1454"/>
      <c r="F308" s="1454"/>
      <c r="G308" s="1454"/>
      <c r="H308" s="877"/>
      <c r="I308" s="878"/>
      <c r="J308" s="879"/>
      <c r="K308" s="880"/>
      <c r="L308" s="865">
        <f t="shared" ref="L308:L330" si="26">K308*J308</f>
        <v>0</v>
      </c>
    </row>
    <row r="309" spans="1:12">
      <c r="A309" s="1453"/>
      <c r="B309" s="1454"/>
      <c r="C309" s="1454"/>
      <c r="D309" s="1454"/>
      <c r="E309" s="1454"/>
      <c r="F309" s="1454"/>
      <c r="G309" s="1454"/>
      <c r="H309" s="877"/>
      <c r="I309" s="878"/>
      <c r="J309" s="879"/>
      <c r="K309" s="880"/>
      <c r="L309" s="865">
        <f t="shared" si="26"/>
        <v>0</v>
      </c>
    </row>
    <row r="310" spans="1:12">
      <c r="A310" s="1453"/>
      <c r="B310" s="1454"/>
      <c r="C310" s="1454"/>
      <c r="D310" s="1454"/>
      <c r="E310" s="1454"/>
      <c r="F310" s="1454"/>
      <c r="G310" s="1454"/>
      <c r="H310" s="877"/>
      <c r="I310" s="878"/>
      <c r="J310" s="879"/>
      <c r="K310" s="880"/>
      <c r="L310" s="865">
        <f t="shared" si="26"/>
        <v>0</v>
      </c>
    </row>
    <row r="311" spans="1:12">
      <c r="A311" s="1453"/>
      <c r="B311" s="1454"/>
      <c r="C311" s="1454"/>
      <c r="D311" s="1454"/>
      <c r="E311" s="1454"/>
      <c r="F311" s="1454"/>
      <c r="G311" s="1454"/>
      <c r="H311" s="877"/>
      <c r="I311" s="878"/>
      <c r="J311" s="879"/>
      <c r="K311" s="880"/>
      <c r="L311" s="865">
        <f t="shared" si="26"/>
        <v>0</v>
      </c>
    </row>
    <row r="312" spans="1:12">
      <c r="A312" s="1453"/>
      <c r="B312" s="1454"/>
      <c r="C312" s="1454"/>
      <c r="D312" s="1454"/>
      <c r="E312" s="1454"/>
      <c r="F312" s="1454"/>
      <c r="G312" s="1454"/>
      <c r="H312" s="877"/>
      <c r="I312" s="878"/>
      <c r="J312" s="879"/>
      <c r="K312" s="880"/>
      <c r="L312" s="865">
        <f t="shared" si="26"/>
        <v>0</v>
      </c>
    </row>
    <row r="313" spans="1:12">
      <c r="A313" s="1453"/>
      <c r="B313" s="1454"/>
      <c r="C313" s="1454"/>
      <c r="D313" s="1454"/>
      <c r="E313" s="1454"/>
      <c r="F313" s="1454"/>
      <c r="G313" s="1454"/>
      <c r="H313" s="877"/>
      <c r="I313" s="878"/>
      <c r="J313" s="879"/>
      <c r="K313" s="880"/>
      <c r="L313" s="865">
        <f t="shared" si="26"/>
        <v>0</v>
      </c>
    </row>
    <row r="314" spans="1:12">
      <c r="A314" s="1451" t="str">
        <f>'Pricing Schedule'!A308&amp;" " &amp;'Pricing Schedule'!B308</f>
        <v xml:space="preserve"> (c) Toll fees</v>
      </c>
      <c r="B314" s="1452"/>
      <c r="C314" s="1452"/>
      <c r="D314" s="1452"/>
      <c r="E314" s="1452"/>
      <c r="F314" s="1452"/>
      <c r="G314" s="1452"/>
      <c r="H314" s="861">
        <f>'Pricing Schedule'!F308</f>
        <v>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53"/>
      <c r="B315" s="1454"/>
      <c r="C315" s="1454"/>
      <c r="D315" s="1454"/>
      <c r="E315" s="1454"/>
      <c r="F315" s="1454"/>
      <c r="G315" s="1454"/>
      <c r="H315" s="877"/>
      <c r="I315" s="878"/>
      <c r="J315" s="879"/>
      <c r="K315" s="880"/>
      <c r="L315" s="865">
        <f t="shared" si="26"/>
        <v>0</v>
      </c>
    </row>
    <row r="316" spans="1:12">
      <c r="A316" s="1453"/>
      <c r="B316" s="1454"/>
      <c r="C316" s="1454"/>
      <c r="D316" s="1454"/>
      <c r="E316" s="1454"/>
      <c r="F316" s="1454"/>
      <c r="G316" s="1454"/>
      <c r="H316" s="877"/>
      <c r="I316" s="878"/>
      <c r="J316" s="879"/>
      <c r="K316" s="880"/>
      <c r="L316" s="865">
        <f t="shared" si="26"/>
        <v>0</v>
      </c>
    </row>
    <row r="317" spans="1:12">
      <c r="A317" s="1453"/>
      <c r="B317" s="1454"/>
      <c r="C317" s="1454"/>
      <c r="D317" s="1454"/>
      <c r="E317" s="1454"/>
      <c r="F317" s="1454"/>
      <c r="G317" s="1454"/>
      <c r="H317" s="877"/>
      <c r="I317" s="878"/>
      <c r="J317" s="879"/>
      <c r="K317" s="880"/>
      <c r="L317" s="865">
        <f t="shared" si="26"/>
        <v>0</v>
      </c>
    </row>
    <row r="318" spans="1:12">
      <c r="A318" s="1453"/>
      <c r="B318" s="1454"/>
      <c r="C318" s="1454"/>
      <c r="D318" s="1454"/>
      <c r="E318" s="1454"/>
      <c r="F318" s="1454"/>
      <c r="G318" s="1454"/>
      <c r="H318" s="877"/>
      <c r="I318" s="878"/>
      <c r="J318" s="879"/>
      <c r="K318" s="880"/>
      <c r="L318" s="865">
        <f t="shared" si="26"/>
        <v>0</v>
      </c>
    </row>
    <row r="319" spans="1:12">
      <c r="A319" s="1453"/>
      <c r="B319" s="1454"/>
      <c r="C319" s="1454"/>
      <c r="D319" s="1454"/>
      <c r="E319" s="1454"/>
      <c r="F319" s="1454"/>
      <c r="G319" s="1454"/>
      <c r="H319" s="877"/>
      <c r="I319" s="878"/>
      <c r="J319" s="879"/>
      <c r="K319" s="880"/>
      <c r="L319" s="865">
        <f t="shared" si="26"/>
        <v>0</v>
      </c>
    </row>
    <row r="320" spans="1:12">
      <c r="A320" s="1453"/>
      <c r="B320" s="1454"/>
      <c r="C320" s="1454"/>
      <c r="D320" s="1454"/>
      <c r="E320" s="1454"/>
      <c r="F320" s="1454"/>
      <c r="G320" s="1454"/>
      <c r="H320" s="877"/>
      <c r="I320" s="878"/>
      <c r="J320" s="879"/>
      <c r="K320" s="880"/>
      <c r="L320" s="865">
        <f t="shared" si="26"/>
        <v>0</v>
      </c>
    </row>
    <row r="321" spans="1:12">
      <c r="A321" s="1453"/>
      <c r="B321" s="1454"/>
      <c r="C321" s="1454"/>
      <c r="D321" s="1454"/>
      <c r="E321" s="1454"/>
      <c r="F321" s="1454"/>
      <c r="G321" s="1454"/>
      <c r="H321" s="877"/>
      <c r="I321" s="878"/>
      <c r="J321" s="879"/>
      <c r="K321" s="880"/>
      <c r="L321" s="865">
        <f t="shared" si="26"/>
        <v>0</v>
      </c>
    </row>
    <row r="322" spans="1:12" ht="14.4">
      <c r="A322" s="1451" t="str">
        <f>'Pricing Schedule'!A313&amp;" " &amp;'Pricing Schedule'!B313</f>
        <v>3.7.8 Environmental Services during Construction Phase</v>
      </c>
      <c r="B322" s="1452"/>
      <c r="C322" s="1452"/>
      <c r="D322" s="1452"/>
      <c r="E322" s="1452"/>
      <c r="F322" s="1452"/>
      <c r="G322" s="1452"/>
      <c r="H322" s="861"/>
      <c r="I322" s="532"/>
      <c r="J322" s="862"/>
      <c r="K322" s="532"/>
      <c r="L322" s="863"/>
    </row>
    <row r="323" spans="1:12">
      <c r="A323" s="1451" t="str">
        <f>'Pricing Schedule'!A314&amp;" " &amp;'Pricing Schedule'!B314</f>
        <v xml:space="preserve"> (a)  Environmental services</v>
      </c>
      <c r="B323" s="1452"/>
      <c r="C323" s="1452"/>
      <c r="D323" s="1452"/>
      <c r="E323" s="1452"/>
      <c r="F323" s="1452"/>
      <c r="G323" s="1452"/>
      <c r="H323" s="861">
        <f>'Pricing Schedule'!F314</f>
        <v>250000</v>
      </c>
      <c r="I323" s="532"/>
      <c r="J323" s="532"/>
      <c r="K323" s="864">
        <f>IF(H323=0,L323/100,(L323/H323))</f>
        <v>0</v>
      </c>
      <c r="L323" s="863">
        <f>SUM(L324:L330)</f>
        <v>0</v>
      </c>
    </row>
    <row r="324" spans="1:12">
      <c r="A324" s="1453"/>
      <c r="B324" s="1454"/>
      <c r="C324" s="1454"/>
      <c r="D324" s="1454"/>
      <c r="E324" s="1454"/>
      <c r="F324" s="1454"/>
      <c r="G324" s="1454"/>
      <c r="H324" s="877"/>
      <c r="I324" s="878"/>
      <c r="J324" s="879"/>
      <c r="K324" s="880"/>
      <c r="L324" s="865">
        <f t="shared" si="26"/>
        <v>0</v>
      </c>
    </row>
    <row r="325" spans="1:12">
      <c r="A325" s="1453"/>
      <c r="B325" s="1454"/>
      <c r="C325" s="1454"/>
      <c r="D325" s="1454"/>
      <c r="E325" s="1454"/>
      <c r="F325" s="1454"/>
      <c r="G325" s="1454"/>
      <c r="H325" s="877"/>
      <c r="I325" s="878"/>
      <c r="J325" s="879"/>
      <c r="K325" s="880"/>
      <c r="L325" s="865">
        <f t="shared" si="26"/>
        <v>0</v>
      </c>
    </row>
    <row r="326" spans="1:12">
      <c r="A326" s="1453"/>
      <c r="B326" s="1454"/>
      <c r="C326" s="1454"/>
      <c r="D326" s="1454"/>
      <c r="E326" s="1454"/>
      <c r="F326" s="1454"/>
      <c r="G326" s="1454"/>
      <c r="H326" s="877"/>
      <c r="I326" s="878"/>
      <c r="J326" s="879"/>
      <c r="K326" s="880"/>
      <c r="L326" s="865">
        <f t="shared" si="26"/>
        <v>0</v>
      </c>
    </row>
    <row r="327" spans="1:12">
      <c r="A327" s="1453"/>
      <c r="B327" s="1454"/>
      <c r="C327" s="1454"/>
      <c r="D327" s="1454"/>
      <c r="E327" s="1454"/>
      <c r="F327" s="1454"/>
      <c r="G327" s="1454"/>
      <c r="H327" s="877"/>
      <c r="I327" s="878"/>
      <c r="J327" s="879"/>
      <c r="K327" s="880"/>
      <c r="L327" s="865">
        <f t="shared" si="26"/>
        <v>0</v>
      </c>
    </row>
    <row r="328" spans="1:12">
      <c r="A328" s="1453"/>
      <c r="B328" s="1454"/>
      <c r="C328" s="1454"/>
      <c r="D328" s="1454"/>
      <c r="E328" s="1454"/>
      <c r="F328" s="1454"/>
      <c r="G328" s="1454"/>
      <c r="H328" s="877"/>
      <c r="I328" s="878"/>
      <c r="J328" s="879"/>
      <c r="K328" s="880"/>
      <c r="L328" s="865">
        <f t="shared" si="26"/>
        <v>0</v>
      </c>
    </row>
    <row r="329" spans="1:12">
      <c r="A329" s="1453"/>
      <c r="B329" s="1454"/>
      <c r="C329" s="1454"/>
      <c r="D329" s="1454"/>
      <c r="E329" s="1454"/>
      <c r="F329" s="1454"/>
      <c r="G329" s="1454"/>
      <c r="H329" s="877"/>
      <c r="I329" s="878"/>
      <c r="J329" s="879"/>
      <c r="K329" s="880"/>
      <c r="L329" s="865">
        <f t="shared" si="26"/>
        <v>0</v>
      </c>
    </row>
    <row r="330" spans="1:12" ht="13.8" thickBot="1">
      <c r="A330" s="1453"/>
      <c r="B330" s="1454"/>
      <c r="C330" s="1454"/>
      <c r="D330" s="1454"/>
      <c r="E330" s="1454"/>
      <c r="F330" s="1454"/>
      <c r="G330" s="1454"/>
      <c r="H330" s="877"/>
      <c r="I330" s="878"/>
      <c r="J330" s="879"/>
      <c r="K330" s="880"/>
      <c r="L330" s="865">
        <f t="shared" si="26"/>
        <v>0</v>
      </c>
    </row>
    <row r="331" spans="1:12">
      <c r="A331" s="1465"/>
      <c r="B331" s="1466"/>
      <c r="C331" s="1466"/>
      <c r="D331" s="1466"/>
      <c r="E331" s="1466"/>
      <c r="F331" s="1466"/>
      <c r="G331" s="1466"/>
      <c r="H331" s="1467"/>
      <c r="I331" s="866"/>
      <c r="J331" s="867" t="s">
        <v>366</v>
      </c>
      <c r="K331" s="868">
        <f>'C3.7'!$A$7</f>
        <v>3.7</v>
      </c>
      <c r="L331" s="534">
        <f>L246+L255+L264+L272+L280+L288+L297+L306+L314+L323+L229+L237</f>
        <v>0</v>
      </c>
    </row>
    <row r="332" spans="1:12" ht="13.8" thickBot="1">
      <c r="A332" s="1462"/>
      <c r="B332" s="1463"/>
      <c r="C332" s="1463"/>
      <c r="D332" s="1463"/>
      <c r="E332" s="1463"/>
      <c r="F332" s="1463"/>
      <c r="G332" s="1463"/>
      <c r="H332" s="1464"/>
      <c r="I332" s="869"/>
      <c r="J332" s="869"/>
      <c r="K332" s="870"/>
      <c r="L332" s="871"/>
    </row>
    <row r="333" spans="1:12" ht="18.75" customHeight="1" thickBot="1">
      <c r="A333" s="1458" t="s">
        <v>795</v>
      </c>
      <c r="B333" s="1459"/>
      <c r="C333" s="1459"/>
      <c r="D333" s="1459"/>
      <c r="E333" s="1459"/>
      <c r="F333" s="1459"/>
      <c r="G333" s="1459"/>
      <c r="H333" s="1459"/>
      <c r="I333" s="1459"/>
      <c r="J333" s="1459"/>
      <c r="K333" s="1472"/>
      <c r="L333" s="873">
        <f>L331+L225</f>
        <v>0</v>
      </c>
    </row>
    <row r="334" spans="1:12" ht="15.6">
      <c r="L334" s="857" t="s">
        <v>796</v>
      </c>
    </row>
    <row r="335" spans="1:12" ht="8.25" customHeight="1">
      <c r="L335" s="858"/>
    </row>
    <row r="336" spans="1:12" ht="15.75" customHeight="1">
      <c r="A336" s="1457" t="s">
        <v>420</v>
      </c>
      <c r="B336" s="1401"/>
      <c r="C336" s="524" t="str">
        <f>$C$3</f>
        <v>NRA.N.007-040-2024/1F</v>
      </c>
      <c r="D336" s="403"/>
      <c r="E336" s="403"/>
      <c r="F336" s="1471">
        <f>$F$3</f>
        <v>45169</v>
      </c>
      <c r="G336" s="1471"/>
      <c r="H336" s="1455" t="s">
        <v>377</v>
      </c>
      <c r="I336" s="1455"/>
      <c r="J336" s="1455"/>
      <c r="K336" s="1456">
        <f>$K$3</f>
        <v>1</v>
      </c>
      <c r="L336" s="1403"/>
    </row>
    <row r="337" spans="1:12" ht="15.75" customHeight="1" thickBot="1"/>
    <row r="338" spans="1:12" ht="15.75" customHeight="1">
      <c r="A338" s="439"/>
      <c r="B338" s="440"/>
      <c r="C338" s="440"/>
      <c r="D338" s="440"/>
      <c r="E338" s="440"/>
      <c r="F338" s="440"/>
      <c r="G338" s="440"/>
      <c r="H338" s="440"/>
      <c r="I338" s="440"/>
      <c r="J338" s="440"/>
      <c r="K338" s="440"/>
      <c r="L338" s="525"/>
    </row>
    <row r="339" spans="1:12" ht="15.75" customHeight="1">
      <c r="A339" s="1395" t="s">
        <v>417</v>
      </c>
      <c r="B339" s="1396"/>
      <c r="C339" s="1396"/>
      <c r="D339" s="1396"/>
      <c r="E339" s="1396"/>
      <c r="F339" s="1396"/>
      <c r="G339" s="1396"/>
      <c r="H339" s="1396"/>
      <c r="I339" s="1396"/>
      <c r="J339" s="1396"/>
      <c r="K339" s="1396"/>
      <c r="L339" s="1397"/>
    </row>
    <row r="340" spans="1:12" ht="15.75" customHeight="1" thickBot="1">
      <c r="A340" s="526"/>
      <c r="L340" s="527"/>
    </row>
    <row r="341" spans="1:12" ht="15.75" customHeight="1" thickBot="1">
      <c r="A341" s="1468" t="s">
        <v>0</v>
      </c>
      <c r="B341" s="1469"/>
      <c r="C341" s="1469"/>
      <c r="D341" s="1469"/>
      <c r="E341" s="1469"/>
      <c r="F341" s="1469"/>
      <c r="G341" s="1469"/>
      <c r="H341" s="1470"/>
      <c r="I341" s="528" t="s">
        <v>1</v>
      </c>
      <c r="J341" s="528" t="s">
        <v>2</v>
      </c>
      <c r="K341" s="528" t="s">
        <v>3</v>
      </c>
      <c r="L341" s="529" t="s">
        <v>402</v>
      </c>
    </row>
    <row r="342" spans="1:12" ht="12.75" customHeight="1" thickBot="1">
      <c r="A342" s="1458" t="s">
        <v>797</v>
      </c>
      <c r="B342" s="1459"/>
      <c r="C342" s="1459"/>
      <c r="D342" s="1459"/>
      <c r="E342" s="1459"/>
      <c r="F342" s="1459"/>
      <c r="G342" s="1459"/>
      <c r="H342" s="1459"/>
      <c r="I342" s="1459"/>
      <c r="J342" s="1459"/>
      <c r="K342" s="1472"/>
      <c r="L342" s="545">
        <f>L333</f>
        <v>0</v>
      </c>
    </row>
    <row r="343" spans="1:12">
      <c r="A343" s="1473" t="str">
        <f>'Pricing Schedule'!A317&amp;" " &amp;'Pricing Schedule'!B317</f>
        <v>3.8 ADDITIONAL DUTIES, SPECIAL SERVICES AND SPECIALIST ADVICE</v>
      </c>
      <c r="B343" s="1474"/>
      <c r="C343" s="1474"/>
      <c r="D343" s="1474"/>
      <c r="E343" s="1474"/>
      <c r="F343" s="1474"/>
      <c r="G343" s="1474"/>
      <c r="H343" s="1474"/>
      <c r="I343" s="1474"/>
      <c r="J343" s="1474"/>
      <c r="K343" s="1414"/>
      <c r="L343" s="536"/>
    </row>
    <row r="344" spans="1:12" ht="14.4">
      <c r="A344" s="1451" t="str">
        <f>'Pricing Schedule'!A318&amp;" " &amp;'Pricing Schedule'!B318</f>
        <v>3.8.1 Additional duties by Service Provider</v>
      </c>
      <c r="B344" s="1452"/>
      <c r="C344" s="1452"/>
      <c r="D344" s="1452"/>
      <c r="E344" s="1452"/>
      <c r="F344" s="1452"/>
      <c r="G344" s="1452"/>
      <c r="H344" s="861"/>
      <c r="I344" s="532"/>
      <c r="J344" s="862"/>
      <c r="K344" s="532"/>
      <c r="L344" s="863"/>
    </row>
    <row r="345" spans="1:12">
      <c r="A345" s="1451" t="str">
        <f>'Pricing Schedule'!A324&amp;" " &amp;'Pricing Schedule'!B324</f>
        <v xml:space="preserve"> (b)  Disbursements</v>
      </c>
      <c r="B345" s="1452"/>
      <c r="C345" s="1452"/>
      <c r="D345" s="1452"/>
      <c r="E345" s="1452"/>
      <c r="F345" s="1452"/>
      <c r="G345" s="1452"/>
      <c r="H345" s="861">
        <f>'Pricing Schedule'!F324</f>
        <v>50000</v>
      </c>
      <c r="I345" s="532"/>
      <c r="J345" s="532"/>
      <c r="K345" s="864">
        <f>IF(H345=0,L345/100,(L345/H345))</f>
        <v>0</v>
      </c>
      <c r="L345" s="863">
        <f>SUM(L346:L352)</f>
        <v>0</v>
      </c>
    </row>
    <row r="346" spans="1:12">
      <c r="A346" s="1453"/>
      <c r="B346" s="1454"/>
      <c r="C346" s="1454"/>
      <c r="D346" s="1454"/>
      <c r="E346" s="1454"/>
      <c r="F346" s="1454"/>
      <c r="G346" s="1454"/>
      <c r="H346" s="877"/>
      <c r="I346" s="878"/>
      <c r="J346" s="879"/>
      <c r="K346" s="880"/>
      <c r="L346" s="865">
        <f>K346*J346</f>
        <v>0</v>
      </c>
    </row>
    <row r="347" spans="1:12">
      <c r="A347" s="1453"/>
      <c r="B347" s="1454"/>
      <c r="C347" s="1454"/>
      <c r="D347" s="1454"/>
      <c r="E347" s="1454"/>
      <c r="F347" s="1454"/>
      <c r="G347" s="1454"/>
      <c r="H347" s="877"/>
      <c r="I347" s="878"/>
      <c r="J347" s="879"/>
      <c r="K347" s="880"/>
      <c r="L347" s="865">
        <f t="shared" ref="L347:L352" si="27">K347*J347</f>
        <v>0</v>
      </c>
    </row>
    <row r="348" spans="1:12">
      <c r="A348" s="1453"/>
      <c r="B348" s="1454"/>
      <c r="C348" s="1454"/>
      <c r="D348" s="1454"/>
      <c r="E348" s="1454"/>
      <c r="F348" s="1454"/>
      <c r="G348" s="1454"/>
      <c r="H348" s="877"/>
      <c r="I348" s="878"/>
      <c r="J348" s="879"/>
      <c r="K348" s="880"/>
      <c r="L348" s="865">
        <f t="shared" si="27"/>
        <v>0</v>
      </c>
    </row>
    <row r="349" spans="1:12">
      <c r="A349" s="1453"/>
      <c r="B349" s="1454"/>
      <c r="C349" s="1454"/>
      <c r="D349" s="1454"/>
      <c r="E349" s="1454"/>
      <c r="F349" s="1454"/>
      <c r="G349" s="1454"/>
      <c r="H349" s="877"/>
      <c r="I349" s="878"/>
      <c r="J349" s="879"/>
      <c r="K349" s="880"/>
      <c r="L349" s="865">
        <f t="shared" si="27"/>
        <v>0</v>
      </c>
    </row>
    <row r="350" spans="1:12">
      <c r="A350" s="1453"/>
      <c r="B350" s="1454"/>
      <c r="C350" s="1454"/>
      <c r="D350" s="1454"/>
      <c r="E350" s="1454"/>
      <c r="F350" s="1454"/>
      <c r="G350" s="1454"/>
      <c r="H350" s="877"/>
      <c r="I350" s="878"/>
      <c r="J350" s="879"/>
      <c r="K350" s="880"/>
      <c r="L350" s="865">
        <f t="shared" si="27"/>
        <v>0</v>
      </c>
    </row>
    <row r="351" spans="1:12">
      <c r="A351" s="1453"/>
      <c r="B351" s="1454"/>
      <c r="C351" s="1454"/>
      <c r="D351" s="1454"/>
      <c r="E351" s="1454"/>
      <c r="F351" s="1454"/>
      <c r="G351" s="1454"/>
      <c r="H351" s="877"/>
      <c r="I351" s="878"/>
      <c r="J351" s="879"/>
      <c r="K351" s="880"/>
      <c r="L351" s="865">
        <f t="shared" si="27"/>
        <v>0</v>
      </c>
    </row>
    <row r="352" spans="1:12">
      <c r="A352" s="1453"/>
      <c r="B352" s="1454"/>
      <c r="C352" s="1454"/>
      <c r="D352" s="1454"/>
      <c r="E352" s="1454"/>
      <c r="F352" s="1454"/>
      <c r="G352" s="1454"/>
      <c r="H352" s="877"/>
      <c r="I352" s="878"/>
      <c r="J352" s="879"/>
      <c r="K352" s="880"/>
      <c r="L352" s="865">
        <f t="shared" si="27"/>
        <v>0</v>
      </c>
    </row>
    <row r="353" spans="1:12" ht="14.4">
      <c r="A353" s="1451" t="str">
        <f>'Pricing Schedule'!A327&amp;" " &amp;'Pricing Schedule'!B327</f>
        <v>3.8.3 Special Services and specialist advice</v>
      </c>
      <c r="B353" s="1452"/>
      <c r="C353" s="1452"/>
      <c r="D353" s="1452"/>
      <c r="E353" s="1452"/>
      <c r="F353" s="1452"/>
      <c r="G353" s="1452"/>
      <c r="H353" s="861"/>
      <c r="I353" s="532"/>
      <c r="J353" s="862"/>
      <c r="K353" s="532"/>
      <c r="L353" s="863"/>
    </row>
    <row r="354" spans="1:12">
      <c r="A354" s="1451" t="str">
        <f>'Pricing Schedule'!A333&amp;" " &amp;'Pricing Schedule'!B333</f>
        <v xml:space="preserve"> (b) Service or advice procured by service provider</v>
      </c>
      <c r="B354" s="1452"/>
      <c r="C354" s="1452"/>
      <c r="D354" s="1452"/>
      <c r="E354" s="1452"/>
      <c r="F354" s="1452"/>
      <c r="G354" s="1452"/>
      <c r="H354" s="861">
        <f>'Pricing Schedule'!F333</f>
        <v>200000</v>
      </c>
      <c r="I354" s="532"/>
      <c r="J354" s="532"/>
      <c r="K354" s="864">
        <f>IF(H354=0,L354/100,(L354/H354))</f>
        <v>0</v>
      </c>
      <c r="L354" s="863">
        <f>SUM(L355:L361)</f>
        <v>0</v>
      </c>
    </row>
    <row r="355" spans="1:12">
      <c r="A355" s="1453"/>
      <c r="B355" s="1454"/>
      <c r="C355" s="1454"/>
      <c r="D355" s="1454"/>
      <c r="E355" s="1454"/>
      <c r="F355" s="1454"/>
      <c r="G355" s="1454"/>
      <c r="H355" s="877"/>
      <c r="I355" s="878"/>
      <c r="J355" s="879"/>
      <c r="K355" s="880"/>
      <c r="L355" s="865">
        <f>K355*J355</f>
        <v>0</v>
      </c>
    </row>
    <row r="356" spans="1:12">
      <c r="A356" s="1453"/>
      <c r="B356" s="1454"/>
      <c r="C356" s="1454"/>
      <c r="D356" s="1454"/>
      <c r="E356" s="1454"/>
      <c r="F356" s="1454"/>
      <c r="G356" s="1454"/>
      <c r="H356" s="877"/>
      <c r="I356" s="878"/>
      <c r="J356" s="879"/>
      <c r="K356" s="880"/>
      <c r="L356" s="865">
        <f t="shared" ref="L356:L361" si="28">K356*J356</f>
        <v>0</v>
      </c>
    </row>
    <row r="357" spans="1:12">
      <c r="A357" s="1453"/>
      <c r="B357" s="1454"/>
      <c r="C357" s="1454"/>
      <c r="D357" s="1454"/>
      <c r="E357" s="1454"/>
      <c r="F357" s="1454"/>
      <c r="G357" s="1454"/>
      <c r="H357" s="877"/>
      <c r="I357" s="878"/>
      <c r="J357" s="879"/>
      <c r="K357" s="880"/>
      <c r="L357" s="865">
        <f t="shared" si="28"/>
        <v>0</v>
      </c>
    </row>
    <row r="358" spans="1:12">
      <c r="A358" s="1453"/>
      <c r="B358" s="1454"/>
      <c r="C358" s="1454"/>
      <c r="D358" s="1454"/>
      <c r="E358" s="1454"/>
      <c r="F358" s="1454"/>
      <c r="G358" s="1454"/>
      <c r="H358" s="877"/>
      <c r="I358" s="878"/>
      <c r="J358" s="879"/>
      <c r="K358" s="880"/>
      <c r="L358" s="865">
        <f t="shared" si="28"/>
        <v>0</v>
      </c>
    </row>
    <row r="359" spans="1:12">
      <c r="A359" s="1453"/>
      <c r="B359" s="1454"/>
      <c r="C359" s="1454"/>
      <c r="D359" s="1454"/>
      <c r="E359" s="1454"/>
      <c r="F359" s="1454"/>
      <c r="G359" s="1454"/>
      <c r="H359" s="877"/>
      <c r="I359" s="878"/>
      <c r="J359" s="879"/>
      <c r="K359" s="880"/>
      <c r="L359" s="865">
        <f t="shared" si="28"/>
        <v>0</v>
      </c>
    </row>
    <row r="360" spans="1:12">
      <c r="A360" s="1453"/>
      <c r="B360" s="1454"/>
      <c r="C360" s="1454"/>
      <c r="D360" s="1454"/>
      <c r="E360" s="1454"/>
      <c r="F360" s="1454"/>
      <c r="G360" s="1454"/>
      <c r="H360" s="877"/>
      <c r="I360" s="878"/>
      <c r="J360" s="879"/>
      <c r="K360" s="880"/>
      <c r="L360" s="865">
        <f t="shared" si="28"/>
        <v>0</v>
      </c>
    </row>
    <row r="361" spans="1:12">
      <c r="A361" s="1453"/>
      <c r="B361" s="1454"/>
      <c r="C361" s="1454"/>
      <c r="D361" s="1454"/>
      <c r="E361" s="1454"/>
      <c r="F361" s="1454"/>
      <c r="G361" s="1454"/>
      <c r="H361" s="877"/>
      <c r="I361" s="878"/>
      <c r="J361" s="879"/>
      <c r="K361" s="880"/>
      <c r="L361" s="865">
        <f t="shared" si="28"/>
        <v>0</v>
      </c>
    </row>
    <row r="362" spans="1:12">
      <c r="A362" s="1451" t="str">
        <f>'Pricing Schedule'!A335&amp;" " &amp;'Pricing Schedule'!B335</f>
        <v>3.8.4 Training of Targeted Enterprise Understudy</v>
      </c>
      <c r="B362" s="1452"/>
      <c r="C362" s="1452"/>
      <c r="D362" s="1452"/>
      <c r="E362" s="1452"/>
      <c r="F362" s="1452"/>
      <c r="G362" s="1452"/>
      <c r="H362" s="861">
        <f>'Pricing Schedule'!F335</f>
        <v>100000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53"/>
      <c r="B363" s="1454"/>
      <c r="C363" s="1454"/>
      <c r="D363" s="1454"/>
      <c r="E363" s="1454"/>
      <c r="F363" s="1454"/>
      <c r="G363" s="1454"/>
      <c r="H363" s="877"/>
      <c r="I363" s="878"/>
      <c r="J363" s="879"/>
      <c r="K363" s="880"/>
      <c r="L363" s="865">
        <f>K363*J363</f>
        <v>0</v>
      </c>
    </row>
    <row r="364" spans="1:12">
      <c r="A364" s="1453"/>
      <c r="B364" s="1454"/>
      <c r="C364" s="1454"/>
      <c r="D364" s="1454"/>
      <c r="E364" s="1454"/>
      <c r="F364" s="1454"/>
      <c r="G364" s="1454"/>
      <c r="H364" s="877"/>
      <c r="I364" s="878"/>
      <c r="J364" s="879"/>
      <c r="K364" s="880"/>
      <c r="L364" s="865">
        <f t="shared" ref="L364:L369" si="29">K364*J364</f>
        <v>0</v>
      </c>
    </row>
    <row r="365" spans="1:12">
      <c r="A365" s="1453"/>
      <c r="B365" s="1454"/>
      <c r="C365" s="1454"/>
      <c r="D365" s="1454"/>
      <c r="E365" s="1454"/>
      <c r="F365" s="1454"/>
      <c r="G365" s="1454"/>
      <c r="H365" s="877"/>
      <c r="I365" s="878"/>
      <c r="J365" s="879"/>
      <c r="K365" s="880"/>
      <c r="L365" s="865">
        <f t="shared" si="29"/>
        <v>0</v>
      </c>
    </row>
    <row r="366" spans="1:12">
      <c r="A366" s="1453"/>
      <c r="B366" s="1454"/>
      <c r="C366" s="1454"/>
      <c r="D366" s="1454"/>
      <c r="E366" s="1454"/>
      <c r="F366" s="1454"/>
      <c r="G366" s="1454"/>
      <c r="H366" s="877"/>
      <c r="I366" s="878"/>
      <c r="J366" s="879"/>
      <c r="K366" s="880"/>
      <c r="L366" s="865">
        <f t="shared" si="29"/>
        <v>0</v>
      </c>
    </row>
    <row r="367" spans="1:12">
      <c r="A367" s="1453"/>
      <c r="B367" s="1454"/>
      <c r="C367" s="1454"/>
      <c r="D367" s="1454"/>
      <c r="E367" s="1454"/>
      <c r="F367" s="1454"/>
      <c r="G367" s="1454"/>
      <c r="H367" s="877"/>
      <c r="I367" s="878"/>
      <c r="J367" s="879"/>
      <c r="K367" s="880"/>
      <c r="L367" s="865">
        <f t="shared" si="29"/>
        <v>0</v>
      </c>
    </row>
    <row r="368" spans="1:12">
      <c r="A368" s="1453"/>
      <c r="B368" s="1454"/>
      <c r="C368" s="1454"/>
      <c r="D368" s="1454"/>
      <c r="E368" s="1454"/>
      <c r="F368" s="1454"/>
      <c r="G368" s="1454"/>
      <c r="H368" s="877"/>
      <c r="I368" s="878"/>
      <c r="J368" s="879"/>
      <c r="K368" s="880"/>
      <c r="L368" s="865">
        <f t="shared" si="29"/>
        <v>0</v>
      </c>
    </row>
    <row r="369" spans="1:12">
      <c r="A369" s="1453"/>
      <c r="B369" s="1454"/>
      <c r="C369" s="1454"/>
      <c r="D369" s="1454"/>
      <c r="E369" s="1454"/>
      <c r="F369" s="1454"/>
      <c r="G369" s="1454"/>
      <c r="H369" s="877"/>
      <c r="I369" s="878"/>
      <c r="J369" s="879"/>
      <c r="K369" s="880"/>
      <c r="L369" s="865">
        <f t="shared" si="29"/>
        <v>0</v>
      </c>
    </row>
    <row r="370" spans="1:12" ht="14.4">
      <c r="A370" s="1451" t="str">
        <f>'Pricing Schedule'!A337&amp;" " &amp;'Pricing Schedule'!B337</f>
        <v>3.8.6 Project Liaison Committee (PLC)</v>
      </c>
      <c r="B370" s="1452"/>
      <c r="C370" s="1452"/>
      <c r="D370" s="1452"/>
      <c r="E370" s="1452"/>
      <c r="F370" s="1452"/>
      <c r="G370" s="1452"/>
      <c r="H370" s="861"/>
      <c r="I370" s="532"/>
      <c r="J370" s="862"/>
      <c r="K370" s="532"/>
      <c r="L370" s="863"/>
    </row>
    <row r="371" spans="1:12">
      <c r="A371" s="1451" t="str">
        <f>'Pricing Schedule'!A339&amp;" " &amp;'Pricing Schedule'!B339</f>
        <v xml:space="preserve"> (b)   Liaison/Meetings with the PLC during design phase</v>
      </c>
      <c r="B371" s="1452"/>
      <c r="C371" s="1452"/>
      <c r="D371" s="1452"/>
      <c r="E371" s="1452"/>
      <c r="F371" s="1452"/>
      <c r="G371" s="1452"/>
      <c r="H371" s="861">
        <f>'Pricing Schedule'!F339</f>
        <v>100000</v>
      </c>
      <c r="I371" s="532"/>
      <c r="J371" s="532"/>
      <c r="K371" s="864">
        <f>IF(H371=0,L371/100,(L371/H371))</f>
        <v>0</v>
      </c>
      <c r="L371" s="863">
        <f>SUM(L372:L378)</f>
        <v>0</v>
      </c>
    </row>
    <row r="372" spans="1:12">
      <c r="A372" s="1453"/>
      <c r="B372" s="1454"/>
      <c r="C372" s="1454"/>
      <c r="D372" s="1454"/>
      <c r="E372" s="1454"/>
      <c r="F372" s="1454"/>
      <c r="G372" s="1454"/>
      <c r="H372" s="877"/>
      <c r="I372" s="878"/>
      <c r="J372" s="879"/>
      <c r="K372" s="880"/>
      <c r="L372" s="865">
        <f>K372*J372</f>
        <v>0</v>
      </c>
    </row>
    <row r="373" spans="1:12">
      <c r="A373" s="1453"/>
      <c r="B373" s="1454"/>
      <c r="C373" s="1454"/>
      <c r="D373" s="1454"/>
      <c r="E373" s="1454"/>
      <c r="F373" s="1454"/>
      <c r="G373" s="1454"/>
      <c r="H373" s="877"/>
      <c r="I373" s="878"/>
      <c r="J373" s="879"/>
      <c r="K373" s="880"/>
      <c r="L373" s="865">
        <f t="shared" ref="L373:L378" si="30">K373*J373</f>
        <v>0</v>
      </c>
    </row>
    <row r="374" spans="1:12">
      <c r="A374" s="1453"/>
      <c r="B374" s="1454"/>
      <c r="C374" s="1454"/>
      <c r="D374" s="1454"/>
      <c r="E374" s="1454"/>
      <c r="F374" s="1454"/>
      <c r="G374" s="1454"/>
      <c r="H374" s="877"/>
      <c r="I374" s="878"/>
      <c r="J374" s="879"/>
      <c r="K374" s="880"/>
      <c r="L374" s="865">
        <f t="shared" si="30"/>
        <v>0</v>
      </c>
    </row>
    <row r="375" spans="1:12">
      <c r="A375" s="1453"/>
      <c r="B375" s="1454"/>
      <c r="C375" s="1454"/>
      <c r="D375" s="1454"/>
      <c r="E375" s="1454"/>
      <c r="F375" s="1454"/>
      <c r="G375" s="1454"/>
      <c r="H375" s="877"/>
      <c r="I375" s="878"/>
      <c r="J375" s="879"/>
      <c r="K375" s="880"/>
      <c r="L375" s="865">
        <f t="shared" si="30"/>
        <v>0</v>
      </c>
    </row>
    <row r="376" spans="1:12">
      <c r="A376" s="1453"/>
      <c r="B376" s="1454"/>
      <c r="C376" s="1454"/>
      <c r="D376" s="1454"/>
      <c r="E376" s="1454"/>
      <c r="F376" s="1454"/>
      <c r="G376" s="1454"/>
      <c r="H376" s="877"/>
      <c r="I376" s="878"/>
      <c r="J376" s="879"/>
      <c r="K376" s="880"/>
      <c r="L376" s="865">
        <f t="shared" si="30"/>
        <v>0</v>
      </c>
    </row>
    <row r="377" spans="1:12">
      <c r="A377" s="1453"/>
      <c r="B377" s="1454"/>
      <c r="C377" s="1454"/>
      <c r="D377" s="1454"/>
      <c r="E377" s="1454"/>
      <c r="F377" s="1454"/>
      <c r="G377" s="1454"/>
      <c r="H377" s="877"/>
      <c r="I377" s="878"/>
      <c r="J377" s="879"/>
      <c r="K377" s="880"/>
      <c r="L377" s="865">
        <f t="shared" si="30"/>
        <v>0</v>
      </c>
    </row>
    <row r="378" spans="1:12">
      <c r="A378" s="1453"/>
      <c r="B378" s="1454"/>
      <c r="C378" s="1454"/>
      <c r="D378" s="1454"/>
      <c r="E378" s="1454"/>
      <c r="F378" s="1454"/>
      <c r="G378" s="1454"/>
      <c r="H378" s="877"/>
      <c r="I378" s="878"/>
      <c r="J378" s="879"/>
      <c r="K378" s="880"/>
      <c r="L378" s="865">
        <f t="shared" si="30"/>
        <v>0</v>
      </c>
    </row>
    <row r="379" spans="1:12">
      <c r="A379" s="1451" t="str">
        <f>'Pricing Schedule'!A340&amp;" " &amp;'Pricing Schedule'!B340</f>
        <v xml:space="preserve"> (c)   PLC stipend</v>
      </c>
      <c r="B379" s="1452"/>
      <c r="C379" s="1452"/>
      <c r="D379" s="1452"/>
      <c r="E379" s="1452"/>
      <c r="F379" s="1452"/>
      <c r="G379" s="1452"/>
      <c r="H379" s="861">
        <f>'Pricing Schedule'!F340</f>
        <v>200000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53"/>
      <c r="B380" s="1454"/>
      <c r="C380" s="1454"/>
      <c r="D380" s="1454"/>
      <c r="E380" s="1454"/>
      <c r="F380" s="1454"/>
      <c r="G380" s="1454"/>
      <c r="H380" s="877"/>
      <c r="I380" s="878"/>
      <c r="J380" s="879"/>
      <c r="K380" s="880"/>
      <c r="L380" s="865">
        <f>K380*J380</f>
        <v>0</v>
      </c>
    </row>
    <row r="381" spans="1:12">
      <c r="A381" s="1453"/>
      <c r="B381" s="1454"/>
      <c r="C381" s="1454"/>
      <c r="D381" s="1454"/>
      <c r="E381" s="1454"/>
      <c r="F381" s="1454"/>
      <c r="G381" s="1454"/>
      <c r="H381" s="877"/>
      <c r="I381" s="878"/>
      <c r="J381" s="879"/>
      <c r="K381" s="880"/>
      <c r="L381" s="865">
        <f t="shared" ref="L381:L394" si="31">K381*J381</f>
        <v>0</v>
      </c>
    </row>
    <row r="382" spans="1:12">
      <c r="A382" s="1453"/>
      <c r="B382" s="1454"/>
      <c r="C382" s="1454"/>
      <c r="D382" s="1454"/>
      <c r="E382" s="1454"/>
      <c r="F382" s="1454"/>
      <c r="G382" s="1454"/>
      <c r="H382" s="877"/>
      <c r="I382" s="878"/>
      <c r="J382" s="879"/>
      <c r="K382" s="880"/>
      <c r="L382" s="865">
        <f t="shared" si="31"/>
        <v>0</v>
      </c>
    </row>
    <row r="383" spans="1:12">
      <c r="A383" s="1453"/>
      <c r="B383" s="1454"/>
      <c r="C383" s="1454"/>
      <c r="D383" s="1454"/>
      <c r="E383" s="1454"/>
      <c r="F383" s="1454"/>
      <c r="G383" s="1454"/>
      <c r="H383" s="877"/>
      <c r="I383" s="878"/>
      <c r="J383" s="879"/>
      <c r="K383" s="880"/>
      <c r="L383" s="865">
        <f t="shared" si="31"/>
        <v>0</v>
      </c>
    </row>
    <row r="384" spans="1:12">
      <c r="A384" s="1453"/>
      <c r="B384" s="1454"/>
      <c r="C384" s="1454"/>
      <c r="D384" s="1454"/>
      <c r="E384" s="1454"/>
      <c r="F384" s="1454"/>
      <c r="G384" s="1454"/>
      <c r="H384" s="877"/>
      <c r="I384" s="878"/>
      <c r="J384" s="879"/>
      <c r="K384" s="880"/>
      <c r="L384" s="865">
        <f t="shared" si="31"/>
        <v>0</v>
      </c>
    </row>
    <row r="385" spans="1:12">
      <c r="A385" s="1453"/>
      <c r="B385" s="1454"/>
      <c r="C385" s="1454"/>
      <c r="D385" s="1454"/>
      <c r="E385" s="1454"/>
      <c r="F385" s="1454"/>
      <c r="G385" s="1454"/>
      <c r="H385" s="877"/>
      <c r="I385" s="878"/>
      <c r="J385" s="879"/>
      <c r="K385" s="880"/>
      <c r="L385" s="865">
        <f t="shared" si="31"/>
        <v>0</v>
      </c>
    </row>
    <row r="386" spans="1:12">
      <c r="A386" s="1453"/>
      <c r="B386" s="1454"/>
      <c r="C386" s="1454"/>
      <c r="D386" s="1454"/>
      <c r="E386" s="1454"/>
      <c r="F386" s="1454"/>
      <c r="G386" s="1454"/>
      <c r="H386" s="877"/>
      <c r="I386" s="878"/>
      <c r="J386" s="879"/>
      <c r="K386" s="880"/>
      <c r="L386" s="865">
        <f t="shared" si="31"/>
        <v>0</v>
      </c>
    </row>
    <row r="387" spans="1:12">
      <c r="A387" s="1451" t="str">
        <f>'Pricing Schedule'!A342&amp;" " &amp;'Pricing Schedule'!B342</f>
        <v xml:space="preserve"> (e) Training of PLC members</v>
      </c>
      <c r="B387" s="1452"/>
      <c r="C387" s="1452"/>
      <c r="D387" s="1452"/>
      <c r="E387" s="1452"/>
      <c r="F387" s="1452"/>
      <c r="G387" s="1452"/>
      <c r="H387" s="861">
        <f>'Pricing Schedule'!F342</f>
        <v>100000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53"/>
      <c r="B388" s="1454"/>
      <c r="C388" s="1454"/>
      <c r="D388" s="1454"/>
      <c r="E388" s="1454"/>
      <c r="F388" s="1454"/>
      <c r="G388" s="1454"/>
      <c r="H388" s="877"/>
      <c r="I388" s="878"/>
      <c r="J388" s="879"/>
      <c r="K388" s="880"/>
      <c r="L388" s="865">
        <f t="shared" si="31"/>
        <v>0</v>
      </c>
    </row>
    <row r="389" spans="1:12">
      <c r="A389" s="1453"/>
      <c r="B389" s="1454"/>
      <c r="C389" s="1454"/>
      <c r="D389" s="1454"/>
      <c r="E389" s="1454"/>
      <c r="F389" s="1454"/>
      <c r="G389" s="1454"/>
      <c r="H389" s="877"/>
      <c r="I389" s="878"/>
      <c r="J389" s="879"/>
      <c r="K389" s="880"/>
      <c r="L389" s="865">
        <f t="shared" si="31"/>
        <v>0</v>
      </c>
    </row>
    <row r="390" spans="1:12">
      <c r="A390" s="1453"/>
      <c r="B390" s="1454"/>
      <c r="C390" s="1454"/>
      <c r="D390" s="1454"/>
      <c r="E390" s="1454"/>
      <c r="F390" s="1454"/>
      <c r="G390" s="1454"/>
      <c r="H390" s="877"/>
      <c r="I390" s="878"/>
      <c r="J390" s="879"/>
      <c r="K390" s="880"/>
      <c r="L390" s="865">
        <f t="shared" si="31"/>
        <v>0</v>
      </c>
    </row>
    <row r="391" spans="1:12">
      <c r="A391" s="1453"/>
      <c r="B391" s="1454"/>
      <c r="C391" s="1454"/>
      <c r="D391" s="1454"/>
      <c r="E391" s="1454"/>
      <c r="F391" s="1454"/>
      <c r="G391" s="1454"/>
      <c r="H391" s="877"/>
      <c r="I391" s="878"/>
      <c r="J391" s="879"/>
      <c r="K391" s="880"/>
      <c r="L391" s="865">
        <f t="shared" si="31"/>
        <v>0</v>
      </c>
    </row>
    <row r="392" spans="1:12">
      <c r="A392" s="1453"/>
      <c r="B392" s="1454"/>
      <c r="C392" s="1454"/>
      <c r="D392" s="1454"/>
      <c r="E392" s="1454"/>
      <c r="F392" s="1454"/>
      <c r="G392" s="1454"/>
      <c r="H392" s="877"/>
      <c r="I392" s="878"/>
      <c r="J392" s="879"/>
      <c r="K392" s="880"/>
      <c r="L392" s="865">
        <f t="shared" si="31"/>
        <v>0</v>
      </c>
    </row>
    <row r="393" spans="1:12">
      <c r="A393" s="1453"/>
      <c r="B393" s="1454"/>
      <c r="C393" s="1454"/>
      <c r="D393" s="1454"/>
      <c r="E393" s="1454"/>
      <c r="F393" s="1454"/>
      <c r="G393" s="1454"/>
      <c r="H393" s="877"/>
      <c r="I393" s="878"/>
      <c r="J393" s="879"/>
      <c r="K393" s="880"/>
      <c r="L393" s="865">
        <f t="shared" si="31"/>
        <v>0</v>
      </c>
    </row>
    <row r="394" spans="1:12">
      <c r="A394" s="1453"/>
      <c r="B394" s="1454"/>
      <c r="C394" s="1454"/>
      <c r="D394" s="1454"/>
      <c r="E394" s="1454"/>
      <c r="F394" s="1454"/>
      <c r="G394" s="1454"/>
      <c r="H394" s="877"/>
      <c r="I394" s="878"/>
      <c r="J394" s="879"/>
      <c r="K394" s="880"/>
      <c r="L394" s="865">
        <f t="shared" si="31"/>
        <v>0</v>
      </c>
    </row>
    <row r="395" spans="1:12" ht="14.4">
      <c r="A395" s="1451" t="str">
        <f>'Pricing Schedule'!A348&amp;" " &amp;'Pricing Schedule'!B348</f>
        <v>3.8.8 Provision of Social Facilitation Services</v>
      </c>
      <c r="B395" s="1452"/>
      <c r="C395" s="1452"/>
      <c r="D395" s="1452"/>
      <c r="E395" s="1452"/>
      <c r="F395" s="1452"/>
      <c r="G395" s="1452"/>
      <c r="H395" s="861"/>
      <c r="I395" s="532"/>
      <c r="J395" s="862"/>
      <c r="K395" s="532"/>
      <c r="L395" s="863"/>
    </row>
    <row r="396" spans="1:12">
      <c r="A396" s="1451" t="str">
        <f>'Pricing Schedule'!A349&amp;" " &amp;'Pricing Schedule'!B349</f>
        <v xml:space="preserve"> (a) Social Facilitator</v>
      </c>
      <c r="B396" s="1452"/>
      <c r="C396" s="1452"/>
      <c r="D396" s="1452"/>
      <c r="E396" s="1452"/>
      <c r="F396" s="1452"/>
      <c r="G396" s="1452"/>
      <c r="H396" s="861">
        <f>'Pricing Schedule'!F349</f>
        <v>250000</v>
      </c>
      <c r="I396" s="532"/>
      <c r="J396" s="532"/>
      <c r="K396" s="864">
        <f>IF(H396=0,L396/100,(L396/H396))</f>
        <v>0</v>
      </c>
      <c r="L396" s="863">
        <f>SUM(L397:L403)</f>
        <v>0</v>
      </c>
    </row>
    <row r="397" spans="1:12">
      <c r="A397" s="1453"/>
      <c r="B397" s="1454"/>
      <c r="C397" s="1454"/>
      <c r="D397" s="1454"/>
      <c r="E397" s="1454"/>
      <c r="F397" s="1454"/>
      <c r="G397" s="1454"/>
      <c r="H397" s="877"/>
      <c r="I397" s="878"/>
      <c r="J397" s="879"/>
      <c r="K397" s="880"/>
      <c r="L397" s="865">
        <f t="shared" ref="L397:L403" si="32">K397*J397</f>
        <v>0</v>
      </c>
    </row>
    <row r="398" spans="1:12">
      <c r="A398" s="1453"/>
      <c r="B398" s="1454"/>
      <c r="C398" s="1454"/>
      <c r="D398" s="1454"/>
      <c r="E398" s="1454"/>
      <c r="F398" s="1454"/>
      <c r="G398" s="1454"/>
      <c r="H398" s="877"/>
      <c r="I398" s="878"/>
      <c r="J398" s="879"/>
      <c r="K398" s="880"/>
      <c r="L398" s="865">
        <f t="shared" si="32"/>
        <v>0</v>
      </c>
    </row>
    <row r="399" spans="1:12">
      <c r="A399" s="1453"/>
      <c r="B399" s="1454"/>
      <c r="C399" s="1454"/>
      <c r="D399" s="1454"/>
      <c r="E399" s="1454"/>
      <c r="F399" s="1454"/>
      <c r="G399" s="1454"/>
      <c r="H399" s="877"/>
      <c r="I399" s="878"/>
      <c r="J399" s="879"/>
      <c r="K399" s="880"/>
      <c r="L399" s="865">
        <f t="shared" si="32"/>
        <v>0</v>
      </c>
    </row>
    <row r="400" spans="1:12">
      <c r="A400" s="1453"/>
      <c r="B400" s="1454"/>
      <c r="C400" s="1454"/>
      <c r="D400" s="1454"/>
      <c r="E400" s="1454"/>
      <c r="F400" s="1454"/>
      <c r="G400" s="1454"/>
      <c r="H400" s="877"/>
      <c r="I400" s="878"/>
      <c r="J400" s="879"/>
      <c r="K400" s="880"/>
      <c r="L400" s="865">
        <f t="shared" si="32"/>
        <v>0</v>
      </c>
    </row>
    <row r="401" spans="1:12">
      <c r="A401" s="1453"/>
      <c r="B401" s="1454"/>
      <c r="C401" s="1454"/>
      <c r="D401" s="1454"/>
      <c r="E401" s="1454"/>
      <c r="F401" s="1454"/>
      <c r="G401" s="1454"/>
      <c r="H401" s="877"/>
      <c r="I401" s="878"/>
      <c r="J401" s="879"/>
      <c r="K401" s="880"/>
      <c r="L401" s="865">
        <f t="shared" si="32"/>
        <v>0</v>
      </c>
    </row>
    <row r="402" spans="1:12">
      <c r="A402" s="1453"/>
      <c r="B402" s="1454"/>
      <c r="C402" s="1454"/>
      <c r="D402" s="1454"/>
      <c r="E402" s="1454"/>
      <c r="F402" s="1454"/>
      <c r="G402" s="1454"/>
      <c r="H402" s="877"/>
      <c r="I402" s="878"/>
      <c r="J402" s="879"/>
      <c r="K402" s="880"/>
      <c r="L402" s="865">
        <f t="shared" si="32"/>
        <v>0</v>
      </c>
    </row>
    <row r="403" spans="1:12" ht="13.8" thickBot="1">
      <c r="A403" s="1453"/>
      <c r="B403" s="1454"/>
      <c r="C403" s="1454"/>
      <c r="D403" s="1454"/>
      <c r="E403" s="1454"/>
      <c r="F403" s="1454"/>
      <c r="G403" s="1454"/>
      <c r="H403" s="877"/>
      <c r="I403" s="878"/>
      <c r="J403" s="879"/>
      <c r="K403" s="880"/>
      <c r="L403" s="865">
        <f t="shared" si="32"/>
        <v>0</v>
      </c>
    </row>
    <row r="404" spans="1:12">
      <c r="A404" s="1465"/>
      <c r="B404" s="1466"/>
      <c r="C404" s="1466"/>
      <c r="D404" s="1466"/>
      <c r="E404" s="1466"/>
      <c r="F404" s="1466"/>
      <c r="G404" s="1466"/>
      <c r="H404" s="1467"/>
      <c r="I404" s="866"/>
      <c r="J404" s="867" t="s">
        <v>366</v>
      </c>
      <c r="K404" s="868">
        <f>'C3.8'!$A$7</f>
        <v>3.8</v>
      </c>
      <c r="L404" s="534">
        <f>L345+L354+L362+L371+L379+L387+L396</f>
        <v>0</v>
      </c>
    </row>
    <row r="405" spans="1:12" ht="13.8" thickBot="1">
      <c r="A405" s="1462"/>
      <c r="B405" s="1463"/>
      <c r="C405" s="1463"/>
      <c r="D405" s="1463"/>
      <c r="E405" s="1463"/>
      <c r="F405" s="1463"/>
      <c r="G405" s="1463"/>
      <c r="H405" s="1464"/>
      <c r="I405" s="869"/>
      <c r="J405" s="869"/>
      <c r="K405" s="870"/>
      <c r="L405" s="871"/>
    </row>
    <row r="406" spans="1:12" ht="13.8" thickBot="1">
      <c r="A406" s="1458" t="s">
        <v>799</v>
      </c>
      <c r="B406" s="1459"/>
      <c r="C406" s="1459"/>
      <c r="D406" s="1459"/>
      <c r="E406" s="1459"/>
      <c r="F406" s="1459"/>
      <c r="G406" s="1459"/>
      <c r="H406" s="1459"/>
      <c r="I406" s="1459"/>
      <c r="J406" s="1459"/>
      <c r="K406" s="1472"/>
      <c r="L406" s="873">
        <f>L404+L342</f>
        <v>0</v>
      </c>
    </row>
    <row r="407" spans="1:12" ht="15.6">
      <c r="L407" s="857" t="s">
        <v>798</v>
      </c>
    </row>
    <row r="408" spans="1:12" ht="15.6">
      <c r="L408" s="858"/>
    </row>
    <row r="409" spans="1:12">
      <c r="A409" s="1457" t="s">
        <v>420</v>
      </c>
      <c r="B409" s="1401"/>
      <c r="C409" s="524" t="str">
        <f>$C$3</f>
        <v>NRA.N.007-040-2024/1F</v>
      </c>
      <c r="D409" s="403"/>
      <c r="E409" s="403"/>
      <c r="F409" s="1471">
        <f>$F$3</f>
        <v>45169</v>
      </c>
      <c r="G409" s="1471"/>
      <c r="H409" s="1455" t="s">
        <v>377</v>
      </c>
      <c r="I409" s="1455"/>
      <c r="J409" s="1455"/>
      <c r="K409" s="1456">
        <f>$K$3</f>
        <v>1</v>
      </c>
      <c r="L409" s="1403"/>
    </row>
    <row r="410" spans="1:12" ht="13.8" thickBot="1"/>
    <row r="411" spans="1:12">
      <c r="A411" s="439"/>
      <c r="B411" s="440"/>
      <c r="C411" s="440"/>
      <c r="D411" s="440"/>
      <c r="E411" s="440"/>
      <c r="F411" s="440"/>
      <c r="G411" s="440"/>
      <c r="H411" s="440"/>
      <c r="I411" s="440"/>
      <c r="J411" s="440"/>
      <c r="K411" s="440"/>
      <c r="L411" s="525"/>
    </row>
    <row r="412" spans="1:12" ht="13.8">
      <c r="A412" s="1395" t="s">
        <v>417</v>
      </c>
      <c r="B412" s="1396"/>
      <c r="C412" s="1396"/>
      <c r="D412" s="1396"/>
      <c r="E412" s="1396"/>
      <c r="F412" s="1396"/>
      <c r="G412" s="1396"/>
      <c r="H412" s="1396"/>
      <c r="I412" s="1396"/>
      <c r="J412" s="1396"/>
      <c r="K412" s="1396"/>
      <c r="L412" s="1397"/>
    </row>
    <row r="413" spans="1:12" ht="13.8" thickBot="1">
      <c r="A413" s="526"/>
      <c r="L413" s="527"/>
    </row>
    <row r="414" spans="1:12" ht="13.8" thickBot="1">
      <c r="A414" s="1468" t="s">
        <v>0</v>
      </c>
      <c r="B414" s="1469"/>
      <c r="C414" s="1469"/>
      <c r="D414" s="1469"/>
      <c r="E414" s="1469"/>
      <c r="F414" s="1469"/>
      <c r="G414" s="1469"/>
      <c r="H414" s="1470"/>
      <c r="I414" s="528" t="s">
        <v>1</v>
      </c>
      <c r="J414" s="528" t="s">
        <v>2</v>
      </c>
      <c r="K414" s="528" t="s">
        <v>3</v>
      </c>
      <c r="L414" s="529" t="s">
        <v>402</v>
      </c>
    </row>
    <row r="415" spans="1:12" ht="15.75" customHeight="1" thickBot="1">
      <c r="A415" s="1458" t="s">
        <v>800</v>
      </c>
      <c r="B415" s="1459"/>
      <c r="C415" s="1459"/>
      <c r="D415" s="1459"/>
      <c r="E415" s="1459"/>
      <c r="F415" s="1459"/>
      <c r="G415" s="1459"/>
      <c r="H415" s="1459"/>
      <c r="I415" s="1459"/>
      <c r="J415" s="1459"/>
      <c r="K415" s="1472"/>
      <c r="L415" s="545">
        <f>L406</f>
        <v>0</v>
      </c>
    </row>
    <row r="416" spans="1:12">
      <c r="A416" s="1473" t="str">
        <f>'Pricing Schedule'!A352&amp;" " &amp;'Pricing Schedule'!B352</f>
        <v>3.9 QUALITY CONTROL: WORKS CONTRACT</v>
      </c>
      <c r="B416" s="1474"/>
      <c r="C416" s="1474"/>
      <c r="D416" s="1474"/>
      <c r="E416" s="1474"/>
      <c r="F416" s="1474"/>
      <c r="G416" s="1474"/>
      <c r="H416" s="1474"/>
      <c r="I416" s="1474"/>
      <c r="J416" s="1474"/>
      <c r="K416" s="1414"/>
      <c r="L416" s="536"/>
    </row>
    <row r="417" spans="1:12" ht="14.4">
      <c r="A417" s="1451" t="str">
        <f>'Pricing Schedule'!A353&amp;" " &amp;'Pricing Schedule'!B353</f>
        <v>3.9.1 Laboratory testing</v>
      </c>
      <c r="B417" s="1452"/>
      <c r="C417" s="1452"/>
      <c r="D417" s="1452"/>
      <c r="E417" s="1452"/>
      <c r="F417" s="1452"/>
      <c r="G417" s="1452"/>
      <c r="H417" s="861"/>
      <c r="I417" s="532"/>
      <c r="J417" s="862"/>
      <c r="K417" s="532"/>
      <c r="L417" s="863"/>
    </row>
    <row r="418" spans="1:12">
      <c r="A418" s="1451" t="str">
        <f>'Pricing Schedule'!A354&amp;" " &amp;'Pricing Schedule'!B354</f>
        <v xml:space="preserve"> (a) Provision of a fully operational laboratory</v>
      </c>
      <c r="B418" s="1452"/>
      <c r="C418" s="1452"/>
      <c r="D418" s="1452"/>
      <c r="E418" s="1452"/>
      <c r="F418" s="1452"/>
      <c r="G418" s="1452"/>
      <c r="H418" s="861">
        <f>'Pricing Schedule'!F354</f>
        <v>18000000</v>
      </c>
      <c r="I418" s="532"/>
      <c r="J418" s="532"/>
      <c r="K418" s="864">
        <f>IF(H418=0,L418/100,(L418/H418))</f>
        <v>0</v>
      </c>
      <c r="L418" s="863">
        <f>SUM(L419:L425)</f>
        <v>0</v>
      </c>
    </row>
    <row r="419" spans="1:12">
      <c r="A419" s="1453"/>
      <c r="B419" s="1454"/>
      <c r="C419" s="1454"/>
      <c r="D419" s="1454"/>
      <c r="E419" s="1454"/>
      <c r="F419" s="1454"/>
      <c r="G419" s="1454"/>
      <c r="H419" s="877"/>
      <c r="I419" s="878"/>
      <c r="J419" s="879"/>
      <c r="K419" s="880"/>
      <c r="L419" s="865">
        <f>K419*J419</f>
        <v>0</v>
      </c>
    </row>
    <row r="420" spans="1:12">
      <c r="A420" s="1453"/>
      <c r="B420" s="1454"/>
      <c r="C420" s="1454"/>
      <c r="D420" s="1454"/>
      <c r="E420" s="1454"/>
      <c r="F420" s="1454"/>
      <c r="G420" s="1454"/>
      <c r="H420" s="877"/>
      <c r="I420" s="878"/>
      <c r="J420" s="879"/>
      <c r="K420" s="880"/>
      <c r="L420" s="865">
        <f t="shared" ref="L420:L425" si="33">K420*J420</f>
        <v>0</v>
      </c>
    </row>
    <row r="421" spans="1:12">
      <c r="A421" s="1453"/>
      <c r="B421" s="1454"/>
      <c r="C421" s="1454"/>
      <c r="D421" s="1454"/>
      <c r="E421" s="1454"/>
      <c r="F421" s="1454"/>
      <c r="G421" s="1454"/>
      <c r="H421" s="877"/>
      <c r="I421" s="878"/>
      <c r="J421" s="879"/>
      <c r="K421" s="880"/>
      <c r="L421" s="865">
        <f t="shared" si="33"/>
        <v>0</v>
      </c>
    </row>
    <row r="422" spans="1:12">
      <c r="A422" s="1453"/>
      <c r="B422" s="1454"/>
      <c r="C422" s="1454"/>
      <c r="D422" s="1454"/>
      <c r="E422" s="1454"/>
      <c r="F422" s="1454"/>
      <c r="G422" s="1454"/>
      <c r="H422" s="877"/>
      <c r="I422" s="878"/>
      <c r="J422" s="879"/>
      <c r="K422" s="880"/>
      <c r="L422" s="865">
        <f t="shared" si="33"/>
        <v>0</v>
      </c>
    </row>
    <row r="423" spans="1:12">
      <c r="A423" s="1453"/>
      <c r="B423" s="1454"/>
      <c r="C423" s="1454"/>
      <c r="D423" s="1454"/>
      <c r="E423" s="1454"/>
      <c r="F423" s="1454"/>
      <c r="G423" s="1454"/>
      <c r="H423" s="877"/>
      <c r="I423" s="878"/>
      <c r="J423" s="879"/>
      <c r="K423" s="880"/>
      <c r="L423" s="865">
        <f t="shared" si="33"/>
        <v>0</v>
      </c>
    </row>
    <row r="424" spans="1:12">
      <c r="A424" s="1453"/>
      <c r="B424" s="1454"/>
      <c r="C424" s="1454"/>
      <c r="D424" s="1454"/>
      <c r="E424" s="1454"/>
      <c r="F424" s="1454"/>
      <c r="G424" s="1454"/>
      <c r="H424" s="877"/>
      <c r="I424" s="878"/>
      <c r="J424" s="879"/>
      <c r="K424" s="880"/>
      <c r="L424" s="865">
        <f t="shared" si="33"/>
        <v>0</v>
      </c>
    </row>
    <row r="425" spans="1:12">
      <c r="A425" s="1453"/>
      <c r="B425" s="1454"/>
      <c r="C425" s="1454"/>
      <c r="D425" s="1454"/>
      <c r="E425" s="1454"/>
      <c r="F425" s="1454"/>
      <c r="G425" s="1454"/>
      <c r="H425" s="877"/>
      <c r="I425" s="878"/>
      <c r="J425" s="879"/>
      <c r="K425" s="880"/>
      <c r="L425" s="865">
        <f t="shared" si="33"/>
        <v>0</v>
      </c>
    </row>
    <row r="426" spans="1:12">
      <c r="A426" s="1451" t="str">
        <f>'Pricing Schedule'!A356&amp;" " &amp;'Pricing Schedule'!B356</f>
        <v xml:space="preserve"> (c) Off-site materials testing</v>
      </c>
      <c r="B426" s="1452"/>
      <c r="C426" s="1452"/>
      <c r="D426" s="1452"/>
      <c r="E426" s="1452"/>
      <c r="F426" s="1452"/>
      <c r="G426" s="1452"/>
      <c r="H426" s="861">
        <f>'Pricing Schedule'!F356</f>
        <v>250000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53"/>
      <c r="B427" s="1454"/>
      <c r="C427" s="1454"/>
      <c r="D427" s="1454"/>
      <c r="E427" s="1454"/>
      <c r="F427" s="1454"/>
      <c r="G427" s="1454"/>
      <c r="H427" s="877"/>
      <c r="I427" s="878"/>
      <c r="J427" s="879"/>
      <c r="K427" s="880"/>
      <c r="L427" s="865">
        <f>K427*J427</f>
        <v>0</v>
      </c>
    </row>
    <row r="428" spans="1:12">
      <c r="A428" s="1453"/>
      <c r="B428" s="1454"/>
      <c r="C428" s="1454"/>
      <c r="D428" s="1454"/>
      <c r="E428" s="1454"/>
      <c r="F428" s="1454"/>
      <c r="G428" s="1454"/>
      <c r="H428" s="877"/>
      <c r="I428" s="878"/>
      <c r="J428" s="879"/>
      <c r="K428" s="880"/>
      <c r="L428" s="865">
        <f t="shared" ref="L428:L433" si="34">K428*J428</f>
        <v>0</v>
      </c>
    </row>
    <row r="429" spans="1:12">
      <c r="A429" s="1453"/>
      <c r="B429" s="1454"/>
      <c r="C429" s="1454"/>
      <c r="D429" s="1454"/>
      <c r="E429" s="1454"/>
      <c r="F429" s="1454"/>
      <c r="G429" s="1454"/>
      <c r="H429" s="877"/>
      <c r="I429" s="878"/>
      <c r="J429" s="879"/>
      <c r="K429" s="880"/>
      <c r="L429" s="865">
        <f t="shared" si="34"/>
        <v>0</v>
      </c>
    </row>
    <row r="430" spans="1:12">
      <c r="A430" s="1453"/>
      <c r="B430" s="1454"/>
      <c r="C430" s="1454"/>
      <c r="D430" s="1454"/>
      <c r="E430" s="1454"/>
      <c r="F430" s="1454"/>
      <c r="G430" s="1454"/>
      <c r="H430" s="877"/>
      <c r="I430" s="878"/>
      <c r="J430" s="879"/>
      <c r="K430" s="880"/>
      <c r="L430" s="865">
        <f t="shared" si="34"/>
        <v>0</v>
      </c>
    </row>
    <row r="431" spans="1:12">
      <c r="A431" s="1453"/>
      <c r="B431" s="1454"/>
      <c r="C431" s="1454"/>
      <c r="D431" s="1454"/>
      <c r="E431" s="1454"/>
      <c r="F431" s="1454"/>
      <c r="G431" s="1454"/>
      <c r="H431" s="877"/>
      <c r="I431" s="878"/>
      <c r="J431" s="879"/>
      <c r="K431" s="880"/>
      <c r="L431" s="865">
        <f t="shared" si="34"/>
        <v>0</v>
      </c>
    </row>
    <row r="432" spans="1:12">
      <c r="A432" s="1453"/>
      <c r="B432" s="1454"/>
      <c r="C432" s="1454"/>
      <c r="D432" s="1454"/>
      <c r="E432" s="1454"/>
      <c r="F432" s="1454"/>
      <c r="G432" s="1454"/>
      <c r="H432" s="877"/>
      <c r="I432" s="878"/>
      <c r="J432" s="879"/>
      <c r="K432" s="880"/>
      <c r="L432" s="865">
        <f t="shared" si="34"/>
        <v>0</v>
      </c>
    </row>
    <row r="433" spans="1:12" ht="13.8" thickBot="1">
      <c r="A433" s="1453"/>
      <c r="B433" s="1454"/>
      <c r="C433" s="1454"/>
      <c r="D433" s="1454"/>
      <c r="E433" s="1454"/>
      <c r="F433" s="1454"/>
      <c r="G433" s="1454"/>
      <c r="H433" s="877"/>
      <c r="I433" s="878"/>
      <c r="J433" s="879"/>
      <c r="K433" s="880"/>
      <c r="L433" s="865">
        <f t="shared" si="34"/>
        <v>0</v>
      </c>
    </row>
    <row r="434" spans="1:12">
      <c r="A434" s="1465"/>
      <c r="B434" s="1466"/>
      <c r="C434" s="1466"/>
      <c r="D434" s="1466"/>
      <c r="E434" s="1466"/>
      <c r="F434" s="1466"/>
      <c r="G434" s="1466"/>
      <c r="H434" s="1467"/>
      <c r="I434" s="866"/>
      <c r="J434" s="867" t="s">
        <v>366</v>
      </c>
      <c r="K434" s="868">
        <f>'C3.9'!$A$7</f>
        <v>3.9</v>
      </c>
      <c r="L434" s="534">
        <f>L418+L426</f>
        <v>0</v>
      </c>
    </row>
    <row r="435" spans="1:12" ht="13.8" thickBot="1">
      <c r="A435" s="1481"/>
      <c r="B435" s="1482"/>
      <c r="C435" s="1482"/>
      <c r="D435" s="1482"/>
      <c r="E435" s="1482"/>
      <c r="F435" s="1482"/>
      <c r="G435" s="1482"/>
      <c r="H435" s="1483"/>
      <c r="I435" s="874"/>
      <c r="J435" s="874"/>
      <c r="K435" s="875"/>
      <c r="L435" s="876"/>
    </row>
    <row r="436" spans="1:12">
      <c r="A436" s="1475" t="s">
        <v>427</v>
      </c>
      <c r="B436" s="1476"/>
      <c r="C436" s="1476"/>
      <c r="D436" s="1476"/>
      <c r="E436" s="1476"/>
      <c r="F436" s="1476"/>
      <c r="G436" s="1476"/>
      <c r="H436" s="1477"/>
      <c r="I436" s="532"/>
      <c r="J436" s="532"/>
      <c r="K436" s="532"/>
      <c r="L436" s="538">
        <f>L81+L192+L214+L404</f>
        <v>0</v>
      </c>
    </row>
    <row r="437" spans="1:12" ht="13.8" thickBot="1">
      <c r="A437" s="1475" t="s">
        <v>428</v>
      </c>
      <c r="B437" s="1476"/>
      <c r="C437" s="1476"/>
      <c r="D437" s="1476"/>
      <c r="E437" s="1476"/>
      <c r="F437" s="1476"/>
      <c r="G437" s="1476"/>
      <c r="H437" s="1477"/>
      <c r="I437" s="532"/>
      <c r="J437" s="532"/>
      <c r="K437" s="788"/>
      <c r="L437" s="539">
        <f>L331+L434</f>
        <v>0</v>
      </c>
    </row>
    <row r="438" spans="1:12" ht="18.75" customHeight="1" thickBot="1">
      <c r="A438" s="1458" t="s">
        <v>429</v>
      </c>
      <c r="B438" s="1459"/>
      <c r="C438" s="1459"/>
      <c r="D438" s="1459"/>
      <c r="E438" s="1459"/>
      <c r="F438" s="1459"/>
      <c r="G438" s="1459"/>
      <c r="H438" s="1459"/>
      <c r="I438" s="1459"/>
      <c r="J438" s="1459"/>
      <c r="K438" s="1472"/>
      <c r="L438" s="872">
        <f>SUM(L436:L437)</f>
        <v>0</v>
      </c>
    </row>
  </sheetData>
  <mergeCells count="426">
    <mergeCell ref="A400:G400"/>
    <mergeCell ref="A401:G401"/>
    <mergeCell ref="A392:G392"/>
    <mergeCell ref="A393:G393"/>
    <mergeCell ref="A394:G394"/>
    <mergeCell ref="A395:G395"/>
    <mergeCell ref="A396:G396"/>
    <mergeCell ref="A397:G397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415:K415"/>
    <mergeCell ref="A434:H434"/>
    <mergeCell ref="A435:H435"/>
    <mergeCell ref="A367:G367"/>
    <mergeCell ref="A368:G368"/>
    <mergeCell ref="A369:G369"/>
    <mergeCell ref="A416:K416"/>
    <mergeCell ref="A417:G417"/>
    <mergeCell ref="A418:G418"/>
    <mergeCell ref="A419:G419"/>
    <mergeCell ref="A420:G420"/>
    <mergeCell ref="A421:G421"/>
    <mergeCell ref="A404:H404"/>
    <mergeCell ref="A405:H405"/>
    <mergeCell ref="A406:K406"/>
    <mergeCell ref="A402:G402"/>
    <mergeCell ref="A403:G403"/>
    <mergeCell ref="A376:G376"/>
    <mergeCell ref="A377:G377"/>
    <mergeCell ref="A378:G378"/>
    <mergeCell ref="A379:G379"/>
    <mergeCell ref="A380:G380"/>
    <mergeCell ref="A398:G398"/>
    <mergeCell ref="A399:G399"/>
    <mergeCell ref="K409:L409"/>
    <mergeCell ref="A412:L412"/>
    <mergeCell ref="A343:K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70:G370"/>
    <mergeCell ref="A371:G371"/>
    <mergeCell ref="A372:G372"/>
    <mergeCell ref="A373:G373"/>
    <mergeCell ref="A374:G374"/>
    <mergeCell ref="A375:G375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71:G171"/>
    <mergeCell ref="A172:G172"/>
    <mergeCell ref="A173:G173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65:G165"/>
    <mergeCell ref="A148:G148"/>
    <mergeCell ref="A149:G149"/>
    <mergeCell ref="A150:G150"/>
    <mergeCell ref="A151:G151"/>
    <mergeCell ref="A152:G152"/>
    <mergeCell ref="A153:G153"/>
    <mergeCell ref="A154:G154"/>
    <mergeCell ref="A136:G136"/>
    <mergeCell ref="A137:G137"/>
    <mergeCell ref="A138:G138"/>
    <mergeCell ref="A166:G166"/>
    <mergeCell ref="A167:G167"/>
    <mergeCell ref="A168:G168"/>
    <mergeCell ref="A169:G169"/>
    <mergeCell ref="A170:G170"/>
    <mergeCell ref="A164:G16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72:G72"/>
    <mergeCell ref="H86:J86"/>
    <mergeCell ref="K86:L86"/>
    <mergeCell ref="A89:L89"/>
    <mergeCell ref="A91:H91"/>
    <mergeCell ref="F86:G86"/>
    <mergeCell ref="A73:G73"/>
    <mergeCell ref="A110:G110"/>
    <mergeCell ref="A81:H81"/>
    <mergeCell ref="A74:G74"/>
    <mergeCell ref="A75:G75"/>
    <mergeCell ref="A76:G76"/>
    <mergeCell ref="A77:G77"/>
    <mergeCell ref="A78:G78"/>
    <mergeCell ref="A82:H82"/>
    <mergeCell ref="A83:K83"/>
    <mergeCell ref="A86:B86"/>
    <mergeCell ref="A79:G79"/>
    <mergeCell ref="A80:G80"/>
    <mergeCell ref="A121:G121"/>
    <mergeCell ref="A122:G122"/>
    <mergeCell ref="A123:G123"/>
    <mergeCell ref="A124:G124"/>
    <mergeCell ref="A339:L339"/>
    <mergeCell ref="K219:L219"/>
    <mergeCell ref="A222:L222"/>
    <mergeCell ref="K336:L336"/>
    <mergeCell ref="A214:H214"/>
    <mergeCell ref="A215:H215"/>
    <mergeCell ref="A331:H331"/>
    <mergeCell ref="A332:H332"/>
    <mergeCell ref="A333:K333"/>
    <mergeCell ref="F336:G336"/>
    <mergeCell ref="A224:H224"/>
    <mergeCell ref="A225:K225"/>
    <mergeCell ref="A226:K226"/>
    <mergeCell ref="A245:G245"/>
    <mergeCell ref="A246:G246"/>
    <mergeCell ref="A247:G247"/>
    <mergeCell ref="A251:G251"/>
    <mergeCell ref="A252:G252"/>
    <mergeCell ref="A268:G268"/>
    <mergeCell ref="A139:G139"/>
    <mergeCell ref="A47:G47"/>
    <mergeCell ref="A48:G48"/>
    <mergeCell ref="A49:G49"/>
    <mergeCell ref="A50:G50"/>
    <mergeCell ref="A51:G51"/>
    <mergeCell ref="A52:G52"/>
    <mergeCell ref="A53:G53"/>
    <mergeCell ref="A130:G130"/>
    <mergeCell ref="A96:G96"/>
    <mergeCell ref="A97:G97"/>
    <mergeCell ref="A98:G98"/>
    <mergeCell ref="A99:G99"/>
    <mergeCell ref="A92:K92"/>
    <mergeCell ref="A93:G93"/>
    <mergeCell ref="A94:G94"/>
    <mergeCell ref="A95:G95"/>
    <mergeCell ref="A112:G112"/>
    <mergeCell ref="A114:G114"/>
    <mergeCell ref="A113:G113"/>
    <mergeCell ref="A116:G116"/>
    <mergeCell ref="A117:G117"/>
    <mergeCell ref="A118:G118"/>
    <mergeCell ref="A119:G119"/>
    <mergeCell ref="A120:G120"/>
    <mergeCell ref="A438:K438"/>
    <mergeCell ref="A436:H436"/>
    <mergeCell ref="A437:H437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14:H414"/>
    <mergeCell ref="A336:B336"/>
    <mergeCell ref="H336:J336"/>
    <mergeCell ref="H219:J219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9:G269"/>
    <mergeCell ref="A270:G270"/>
    <mergeCell ref="A271:G271"/>
    <mergeCell ref="A272:G272"/>
    <mergeCell ref="A273:G273"/>
    <mergeCell ref="A342:K342"/>
    <mergeCell ref="A359:G359"/>
    <mergeCell ref="A360:G360"/>
    <mergeCell ref="A22:G22"/>
    <mergeCell ref="A341:H341"/>
    <mergeCell ref="A253:G253"/>
    <mergeCell ref="A254:G254"/>
    <mergeCell ref="A255:G255"/>
    <mergeCell ref="A409:B409"/>
    <mergeCell ref="F409:G409"/>
    <mergeCell ref="H409:J409"/>
    <mergeCell ref="A194:K194"/>
    <mergeCell ref="A40:G40"/>
    <mergeCell ref="A41:G41"/>
    <mergeCell ref="A42:G42"/>
    <mergeCell ref="A43:G43"/>
    <mergeCell ref="A44:G44"/>
    <mergeCell ref="A66:G66"/>
    <mergeCell ref="A69:G69"/>
    <mergeCell ref="A70:G70"/>
    <mergeCell ref="A71:G71"/>
    <mergeCell ref="A37:G37"/>
    <mergeCell ref="A38:G38"/>
    <mergeCell ref="A39:G39"/>
    <mergeCell ref="A57:G57"/>
    <mergeCell ref="A45:G45"/>
    <mergeCell ref="A46:G46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48:G248"/>
    <mergeCell ref="A249:G249"/>
    <mergeCell ref="A250:G250"/>
    <mergeCell ref="A200:L200"/>
    <mergeCell ref="A202:H202"/>
    <mergeCell ref="F197:G197"/>
    <mergeCell ref="A203:K203"/>
    <mergeCell ref="A205:G205"/>
    <mergeCell ref="A211:G211"/>
    <mergeCell ref="A212:G212"/>
    <mergeCell ref="A213:G213"/>
    <mergeCell ref="A216:K216"/>
    <mergeCell ref="A206:G206"/>
    <mergeCell ref="A207:G207"/>
    <mergeCell ref="A208:G208"/>
    <mergeCell ref="A209:G209"/>
    <mergeCell ref="A210:G210"/>
    <mergeCell ref="A204:K204"/>
    <mergeCell ref="A197:B197"/>
    <mergeCell ref="H197:J197"/>
    <mergeCell ref="K197:L197"/>
    <mergeCell ref="A219:B219"/>
    <mergeCell ref="F219:G219"/>
    <mergeCell ref="A227:G227"/>
    <mergeCell ref="A193:H193"/>
    <mergeCell ref="A192:H192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1:G111"/>
    <mergeCell ref="A127:G127"/>
    <mergeCell ref="A128:G128"/>
    <mergeCell ref="A129:G129"/>
    <mergeCell ref="A115:G115"/>
    <mergeCell ref="A125:G125"/>
    <mergeCell ref="A126:G126"/>
    <mergeCell ref="A131:G131"/>
    <mergeCell ref="A132:G132"/>
    <mergeCell ref="A133:G133"/>
    <mergeCell ref="A134:G134"/>
    <mergeCell ref="A135:G135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289:G289"/>
    <mergeCell ref="A290:G290"/>
    <mergeCell ref="A291:G291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308:G308"/>
    <mergeCell ref="A326:G326"/>
    <mergeCell ref="A309:G309"/>
    <mergeCell ref="A310:G310"/>
    <mergeCell ref="A311:G311"/>
    <mergeCell ref="A312:G312"/>
    <mergeCell ref="A313:G313"/>
    <mergeCell ref="A314:G314"/>
    <mergeCell ref="A315:G315"/>
    <mergeCell ref="A325:G32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54:G54"/>
    <mergeCell ref="A55:G55"/>
    <mergeCell ref="A301:G301"/>
    <mergeCell ref="A302:G302"/>
    <mergeCell ref="A303:G303"/>
    <mergeCell ref="A304:G304"/>
    <mergeCell ref="A305:G305"/>
    <mergeCell ref="A306:G306"/>
    <mergeCell ref="A307:G307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283:G283"/>
    <mergeCell ref="A284:G284"/>
    <mergeCell ref="A285:G285"/>
    <mergeCell ref="A286:G286"/>
    <mergeCell ref="A287:G287"/>
    <mergeCell ref="A288:G288"/>
    <mergeCell ref="A56:G56"/>
    <mergeCell ref="A68:G68"/>
    <mergeCell ref="A58:G58"/>
    <mergeCell ref="A59:G59"/>
    <mergeCell ref="A60:G60"/>
    <mergeCell ref="A61:G61"/>
    <mergeCell ref="A62:G62"/>
    <mergeCell ref="A63:G63"/>
    <mergeCell ref="A64:G64"/>
    <mergeCell ref="A65:G65"/>
    <mergeCell ref="A67:G67"/>
    <mergeCell ref="A381:G381"/>
    <mergeCell ref="A390:G390"/>
    <mergeCell ref="A391:G391"/>
    <mergeCell ref="A327:G327"/>
    <mergeCell ref="A328:G328"/>
    <mergeCell ref="A329:G329"/>
    <mergeCell ref="A330:G330"/>
    <mergeCell ref="A361:G361"/>
    <mergeCell ref="A362:G362"/>
    <mergeCell ref="A363:G363"/>
    <mergeCell ref="A364:G364"/>
    <mergeCell ref="A365:G365"/>
    <mergeCell ref="A366:G36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</mergeCells>
  <conditionalFormatting sqref="L11">
    <cfRule type="expression" dxfId="2535" priority="149">
      <formula>L11&gt;H11</formula>
    </cfRule>
  </conditionalFormatting>
  <conditionalFormatting sqref="L29">
    <cfRule type="expression" dxfId="2534" priority="147">
      <formula>L29&gt;H29</formula>
    </cfRule>
  </conditionalFormatting>
  <conditionalFormatting sqref="L38">
    <cfRule type="expression" dxfId="2533" priority="145">
      <formula>L38&gt;H38</formula>
    </cfRule>
  </conditionalFormatting>
  <conditionalFormatting sqref="L72">
    <cfRule type="expression" dxfId="2532" priority="139">
      <formula>L72&gt;H72</formula>
    </cfRule>
  </conditionalFormatting>
  <conditionalFormatting sqref="L73">
    <cfRule type="expression" dxfId="2531" priority="138">
      <formula>L73&gt;H73</formula>
    </cfRule>
  </conditionalFormatting>
  <conditionalFormatting sqref="L95">
    <cfRule type="expression" dxfId="2530" priority="135">
      <formula>L95&gt;H95</formula>
    </cfRule>
  </conditionalFormatting>
  <conditionalFormatting sqref="L104">
    <cfRule type="expression" dxfId="2529" priority="134">
      <formula>L104&gt;H104</formula>
    </cfRule>
  </conditionalFormatting>
  <conditionalFormatting sqref="L114">
    <cfRule type="expression" dxfId="2528" priority="133">
      <formula>L114&gt;H114</formula>
    </cfRule>
  </conditionalFormatting>
  <conditionalFormatting sqref="L114">
    <cfRule type="expression" dxfId="2527" priority="132">
      <formula>L114&gt;H114</formula>
    </cfRule>
  </conditionalFormatting>
  <conditionalFormatting sqref="L132">
    <cfRule type="expression" dxfId="2526" priority="131">
      <formula>L132&gt;H132</formula>
    </cfRule>
  </conditionalFormatting>
  <conditionalFormatting sqref="L132">
    <cfRule type="expression" dxfId="2525" priority="130">
      <formula>L132&gt;H132</formula>
    </cfRule>
  </conditionalFormatting>
  <conditionalFormatting sqref="L140">
    <cfRule type="expression" dxfId="2524" priority="129">
      <formula>L140&gt;H140</formula>
    </cfRule>
  </conditionalFormatting>
  <conditionalFormatting sqref="L140">
    <cfRule type="expression" dxfId="2523" priority="128">
      <formula>L140&gt;H140</formula>
    </cfRule>
  </conditionalFormatting>
  <conditionalFormatting sqref="L166">
    <cfRule type="expression" dxfId="2522" priority="127">
      <formula>L166&gt;H166</formula>
    </cfRule>
  </conditionalFormatting>
  <conditionalFormatting sqref="L166">
    <cfRule type="expression" dxfId="2521" priority="126">
      <formula>L166&gt;H166</formula>
    </cfRule>
  </conditionalFormatting>
  <conditionalFormatting sqref="L175">
    <cfRule type="expression" dxfId="2520" priority="125">
      <formula>L175&gt;H175</formula>
    </cfRule>
  </conditionalFormatting>
  <conditionalFormatting sqref="L175">
    <cfRule type="expression" dxfId="2519" priority="124">
      <formula>L175&gt;H175</formula>
    </cfRule>
  </conditionalFormatting>
  <conditionalFormatting sqref="L206">
    <cfRule type="expression" dxfId="2518" priority="123">
      <formula>L206&gt;H206</formula>
    </cfRule>
  </conditionalFormatting>
  <conditionalFormatting sqref="L206">
    <cfRule type="expression" dxfId="2517" priority="122">
      <formula>L206&gt;H206</formula>
    </cfRule>
  </conditionalFormatting>
  <conditionalFormatting sqref="L206">
    <cfRule type="expression" dxfId="2516" priority="121">
      <formula>L206&gt;H206</formula>
    </cfRule>
  </conditionalFormatting>
  <conditionalFormatting sqref="L246">
    <cfRule type="expression" dxfId="2515" priority="120">
      <formula>L246&gt;H246</formula>
    </cfRule>
  </conditionalFormatting>
  <conditionalFormatting sqref="L246">
    <cfRule type="expression" dxfId="2514" priority="119">
      <formula>L246&gt;H246</formula>
    </cfRule>
  </conditionalFormatting>
  <conditionalFormatting sqref="L246">
    <cfRule type="expression" dxfId="2513" priority="118">
      <formula>L246&gt;H246</formula>
    </cfRule>
  </conditionalFormatting>
  <conditionalFormatting sqref="L255">
    <cfRule type="expression" dxfId="2512" priority="117">
      <formula>L255&gt;H255</formula>
    </cfRule>
  </conditionalFormatting>
  <conditionalFormatting sqref="L255">
    <cfRule type="expression" dxfId="2511" priority="116">
      <formula>L255&gt;H255</formula>
    </cfRule>
  </conditionalFormatting>
  <conditionalFormatting sqref="L255">
    <cfRule type="expression" dxfId="2510" priority="115">
      <formula>L255&gt;H255</formula>
    </cfRule>
  </conditionalFormatting>
  <conditionalFormatting sqref="L264">
    <cfRule type="expression" dxfId="2509" priority="114">
      <formula>L264&gt;H264</formula>
    </cfRule>
  </conditionalFormatting>
  <conditionalFormatting sqref="L264">
    <cfRule type="expression" dxfId="2508" priority="113">
      <formula>L264&gt;H264</formula>
    </cfRule>
  </conditionalFormatting>
  <conditionalFormatting sqref="L264">
    <cfRule type="expression" dxfId="2507" priority="112">
      <formula>L264&gt;H264</formula>
    </cfRule>
  </conditionalFormatting>
  <conditionalFormatting sqref="L272">
    <cfRule type="expression" dxfId="2506" priority="111">
      <formula>L272&gt;H272</formula>
    </cfRule>
  </conditionalFormatting>
  <conditionalFormatting sqref="L272">
    <cfRule type="expression" dxfId="2505" priority="110">
      <formula>L272&gt;H272</formula>
    </cfRule>
  </conditionalFormatting>
  <conditionalFormatting sqref="L272">
    <cfRule type="expression" dxfId="2504" priority="109">
      <formula>L272&gt;H272</formula>
    </cfRule>
  </conditionalFormatting>
  <conditionalFormatting sqref="L280">
    <cfRule type="expression" dxfId="2503" priority="108">
      <formula>L280&gt;H280</formula>
    </cfRule>
  </conditionalFormatting>
  <conditionalFormatting sqref="L280">
    <cfRule type="expression" dxfId="2502" priority="107">
      <formula>L280&gt;H280</formula>
    </cfRule>
  </conditionalFormatting>
  <conditionalFormatting sqref="L280">
    <cfRule type="expression" dxfId="2501" priority="106">
      <formula>L280&gt;H280</formula>
    </cfRule>
  </conditionalFormatting>
  <conditionalFormatting sqref="L288">
    <cfRule type="expression" dxfId="2500" priority="105">
      <formula>L288&gt;H288</formula>
    </cfRule>
  </conditionalFormatting>
  <conditionalFormatting sqref="L288">
    <cfRule type="expression" dxfId="2499" priority="104">
      <formula>L288&gt;H288</formula>
    </cfRule>
  </conditionalFormatting>
  <conditionalFormatting sqref="L288">
    <cfRule type="expression" dxfId="2498" priority="103">
      <formula>L288&gt;H288</formula>
    </cfRule>
  </conditionalFormatting>
  <conditionalFormatting sqref="L297">
    <cfRule type="expression" dxfId="2497" priority="102">
      <formula>L297&gt;H297</formula>
    </cfRule>
  </conditionalFormatting>
  <conditionalFormatting sqref="L297">
    <cfRule type="expression" dxfId="2496" priority="101">
      <formula>L297&gt;H297</formula>
    </cfRule>
  </conditionalFormatting>
  <conditionalFormatting sqref="L297">
    <cfRule type="expression" dxfId="2495" priority="100">
      <formula>L297&gt;H297</formula>
    </cfRule>
  </conditionalFormatting>
  <conditionalFormatting sqref="L306">
    <cfRule type="expression" dxfId="2494" priority="99">
      <formula>L306&gt;H306</formula>
    </cfRule>
  </conditionalFormatting>
  <conditionalFormatting sqref="L306">
    <cfRule type="expression" dxfId="2493" priority="98">
      <formula>L306&gt;H306</formula>
    </cfRule>
  </conditionalFormatting>
  <conditionalFormatting sqref="L306">
    <cfRule type="expression" dxfId="2492" priority="97">
      <formula>L306&gt;H306</formula>
    </cfRule>
  </conditionalFormatting>
  <conditionalFormatting sqref="L345">
    <cfRule type="expression" dxfId="2491" priority="96">
      <formula>L345&gt;H345</formula>
    </cfRule>
  </conditionalFormatting>
  <conditionalFormatting sqref="L345">
    <cfRule type="expression" dxfId="2490" priority="95">
      <formula>L345&gt;H345</formula>
    </cfRule>
  </conditionalFormatting>
  <conditionalFormatting sqref="L345">
    <cfRule type="expression" dxfId="2489" priority="94">
      <formula>L345&gt;H345</formula>
    </cfRule>
  </conditionalFormatting>
  <conditionalFormatting sqref="L345">
    <cfRule type="expression" dxfId="2488" priority="93">
      <formula>L345&gt;H345</formula>
    </cfRule>
  </conditionalFormatting>
  <conditionalFormatting sqref="L345">
    <cfRule type="expression" dxfId="2487" priority="92">
      <formula>L345&gt;H345</formula>
    </cfRule>
  </conditionalFormatting>
  <conditionalFormatting sqref="L345">
    <cfRule type="expression" dxfId="2486" priority="91">
      <formula>L345&gt;H345</formula>
    </cfRule>
  </conditionalFormatting>
  <conditionalFormatting sqref="L354">
    <cfRule type="expression" dxfId="2485" priority="90">
      <formula>L354&gt;H354</formula>
    </cfRule>
  </conditionalFormatting>
  <conditionalFormatting sqref="L354">
    <cfRule type="expression" dxfId="2484" priority="89">
      <formula>L354&gt;H354</formula>
    </cfRule>
  </conditionalFormatting>
  <conditionalFormatting sqref="L354">
    <cfRule type="expression" dxfId="2483" priority="88">
      <formula>L354&gt;H354</formula>
    </cfRule>
  </conditionalFormatting>
  <conditionalFormatting sqref="L354">
    <cfRule type="expression" dxfId="2482" priority="87">
      <formula>L354&gt;H354</formula>
    </cfRule>
  </conditionalFormatting>
  <conditionalFormatting sqref="L354">
    <cfRule type="expression" dxfId="2481" priority="86">
      <formula>L354&gt;H354</formula>
    </cfRule>
  </conditionalFormatting>
  <conditionalFormatting sqref="L354">
    <cfRule type="expression" dxfId="2480" priority="85">
      <formula>L354&gt;H354</formula>
    </cfRule>
  </conditionalFormatting>
  <conditionalFormatting sqref="L362">
    <cfRule type="expression" dxfId="2479" priority="84">
      <formula>L362&gt;H362</formula>
    </cfRule>
  </conditionalFormatting>
  <conditionalFormatting sqref="L362">
    <cfRule type="expression" dxfId="2478" priority="83">
      <formula>L362&gt;H362</formula>
    </cfRule>
  </conditionalFormatting>
  <conditionalFormatting sqref="L362">
    <cfRule type="expression" dxfId="2477" priority="82">
      <formula>L362&gt;H362</formula>
    </cfRule>
  </conditionalFormatting>
  <conditionalFormatting sqref="L362">
    <cfRule type="expression" dxfId="2476" priority="81">
      <formula>L362&gt;H362</formula>
    </cfRule>
  </conditionalFormatting>
  <conditionalFormatting sqref="L362">
    <cfRule type="expression" dxfId="2475" priority="80">
      <formula>L362&gt;H362</formula>
    </cfRule>
  </conditionalFormatting>
  <conditionalFormatting sqref="L362">
    <cfRule type="expression" dxfId="2474" priority="79">
      <formula>L362&gt;H362</formula>
    </cfRule>
  </conditionalFormatting>
  <conditionalFormatting sqref="L418">
    <cfRule type="expression" dxfId="2473" priority="78">
      <formula>L418&gt;H418</formula>
    </cfRule>
  </conditionalFormatting>
  <conditionalFormatting sqref="L418">
    <cfRule type="expression" dxfId="2472" priority="77">
      <formula>L418&gt;H418</formula>
    </cfRule>
  </conditionalFormatting>
  <conditionalFormatting sqref="L418">
    <cfRule type="expression" dxfId="2471" priority="76">
      <formula>L418&gt;H418</formula>
    </cfRule>
  </conditionalFormatting>
  <conditionalFormatting sqref="L418">
    <cfRule type="expression" dxfId="2470" priority="75">
      <formula>L418&gt;H418</formula>
    </cfRule>
  </conditionalFormatting>
  <conditionalFormatting sqref="L418">
    <cfRule type="expression" dxfId="2469" priority="74">
      <formula>L418&gt;H418</formula>
    </cfRule>
  </conditionalFormatting>
  <conditionalFormatting sqref="L418">
    <cfRule type="expression" dxfId="2468" priority="73">
      <formula>L418&gt;H418</formula>
    </cfRule>
  </conditionalFormatting>
  <conditionalFormatting sqref="L426">
    <cfRule type="expression" dxfId="2467" priority="72">
      <formula>L426&gt;H426</formula>
    </cfRule>
  </conditionalFormatting>
  <conditionalFormatting sqref="L426">
    <cfRule type="expression" dxfId="2466" priority="71">
      <formula>L426&gt;H426</formula>
    </cfRule>
  </conditionalFormatting>
  <conditionalFormatting sqref="L426">
    <cfRule type="expression" dxfId="2465" priority="70">
      <formula>L426&gt;H426</formula>
    </cfRule>
  </conditionalFormatting>
  <conditionalFormatting sqref="L426">
    <cfRule type="expression" dxfId="2464" priority="69">
      <formula>L426&gt;H426</formula>
    </cfRule>
  </conditionalFormatting>
  <conditionalFormatting sqref="L426">
    <cfRule type="expression" dxfId="2463" priority="68">
      <formula>L426&gt;H426</formula>
    </cfRule>
  </conditionalFormatting>
  <conditionalFormatting sqref="L426">
    <cfRule type="expression" dxfId="2462" priority="67">
      <formula>L426&gt;H426</formula>
    </cfRule>
  </conditionalFormatting>
  <conditionalFormatting sqref="L418">
    <cfRule type="expression" dxfId="2461" priority="66">
      <formula>L418&gt;H418</formula>
    </cfRule>
  </conditionalFormatting>
  <conditionalFormatting sqref="L418">
    <cfRule type="expression" dxfId="2460" priority="65">
      <formula>L418&gt;H418</formula>
    </cfRule>
  </conditionalFormatting>
  <conditionalFormatting sqref="L418">
    <cfRule type="expression" dxfId="2459" priority="64">
      <formula>L418&gt;H418</formula>
    </cfRule>
  </conditionalFormatting>
  <conditionalFormatting sqref="L418">
    <cfRule type="expression" dxfId="2458" priority="63">
      <formula>L418&gt;H418</formula>
    </cfRule>
  </conditionalFormatting>
  <conditionalFormatting sqref="L418">
    <cfRule type="expression" dxfId="2457" priority="62">
      <formula>L418&gt;H418</formula>
    </cfRule>
  </conditionalFormatting>
  <conditionalFormatting sqref="L418">
    <cfRule type="expression" dxfId="2456" priority="61">
      <formula>L418&gt;H418</formula>
    </cfRule>
  </conditionalFormatting>
  <conditionalFormatting sqref="L426">
    <cfRule type="expression" dxfId="2455" priority="60">
      <formula>L426&gt;H426</formula>
    </cfRule>
  </conditionalFormatting>
  <conditionalFormatting sqref="L426">
    <cfRule type="expression" dxfId="2454" priority="59">
      <formula>L426&gt;H426</formula>
    </cfRule>
  </conditionalFormatting>
  <conditionalFormatting sqref="L426">
    <cfRule type="expression" dxfId="2453" priority="58">
      <formula>L426&gt;H426</formula>
    </cfRule>
  </conditionalFormatting>
  <conditionalFormatting sqref="L426">
    <cfRule type="expression" dxfId="2452" priority="57">
      <formula>L426&gt;H426</formula>
    </cfRule>
  </conditionalFormatting>
  <conditionalFormatting sqref="L426">
    <cfRule type="expression" dxfId="2451" priority="56">
      <formula>L426&gt;H426</formula>
    </cfRule>
  </conditionalFormatting>
  <conditionalFormatting sqref="L426">
    <cfRule type="expression" dxfId="2450" priority="55">
      <formula>L426&gt;H426</formula>
    </cfRule>
  </conditionalFormatting>
  <conditionalFormatting sqref="L426">
    <cfRule type="expression" dxfId="2449" priority="54">
      <formula>L426&gt;H426</formula>
    </cfRule>
  </conditionalFormatting>
  <conditionalFormatting sqref="L426">
    <cfRule type="expression" dxfId="2448" priority="53">
      <formula>L426&gt;H426</formula>
    </cfRule>
  </conditionalFormatting>
  <conditionalFormatting sqref="L426">
    <cfRule type="expression" dxfId="2447" priority="52">
      <formula>L426&gt;H426</formula>
    </cfRule>
  </conditionalFormatting>
  <conditionalFormatting sqref="L426">
    <cfRule type="expression" dxfId="2446" priority="51">
      <formula>L426&gt;H426</formula>
    </cfRule>
  </conditionalFormatting>
  <conditionalFormatting sqref="L426">
    <cfRule type="expression" dxfId="2445" priority="50">
      <formula>L426&gt;H426</formula>
    </cfRule>
  </conditionalFormatting>
  <conditionalFormatting sqref="L426">
    <cfRule type="expression" dxfId="2444" priority="49">
      <formula>L426&gt;H426</formula>
    </cfRule>
  </conditionalFormatting>
  <conditionalFormatting sqref="L148">
    <cfRule type="expression" dxfId="2443" priority="48">
      <formula>L148&gt;H148</formula>
    </cfRule>
  </conditionalFormatting>
  <conditionalFormatting sqref="L149">
    <cfRule type="expression" dxfId="2442" priority="47">
      <formula>L149&gt;H149</formula>
    </cfRule>
  </conditionalFormatting>
  <conditionalFormatting sqref="L157">
    <cfRule type="expression" dxfId="2441" priority="46">
      <formula>L157&gt;H157</formula>
    </cfRule>
  </conditionalFormatting>
  <conditionalFormatting sqref="L314">
    <cfRule type="expression" dxfId="2440" priority="45">
      <formula>L314&gt;H314</formula>
    </cfRule>
  </conditionalFormatting>
  <conditionalFormatting sqref="L314">
    <cfRule type="expression" dxfId="2439" priority="44">
      <formula>L314&gt;H314</formula>
    </cfRule>
  </conditionalFormatting>
  <conditionalFormatting sqref="L314">
    <cfRule type="expression" dxfId="2438" priority="43">
      <formula>L314&gt;H314</formula>
    </cfRule>
  </conditionalFormatting>
  <conditionalFormatting sqref="L184">
    <cfRule type="expression" dxfId="2437" priority="42">
      <formula>L184&gt;H184</formula>
    </cfRule>
  </conditionalFormatting>
  <conditionalFormatting sqref="L184">
    <cfRule type="expression" dxfId="2436" priority="41">
      <formula>L184&gt;H184</formula>
    </cfRule>
  </conditionalFormatting>
  <conditionalFormatting sqref="L371">
    <cfRule type="expression" dxfId="2435" priority="40">
      <formula>L371&gt;H371</formula>
    </cfRule>
  </conditionalFormatting>
  <conditionalFormatting sqref="L371">
    <cfRule type="expression" dxfId="2434" priority="39">
      <formula>L371&gt;H371</formula>
    </cfRule>
  </conditionalFormatting>
  <conditionalFormatting sqref="L371">
    <cfRule type="expression" dxfId="2433" priority="38">
      <formula>L371&gt;H371</formula>
    </cfRule>
  </conditionalFormatting>
  <conditionalFormatting sqref="L371">
    <cfRule type="expression" dxfId="2432" priority="37">
      <formula>L371&gt;H371</formula>
    </cfRule>
  </conditionalFormatting>
  <conditionalFormatting sqref="L371">
    <cfRule type="expression" dxfId="2431" priority="36">
      <formula>L371&gt;H371</formula>
    </cfRule>
  </conditionalFormatting>
  <conditionalFormatting sqref="L371">
    <cfRule type="expression" dxfId="2430" priority="35">
      <formula>L371&gt;H371</formula>
    </cfRule>
  </conditionalFormatting>
  <conditionalFormatting sqref="L379">
    <cfRule type="expression" dxfId="2429" priority="34">
      <formula>L379&gt;H379</formula>
    </cfRule>
  </conditionalFormatting>
  <conditionalFormatting sqref="L379">
    <cfRule type="expression" dxfId="2428" priority="33">
      <formula>L379&gt;H379</formula>
    </cfRule>
  </conditionalFormatting>
  <conditionalFormatting sqref="L379">
    <cfRule type="expression" dxfId="2427" priority="32">
      <formula>L379&gt;H379</formula>
    </cfRule>
  </conditionalFormatting>
  <conditionalFormatting sqref="L379">
    <cfRule type="expression" dxfId="2426" priority="31">
      <formula>L379&gt;H379</formula>
    </cfRule>
  </conditionalFormatting>
  <conditionalFormatting sqref="L379">
    <cfRule type="expression" dxfId="2425" priority="30">
      <formula>L379&gt;H379</formula>
    </cfRule>
  </conditionalFormatting>
  <conditionalFormatting sqref="L379">
    <cfRule type="expression" dxfId="2424" priority="29">
      <formula>L379&gt;H379</formula>
    </cfRule>
  </conditionalFormatting>
  <conditionalFormatting sqref="L20">
    <cfRule type="expression" dxfId="2423" priority="28">
      <formula>L20&gt;H20</formula>
    </cfRule>
  </conditionalFormatting>
  <conditionalFormatting sqref="L47">
    <cfRule type="expression" dxfId="2422" priority="27">
      <formula>L47&gt;H47</formula>
    </cfRule>
  </conditionalFormatting>
  <conditionalFormatting sqref="L55">
    <cfRule type="expression" dxfId="2421" priority="25">
      <formula>L55&gt;H55</formula>
    </cfRule>
  </conditionalFormatting>
  <conditionalFormatting sqref="L64">
    <cfRule type="expression" dxfId="2420" priority="24">
      <formula>L64&gt;H64</formula>
    </cfRule>
  </conditionalFormatting>
  <conditionalFormatting sqref="L123">
    <cfRule type="expression" dxfId="2419" priority="23">
      <formula>L123&gt;H123</formula>
    </cfRule>
  </conditionalFormatting>
  <conditionalFormatting sqref="L123">
    <cfRule type="expression" dxfId="2418" priority="22">
      <formula>L123&gt;H123</formula>
    </cfRule>
  </conditionalFormatting>
  <conditionalFormatting sqref="L323">
    <cfRule type="expression" dxfId="2417" priority="21">
      <formula>L323&gt;H323</formula>
    </cfRule>
  </conditionalFormatting>
  <conditionalFormatting sqref="L323">
    <cfRule type="expression" dxfId="2416" priority="20">
      <formula>L323&gt;H323</formula>
    </cfRule>
  </conditionalFormatting>
  <conditionalFormatting sqref="L323">
    <cfRule type="expression" dxfId="2415" priority="19">
      <formula>L323&gt;H323</formula>
    </cfRule>
  </conditionalFormatting>
  <conditionalFormatting sqref="L396">
    <cfRule type="expression" dxfId="2414" priority="18">
      <formula>L396&gt;H396</formula>
    </cfRule>
  </conditionalFormatting>
  <conditionalFormatting sqref="L396">
    <cfRule type="expression" dxfId="2413" priority="17">
      <formula>L396&gt;H396</formula>
    </cfRule>
  </conditionalFormatting>
  <conditionalFormatting sqref="L396">
    <cfRule type="expression" dxfId="2412" priority="16">
      <formula>L396&gt;H396</formula>
    </cfRule>
  </conditionalFormatting>
  <conditionalFormatting sqref="L396">
    <cfRule type="expression" dxfId="2411" priority="15">
      <formula>L396&gt;H396</formula>
    </cfRule>
  </conditionalFormatting>
  <conditionalFormatting sqref="L396">
    <cfRule type="expression" dxfId="2410" priority="14">
      <formula>L396&gt;H396</formula>
    </cfRule>
  </conditionalFormatting>
  <conditionalFormatting sqref="L396">
    <cfRule type="expression" dxfId="2409" priority="13">
      <formula>L396&gt;H396</formula>
    </cfRule>
  </conditionalFormatting>
  <conditionalFormatting sqref="L387">
    <cfRule type="expression" dxfId="2408" priority="12">
      <formula>L387&gt;H387</formula>
    </cfRule>
  </conditionalFormatting>
  <conditionalFormatting sqref="L387">
    <cfRule type="expression" dxfId="2407" priority="11">
      <formula>L387&gt;H387</formula>
    </cfRule>
  </conditionalFormatting>
  <conditionalFormatting sqref="L387">
    <cfRule type="expression" dxfId="2406" priority="10">
      <formula>L387&gt;H387</formula>
    </cfRule>
  </conditionalFormatting>
  <conditionalFormatting sqref="L387">
    <cfRule type="expression" dxfId="2405" priority="9">
      <formula>L387&gt;H387</formula>
    </cfRule>
  </conditionalFormatting>
  <conditionalFormatting sqref="L387">
    <cfRule type="expression" dxfId="2404" priority="8">
      <formula>L387&gt;H387</formula>
    </cfRule>
  </conditionalFormatting>
  <conditionalFormatting sqref="L387">
    <cfRule type="expression" dxfId="2403" priority="7">
      <formula>L387&gt;H387</formula>
    </cfRule>
  </conditionalFormatting>
  <conditionalFormatting sqref="L229">
    <cfRule type="expression" dxfId="2402" priority="6">
      <formula>L229&gt;H229</formula>
    </cfRule>
  </conditionalFormatting>
  <conditionalFormatting sqref="L229">
    <cfRule type="expression" dxfId="2401" priority="5">
      <formula>L229&gt;H229</formula>
    </cfRule>
  </conditionalFormatting>
  <conditionalFormatting sqref="L229">
    <cfRule type="expression" dxfId="2400" priority="4">
      <formula>L229&gt;H229</formula>
    </cfRule>
  </conditionalFormatting>
  <conditionalFormatting sqref="L237">
    <cfRule type="expression" dxfId="2399" priority="3">
      <formula>L237&gt;H237</formula>
    </cfRule>
  </conditionalFormatting>
  <conditionalFormatting sqref="L237">
    <cfRule type="expression" dxfId="2398" priority="2">
      <formula>L237&gt;H237</formula>
    </cfRule>
  </conditionalFormatting>
  <conditionalFormatting sqref="L237">
    <cfRule type="expression" dxfId="2397" priority="1">
      <formula>L237&gt;H237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1" max="16383" man="1"/>
    <brk id="83" max="16383" man="1"/>
    <brk id="121" max="16383" man="1"/>
    <brk id="164" max="16383" man="1"/>
    <brk id="194" max="16383" man="1"/>
    <brk id="216" max="16383" man="1"/>
    <brk id="272" max="16383" man="1"/>
    <brk id="313" max="16383" man="1"/>
    <brk id="333" max="16383" man="1"/>
    <brk id="369" max="16383" man="1"/>
    <brk id="40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9" width="11.44140625" style="314" customWidth="1"/>
    <col min="10" max="11" width="11.332031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5" width="11.44140625" style="314" customWidth="1"/>
    <col min="266" max="267" width="11.33203125" style="314" customWidth="1"/>
    <col min="268" max="268" width="18.4414062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1" width="11.44140625" style="314" customWidth="1"/>
    <col min="522" max="523" width="11.33203125" style="314" customWidth="1"/>
    <col min="524" max="524" width="18.4414062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7" width="11.44140625" style="314" customWidth="1"/>
    <col min="778" max="779" width="11.33203125" style="314" customWidth="1"/>
    <col min="780" max="780" width="18.4414062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3" width="11.44140625" style="314" customWidth="1"/>
    <col min="1034" max="1035" width="11.33203125" style="314" customWidth="1"/>
    <col min="1036" max="1036" width="18.4414062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89" width="11.44140625" style="314" customWidth="1"/>
    <col min="1290" max="1291" width="11.33203125" style="314" customWidth="1"/>
    <col min="1292" max="1292" width="18.4414062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5" width="11.44140625" style="314" customWidth="1"/>
    <col min="1546" max="1547" width="11.33203125" style="314" customWidth="1"/>
    <col min="1548" max="1548" width="18.4414062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1" width="11.44140625" style="314" customWidth="1"/>
    <col min="1802" max="1803" width="11.33203125" style="314" customWidth="1"/>
    <col min="1804" max="1804" width="18.4414062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7" width="11.44140625" style="314" customWidth="1"/>
    <col min="2058" max="2059" width="11.33203125" style="314" customWidth="1"/>
    <col min="2060" max="2060" width="18.4414062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3" width="11.44140625" style="314" customWidth="1"/>
    <col min="2314" max="2315" width="11.33203125" style="314" customWidth="1"/>
    <col min="2316" max="2316" width="18.4414062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69" width="11.44140625" style="314" customWidth="1"/>
    <col min="2570" max="2571" width="11.33203125" style="314" customWidth="1"/>
    <col min="2572" max="2572" width="18.4414062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5" width="11.44140625" style="314" customWidth="1"/>
    <col min="2826" max="2827" width="11.33203125" style="314" customWidth="1"/>
    <col min="2828" max="2828" width="18.4414062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1" width="11.44140625" style="314" customWidth="1"/>
    <col min="3082" max="3083" width="11.33203125" style="314" customWidth="1"/>
    <col min="3084" max="3084" width="18.4414062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7" width="11.44140625" style="314" customWidth="1"/>
    <col min="3338" max="3339" width="11.33203125" style="314" customWidth="1"/>
    <col min="3340" max="3340" width="18.4414062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3" width="11.44140625" style="314" customWidth="1"/>
    <col min="3594" max="3595" width="11.33203125" style="314" customWidth="1"/>
    <col min="3596" max="3596" width="18.4414062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49" width="11.44140625" style="314" customWidth="1"/>
    <col min="3850" max="3851" width="11.33203125" style="314" customWidth="1"/>
    <col min="3852" max="3852" width="18.4414062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5" width="11.44140625" style="314" customWidth="1"/>
    <col min="4106" max="4107" width="11.33203125" style="314" customWidth="1"/>
    <col min="4108" max="4108" width="18.4414062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1" width="11.44140625" style="314" customWidth="1"/>
    <col min="4362" max="4363" width="11.33203125" style="314" customWidth="1"/>
    <col min="4364" max="4364" width="18.4414062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7" width="11.44140625" style="314" customWidth="1"/>
    <col min="4618" max="4619" width="11.33203125" style="314" customWidth="1"/>
    <col min="4620" max="4620" width="18.4414062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3" width="11.44140625" style="314" customWidth="1"/>
    <col min="4874" max="4875" width="11.33203125" style="314" customWidth="1"/>
    <col min="4876" max="4876" width="18.4414062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29" width="11.44140625" style="314" customWidth="1"/>
    <col min="5130" max="5131" width="11.33203125" style="314" customWidth="1"/>
    <col min="5132" max="5132" width="18.4414062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5" width="11.44140625" style="314" customWidth="1"/>
    <col min="5386" max="5387" width="11.33203125" style="314" customWidth="1"/>
    <col min="5388" max="5388" width="18.4414062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1" width="11.44140625" style="314" customWidth="1"/>
    <col min="5642" max="5643" width="11.33203125" style="314" customWidth="1"/>
    <col min="5644" max="5644" width="18.4414062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7" width="11.44140625" style="314" customWidth="1"/>
    <col min="5898" max="5899" width="11.33203125" style="314" customWidth="1"/>
    <col min="5900" max="5900" width="18.4414062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3" width="11.44140625" style="314" customWidth="1"/>
    <col min="6154" max="6155" width="11.33203125" style="314" customWidth="1"/>
    <col min="6156" max="6156" width="18.4414062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09" width="11.44140625" style="314" customWidth="1"/>
    <col min="6410" max="6411" width="11.33203125" style="314" customWidth="1"/>
    <col min="6412" max="6412" width="18.4414062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5" width="11.44140625" style="314" customWidth="1"/>
    <col min="6666" max="6667" width="11.33203125" style="314" customWidth="1"/>
    <col min="6668" max="6668" width="18.4414062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1" width="11.44140625" style="314" customWidth="1"/>
    <col min="6922" max="6923" width="11.33203125" style="314" customWidth="1"/>
    <col min="6924" max="6924" width="18.4414062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7" width="11.44140625" style="314" customWidth="1"/>
    <col min="7178" max="7179" width="11.33203125" style="314" customWidth="1"/>
    <col min="7180" max="7180" width="18.4414062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3" width="11.44140625" style="314" customWidth="1"/>
    <col min="7434" max="7435" width="11.33203125" style="314" customWidth="1"/>
    <col min="7436" max="7436" width="18.4414062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89" width="11.44140625" style="314" customWidth="1"/>
    <col min="7690" max="7691" width="11.33203125" style="314" customWidth="1"/>
    <col min="7692" max="7692" width="18.4414062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5" width="11.44140625" style="314" customWidth="1"/>
    <col min="7946" max="7947" width="11.33203125" style="314" customWidth="1"/>
    <col min="7948" max="7948" width="18.4414062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1" width="11.44140625" style="314" customWidth="1"/>
    <col min="8202" max="8203" width="11.33203125" style="314" customWidth="1"/>
    <col min="8204" max="8204" width="18.4414062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7" width="11.44140625" style="314" customWidth="1"/>
    <col min="8458" max="8459" width="11.33203125" style="314" customWidth="1"/>
    <col min="8460" max="8460" width="18.4414062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3" width="11.44140625" style="314" customWidth="1"/>
    <col min="8714" max="8715" width="11.33203125" style="314" customWidth="1"/>
    <col min="8716" max="8716" width="18.4414062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69" width="11.44140625" style="314" customWidth="1"/>
    <col min="8970" max="8971" width="11.33203125" style="314" customWidth="1"/>
    <col min="8972" max="8972" width="18.4414062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5" width="11.44140625" style="314" customWidth="1"/>
    <col min="9226" max="9227" width="11.33203125" style="314" customWidth="1"/>
    <col min="9228" max="9228" width="18.4414062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1" width="11.44140625" style="314" customWidth="1"/>
    <col min="9482" max="9483" width="11.33203125" style="314" customWidth="1"/>
    <col min="9484" max="9484" width="18.4414062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7" width="11.44140625" style="314" customWidth="1"/>
    <col min="9738" max="9739" width="11.33203125" style="314" customWidth="1"/>
    <col min="9740" max="9740" width="18.4414062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3" width="11.44140625" style="314" customWidth="1"/>
    <col min="9994" max="9995" width="11.33203125" style="314" customWidth="1"/>
    <col min="9996" max="9996" width="18.4414062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49" width="11.44140625" style="314" customWidth="1"/>
    <col min="10250" max="10251" width="11.33203125" style="314" customWidth="1"/>
    <col min="10252" max="10252" width="18.4414062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5" width="11.44140625" style="314" customWidth="1"/>
    <col min="10506" max="10507" width="11.33203125" style="314" customWidth="1"/>
    <col min="10508" max="10508" width="18.4414062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1" width="11.44140625" style="314" customWidth="1"/>
    <col min="10762" max="10763" width="11.33203125" style="314" customWidth="1"/>
    <col min="10764" max="10764" width="18.4414062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7" width="11.44140625" style="314" customWidth="1"/>
    <col min="11018" max="11019" width="11.33203125" style="314" customWidth="1"/>
    <col min="11020" max="11020" width="18.4414062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3" width="11.44140625" style="314" customWidth="1"/>
    <col min="11274" max="11275" width="11.33203125" style="314" customWidth="1"/>
    <col min="11276" max="11276" width="18.4414062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29" width="11.44140625" style="314" customWidth="1"/>
    <col min="11530" max="11531" width="11.33203125" style="314" customWidth="1"/>
    <col min="11532" max="11532" width="18.4414062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5" width="11.44140625" style="314" customWidth="1"/>
    <col min="11786" max="11787" width="11.33203125" style="314" customWidth="1"/>
    <col min="11788" max="11788" width="18.4414062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1" width="11.44140625" style="314" customWidth="1"/>
    <col min="12042" max="12043" width="11.33203125" style="314" customWidth="1"/>
    <col min="12044" max="12044" width="18.4414062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7" width="11.44140625" style="314" customWidth="1"/>
    <col min="12298" max="12299" width="11.33203125" style="314" customWidth="1"/>
    <col min="12300" max="12300" width="18.4414062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3" width="11.44140625" style="314" customWidth="1"/>
    <col min="12554" max="12555" width="11.33203125" style="314" customWidth="1"/>
    <col min="12556" max="12556" width="18.4414062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09" width="11.44140625" style="314" customWidth="1"/>
    <col min="12810" max="12811" width="11.33203125" style="314" customWidth="1"/>
    <col min="12812" max="12812" width="18.4414062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5" width="11.44140625" style="314" customWidth="1"/>
    <col min="13066" max="13067" width="11.33203125" style="314" customWidth="1"/>
    <col min="13068" max="13068" width="18.4414062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1" width="11.44140625" style="314" customWidth="1"/>
    <col min="13322" max="13323" width="11.33203125" style="314" customWidth="1"/>
    <col min="13324" max="13324" width="18.4414062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7" width="11.44140625" style="314" customWidth="1"/>
    <col min="13578" max="13579" width="11.33203125" style="314" customWidth="1"/>
    <col min="13580" max="13580" width="18.4414062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3" width="11.44140625" style="314" customWidth="1"/>
    <col min="13834" max="13835" width="11.33203125" style="314" customWidth="1"/>
    <col min="13836" max="13836" width="18.4414062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89" width="11.44140625" style="314" customWidth="1"/>
    <col min="14090" max="14091" width="11.33203125" style="314" customWidth="1"/>
    <col min="14092" max="14092" width="18.4414062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5" width="11.44140625" style="314" customWidth="1"/>
    <col min="14346" max="14347" width="11.33203125" style="314" customWidth="1"/>
    <col min="14348" max="14348" width="18.4414062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1" width="11.44140625" style="314" customWidth="1"/>
    <col min="14602" max="14603" width="11.33203125" style="314" customWidth="1"/>
    <col min="14604" max="14604" width="18.4414062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7" width="11.44140625" style="314" customWidth="1"/>
    <col min="14858" max="14859" width="11.33203125" style="314" customWidth="1"/>
    <col min="14860" max="14860" width="18.4414062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3" width="11.44140625" style="314" customWidth="1"/>
    <col min="15114" max="15115" width="11.33203125" style="314" customWidth="1"/>
    <col min="15116" max="15116" width="18.4414062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69" width="11.44140625" style="314" customWidth="1"/>
    <col min="15370" max="15371" width="11.33203125" style="314" customWidth="1"/>
    <col min="15372" max="15372" width="18.4414062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5" width="11.44140625" style="314" customWidth="1"/>
    <col min="15626" max="15627" width="11.33203125" style="314" customWidth="1"/>
    <col min="15628" max="15628" width="18.4414062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1" width="11.44140625" style="314" customWidth="1"/>
    <col min="15882" max="15883" width="11.33203125" style="314" customWidth="1"/>
    <col min="15884" max="15884" width="18.4414062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7" width="11.44140625" style="314" customWidth="1"/>
    <col min="16138" max="16139" width="11.33203125" style="314" customWidth="1"/>
    <col min="16140" max="16140" width="18.44140625" style="314" customWidth="1"/>
    <col min="16141" max="16384" width="9.109375" style="314"/>
  </cols>
  <sheetData>
    <row r="1" spans="1:12" ht="15.6">
      <c r="L1" s="523" t="s">
        <v>430</v>
      </c>
    </row>
    <row r="2" spans="1:12" ht="8.25" customHeight="1">
      <c r="L2" s="399"/>
    </row>
    <row r="3" spans="1:12" ht="15.75" customHeight="1">
      <c r="A3" s="400" t="str">
        <f>'Pg 4 P Sums'!C3</f>
        <v>NRA.N.007-040-2024/1F</v>
      </c>
      <c r="B3" s="401"/>
      <c r="C3" s="540"/>
      <c r="D3" s="403"/>
      <c r="E3" s="1438">
        <f>'F1  Cover'!L8</f>
        <v>45169</v>
      </c>
      <c r="F3" s="1438"/>
      <c r="G3" s="402"/>
      <c r="H3" s="1455" t="s">
        <v>431</v>
      </c>
      <c r="I3" s="1455"/>
      <c r="J3" s="1455"/>
      <c r="K3" s="1456">
        <f>'F1  Cover'!K8</f>
        <v>1</v>
      </c>
      <c r="L3" s="1487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5" t="s">
        <v>432</v>
      </c>
      <c r="B6" s="1396"/>
      <c r="C6" s="1396"/>
      <c r="D6" s="1396"/>
      <c r="E6" s="1396"/>
      <c r="F6" s="1396"/>
      <c r="G6" s="1396"/>
      <c r="H6" s="1396"/>
      <c r="I6" s="1396"/>
      <c r="J6" s="1396"/>
      <c r="K6" s="1396"/>
      <c r="L6" s="1397"/>
    </row>
    <row r="7" spans="1:12" ht="15.75" customHeight="1" thickBot="1">
      <c r="A7" s="526"/>
      <c r="L7" s="527"/>
    </row>
    <row r="8" spans="1:12" ht="15.75" customHeight="1" thickBot="1">
      <c r="A8" s="1488" t="s">
        <v>0</v>
      </c>
      <c r="B8" s="1489"/>
      <c r="C8" s="1489"/>
      <c r="D8" s="1489"/>
      <c r="E8" s="1489"/>
      <c r="F8" s="1489"/>
      <c r="G8" s="1489"/>
      <c r="H8" s="1490"/>
      <c r="I8" s="541" t="s">
        <v>1</v>
      </c>
      <c r="J8" s="541" t="s">
        <v>2</v>
      </c>
      <c r="K8" s="541" t="s">
        <v>3</v>
      </c>
      <c r="L8" s="542" t="s">
        <v>402</v>
      </c>
    </row>
    <row r="9" spans="1:12" ht="12.75" customHeight="1">
      <c r="A9" s="1491" t="s">
        <v>433</v>
      </c>
      <c r="B9" s="1492"/>
      <c r="C9" s="1492"/>
      <c r="D9" s="1492"/>
      <c r="E9" s="1492"/>
      <c r="F9" s="1492"/>
      <c r="G9" s="1492"/>
      <c r="H9" s="1493"/>
      <c r="I9" s="530"/>
      <c r="J9" s="530"/>
      <c r="K9" s="530"/>
      <c r="L9" s="531"/>
    </row>
    <row r="10" spans="1:12">
      <c r="A10" s="1494" t="s">
        <v>434</v>
      </c>
      <c r="B10" s="1495"/>
      <c r="C10" s="1495"/>
      <c r="D10" s="1495"/>
      <c r="E10" s="1495"/>
      <c r="F10" s="1495"/>
      <c r="G10" s="1495"/>
      <c r="H10" s="1496"/>
      <c r="I10" s="533"/>
      <c r="J10" s="533"/>
      <c r="K10" s="533"/>
      <c r="L10" s="537"/>
    </row>
    <row r="11" spans="1:12">
      <c r="A11" s="1484" t="s">
        <v>383</v>
      </c>
      <c r="B11" s="1485"/>
      <c r="C11" s="1485"/>
      <c r="D11" s="1485"/>
      <c r="E11" s="1485"/>
      <c r="F11" s="1485"/>
      <c r="G11" s="1485"/>
      <c r="H11" s="1486"/>
      <c r="I11" s="533"/>
      <c r="J11" s="533"/>
      <c r="K11" s="533"/>
      <c r="L11" s="537"/>
    </row>
    <row r="12" spans="1:12">
      <c r="A12" s="1484" t="s">
        <v>435</v>
      </c>
      <c r="B12" s="1485"/>
      <c r="C12" s="1485"/>
      <c r="D12" s="1485"/>
      <c r="E12" s="1485"/>
      <c r="F12" s="1485"/>
      <c r="G12" s="1485"/>
      <c r="H12" s="1486"/>
      <c r="I12" s="533"/>
      <c r="J12" s="533"/>
      <c r="K12" s="533"/>
      <c r="L12" s="537"/>
    </row>
    <row r="13" spans="1:12">
      <c r="A13" s="1484" t="s">
        <v>436</v>
      </c>
      <c r="B13" s="1485"/>
      <c r="C13" s="1485"/>
      <c r="D13" s="1485"/>
      <c r="E13" s="1485"/>
      <c r="F13" s="1485"/>
      <c r="G13" s="1485"/>
      <c r="H13" s="1486"/>
      <c r="I13" s="533"/>
      <c r="J13" s="533"/>
      <c r="K13" s="533"/>
      <c r="L13" s="537"/>
    </row>
    <row r="14" spans="1:12">
      <c r="A14" s="1484" t="s">
        <v>436</v>
      </c>
      <c r="B14" s="1485"/>
      <c r="C14" s="1485"/>
      <c r="D14" s="1485"/>
      <c r="E14" s="1485"/>
      <c r="F14" s="1485"/>
      <c r="G14" s="1485"/>
      <c r="H14" s="1486"/>
      <c r="I14" s="533"/>
      <c r="J14" s="533"/>
      <c r="K14" s="533"/>
      <c r="L14" s="537"/>
    </row>
    <row r="15" spans="1:12">
      <c r="A15" s="1484" t="s">
        <v>437</v>
      </c>
      <c r="B15" s="1485"/>
      <c r="C15" s="1485"/>
      <c r="D15" s="1485"/>
      <c r="E15" s="1485"/>
      <c r="F15" s="1485"/>
      <c r="G15" s="1485"/>
      <c r="H15" s="1486"/>
      <c r="I15" s="533" t="s">
        <v>438</v>
      </c>
      <c r="J15" s="533"/>
      <c r="K15" s="533"/>
      <c r="L15" s="537">
        <f>K15*J15</f>
        <v>0</v>
      </c>
    </row>
    <row r="16" spans="1:12">
      <c r="A16" s="1484" t="s">
        <v>439</v>
      </c>
      <c r="B16" s="1485"/>
      <c r="C16" s="1485"/>
      <c r="D16" s="1485"/>
      <c r="E16" s="1485"/>
      <c r="F16" s="1485"/>
      <c r="G16" s="1485"/>
      <c r="H16" s="1486"/>
      <c r="I16" s="533"/>
      <c r="J16" s="533"/>
      <c r="K16" s="533"/>
      <c r="L16" s="537"/>
    </row>
    <row r="17" spans="1:12">
      <c r="A17" s="1484" t="s">
        <v>440</v>
      </c>
      <c r="B17" s="1485"/>
      <c r="C17" s="1485"/>
      <c r="D17" s="1485"/>
      <c r="E17" s="1485"/>
      <c r="F17" s="1485"/>
      <c r="G17" s="1485"/>
      <c r="H17" s="1486"/>
      <c r="I17" s="533"/>
      <c r="J17" s="533"/>
      <c r="K17" s="533"/>
      <c r="L17" s="537"/>
    </row>
    <row r="18" spans="1:12">
      <c r="A18" s="1484" t="s">
        <v>440</v>
      </c>
      <c r="B18" s="1485"/>
      <c r="C18" s="1485"/>
      <c r="D18" s="1485"/>
      <c r="E18" s="1485"/>
      <c r="F18" s="1485"/>
      <c r="G18" s="1485"/>
      <c r="H18" s="1486"/>
      <c r="I18" s="533"/>
      <c r="J18" s="533"/>
      <c r="K18" s="533"/>
      <c r="L18" s="537"/>
    </row>
    <row r="19" spans="1:12">
      <c r="A19" s="1497" t="s">
        <v>142</v>
      </c>
      <c r="B19" s="1498"/>
      <c r="C19" s="1498"/>
      <c r="D19" s="1498"/>
      <c r="E19" s="1498"/>
      <c r="F19" s="1498"/>
      <c r="G19" s="1498"/>
      <c r="H19" s="1499"/>
      <c r="I19" s="533"/>
      <c r="J19" s="533"/>
      <c r="K19" s="533"/>
      <c r="L19" s="537"/>
    </row>
    <row r="20" spans="1:12">
      <c r="A20" s="1497" t="s">
        <v>441</v>
      </c>
      <c r="B20" s="1498"/>
      <c r="C20" s="1498"/>
      <c r="D20" s="1498"/>
      <c r="E20" s="1498"/>
      <c r="F20" s="1498"/>
      <c r="G20" s="1498"/>
      <c r="H20" s="1499"/>
      <c r="I20" s="533" t="s">
        <v>442</v>
      </c>
      <c r="J20" s="533"/>
      <c r="K20" s="533"/>
      <c r="L20" s="537">
        <f>K20*J20</f>
        <v>0</v>
      </c>
    </row>
    <row r="21" spans="1:12">
      <c r="A21" s="1497" t="s">
        <v>443</v>
      </c>
      <c r="B21" s="1498"/>
      <c r="C21" s="1498"/>
      <c r="D21" s="1498"/>
      <c r="E21" s="1498"/>
      <c r="F21" s="1498"/>
      <c r="G21" s="1498"/>
      <c r="H21" s="1499"/>
      <c r="I21" s="533"/>
      <c r="J21" s="533"/>
      <c r="K21" s="533"/>
      <c r="L21" s="537"/>
    </row>
    <row r="22" spans="1:12" ht="13.8" thickBot="1">
      <c r="A22" s="1497" t="s">
        <v>443</v>
      </c>
      <c r="B22" s="1498"/>
      <c r="C22" s="1498"/>
      <c r="D22" s="1498"/>
      <c r="E22" s="1498"/>
      <c r="F22" s="1498"/>
      <c r="G22" s="1498"/>
      <c r="H22" s="1499"/>
      <c r="I22" s="533"/>
      <c r="J22" s="533"/>
      <c r="K22" s="533"/>
      <c r="L22" s="537"/>
    </row>
    <row r="23" spans="1:12">
      <c r="A23" s="1497"/>
      <c r="B23" s="1498"/>
      <c r="C23" s="1498"/>
      <c r="D23" s="1498"/>
      <c r="E23" s="1498"/>
      <c r="F23" s="1498"/>
      <c r="G23" s="1498"/>
      <c r="H23" s="1499"/>
      <c r="I23" s="1500" t="s">
        <v>366</v>
      </c>
      <c r="J23" s="1501"/>
      <c r="K23" s="1502"/>
      <c r="L23" s="534">
        <f>SUM(L11:L22)</f>
        <v>0</v>
      </c>
    </row>
    <row r="24" spans="1:12">
      <c r="A24" s="1494" t="s">
        <v>444</v>
      </c>
      <c r="B24" s="1495"/>
      <c r="C24" s="1495"/>
      <c r="D24" s="1495"/>
      <c r="E24" s="1495"/>
      <c r="F24" s="1495"/>
      <c r="G24" s="1495"/>
      <c r="H24" s="1496"/>
      <c r="I24" s="533"/>
      <c r="J24" s="533"/>
      <c r="K24" s="533"/>
      <c r="L24" s="537"/>
    </row>
    <row r="25" spans="1:12">
      <c r="A25" s="1484" t="s">
        <v>383</v>
      </c>
      <c r="B25" s="1485"/>
      <c r="C25" s="1485"/>
      <c r="D25" s="1485"/>
      <c r="E25" s="1485"/>
      <c r="F25" s="1485"/>
      <c r="G25" s="1485"/>
      <c r="H25" s="1486"/>
      <c r="I25" s="533"/>
      <c r="J25" s="533"/>
      <c r="K25" s="533"/>
      <c r="L25" s="537"/>
    </row>
    <row r="26" spans="1:12">
      <c r="A26" s="1484" t="s">
        <v>435</v>
      </c>
      <c r="B26" s="1485"/>
      <c r="C26" s="1485"/>
      <c r="D26" s="1485"/>
      <c r="E26" s="1485"/>
      <c r="F26" s="1485"/>
      <c r="G26" s="1485"/>
      <c r="H26" s="1486"/>
      <c r="I26" s="533"/>
      <c r="J26" s="533"/>
      <c r="K26" s="533"/>
      <c r="L26" s="537"/>
    </row>
    <row r="27" spans="1:12">
      <c r="A27" s="1484" t="s">
        <v>436</v>
      </c>
      <c r="B27" s="1485"/>
      <c r="C27" s="1485"/>
      <c r="D27" s="1485"/>
      <c r="E27" s="1485"/>
      <c r="F27" s="1485"/>
      <c r="G27" s="1485"/>
      <c r="H27" s="1486"/>
      <c r="I27" s="533"/>
      <c r="J27" s="533"/>
      <c r="K27" s="533"/>
      <c r="L27" s="537"/>
    </row>
    <row r="28" spans="1:12">
      <c r="A28" s="1484" t="s">
        <v>436</v>
      </c>
      <c r="B28" s="1485"/>
      <c r="C28" s="1485"/>
      <c r="D28" s="1485"/>
      <c r="E28" s="1485"/>
      <c r="F28" s="1485"/>
      <c r="G28" s="1485"/>
      <c r="H28" s="1486"/>
      <c r="I28" s="533"/>
      <c r="J28" s="533"/>
      <c r="K28" s="533"/>
      <c r="L28" s="537"/>
    </row>
    <row r="29" spans="1:12">
      <c r="A29" s="1484" t="s">
        <v>439</v>
      </c>
      <c r="B29" s="1485"/>
      <c r="C29" s="1485"/>
      <c r="D29" s="1485"/>
      <c r="E29" s="1485"/>
      <c r="F29" s="1485"/>
      <c r="G29" s="1485"/>
      <c r="H29" s="1486"/>
      <c r="I29" s="533"/>
      <c r="J29" s="533"/>
      <c r="K29" s="533"/>
      <c r="L29" s="537"/>
    </row>
    <row r="30" spans="1:12">
      <c r="A30" s="1484" t="s">
        <v>439</v>
      </c>
      <c r="B30" s="1485"/>
      <c r="C30" s="1485"/>
      <c r="D30" s="1485"/>
      <c r="E30" s="1485"/>
      <c r="F30" s="1485"/>
      <c r="G30" s="1485"/>
      <c r="H30" s="1486"/>
      <c r="I30" s="533"/>
      <c r="J30" s="533"/>
      <c r="K30" s="533"/>
      <c r="L30" s="537"/>
    </row>
    <row r="31" spans="1:12">
      <c r="A31" s="1484" t="s">
        <v>440</v>
      </c>
      <c r="B31" s="1485"/>
      <c r="C31" s="1485"/>
      <c r="D31" s="1485"/>
      <c r="E31" s="1485"/>
      <c r="F31" s="1485"/>
      <c r="G31" s="1485"/>
      <c r="H31" s="1486"/>
      <c r="I31" s="533"/>
      <c r="J31" s="533"/>
      <c r="K31" s="533"/>
      <c r="L31" s="537"/>
    </row>
    <row r="32" spans="1:12">
      <c r="A32" s="1484" t="s">
        <v>440</v>
      </c>
      <c r="B32" s="1485"/>
      <c r="C32" s="1485"/>
      <c r="D32" s="1485"/>
      <c r="E32" s="1485"/>
      <c r="F32" s="1485"/>
      <c r="G32" s="1485"/>
      <c r="H32" s="1486"/>
      <c r="I32" s="533"/>
      <c r="J32" s="533"/>
      <c r="K32" s="533"/>
      <c r="L32" s="537"/>
    </row>
    <row r="33" spans="1:12">
      <c r="A33" s="1497" t="s">
        <v>142</v>
      </c>
      <c r="B33" s="1498"/>
      <c r="C33" s="1498"/>
      <c r="D33" s="1498"/>
      <c r="E33" s="1498"/>
      <c r="F33" s="1498"/>
      <c r="G33" s="1498"/>
      <c r="H33" s="1499"/>
      <c r="I33" s="533"/>
      <c r="J33" s="533"/>
      <c r="K33" s="533"/>
      <c r="L33" s="537"/>
    </row>
    <row r="34" spans="1:12">
      <c r="A34" s="1497" t="s">
        <v>445</v>
      </c>
      <c r="B34" s="1498"/>
      <c r="C34" s="1498"/>
      <c r="D34" s="1498"/>
      <c r="E34" s="1498"/>
      <c r="F34" s="1498"/>
      <c r="G34" s="1498"/>
      <c r="H34" s="1499"/>
      <c r="I34" s="533"/>
      <c r="J34" s="533"/>
      <c r="K34" s="533"/>
      <c r="L34" s="537"/>
    </row>
    <row r="35" spans="1:12">
      <c r="A35" s="1497" t="s">
        <v>443</v>
      </c>
      <c r="B35" s="1498"/>
      <c r="C35" s="1498"/>
      <c r="D35" s="1498"/>
      <c r="E35" s="1498"/>
      <c r="F35" s="1498"/>
      <c r="G35" s="1498"/>
      <c r="H35" s="1499"/>
      <c r="I35" s="533"/>
      <c r="J35" s="533"/>
      <c r="K35" s="533"/>
      <c r="L35" s="537"/>
    </row>
    <row r="36" spans="1:12" ht="13.8" thickBot="1">
      <c r="A36" s="1497" t="s">
        <v>443</v>
      </c>
      <c r="B36" s="1498"/>
      <c r="C36" s="1498"/>
      <c r="D36" s="1498"/>
      <c r="E36" s="1498"/>
      <c r="F36" s="1498"/>
      <c r="G36" s="1498"/>
      <c r="H36" s="1499"/>
      <c r="I36" s="533"/>
      <c r="J36" s="533"/>
      <c r="K36" s="533"/>
      <c r="L36" s="537"/>
    </row>
    <row r="37" spans="1:12" ht="13.8" thickBot="1">
      <c r="A37" s="1497"/>
      <c r="B37" s="1498"/>
      <c r="C37" s="1498"/>
      <c r="D37" s="1498"/>
      <c r="E37" s="1498"/>
      <c r="F37" s="1498"/>
      <c r="G37" s="1498"/>
      <c r="H37" s="1499"/>
      <c r="I37" s="1503" t="s">
        <v>366</v>
      </c>
      <c r="J37" s="1482"/>
      <c r="K37" s="1483"/>
      <c r="L37" s="543">
        <f>SUM(L25:L36)</f>
        <v>0</v>
      </c>
    </row>
    <row r="38" spans="1:12" ht="21" customHeight="1" thickBot="1">
      <c r="A38" s="1458" t="s">
        <v>446</v>
      </c>
      <c r="B38" s="1459"/>
      <c r="C38" s="1459"/>
      <c r="D38" s="1459"/>
      <c r="E38" s="1459"/>
      <c r="F38" s="1459"/>
      <c r="G38" s="1459"/>
      <c r="H38" s="1459"/>
      <c r="I38" s="1459"/>
      <c r="J38" s="1459"/>
      <c r="K38" s="1472"/>
      <c r="L38" s="544">
        <f>L23+L37</f>
        <v>0</v>
      </c>
    </row>
  </sheetData>
  <mergeCells count="37"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  <mergeCell ref="A27:H27"/>
    <mergeCell ref="A17:H17"/>
    <mergeCell ref="A18:H18"/>
    <mergeCell ref="A19:H19"/>
    <mergeCell ref="A20:H20"/>
    <mergeCell ref="A21:H21"/>
    <mergeCell ref="A22:H22"/>
    <mergeCell ref="A23:H23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447</v>
      </c>
    </row>
    <row r="2" spans="1:12" ht="8.25" customHeight="1">
      <c r="L2" s="399"/>
    </row>
    <row r="3" spans="1:12" ht="15.75" customHeight="1">
      <c r="A3" s="400" t="str">
        <f>'Pg 5 Add. Duties'!A3</f>
        <v>NRA.N.007-040-2024/1F</v>
      </c>
      <c r="B3" s="401"/>
      <c r="C3" s="524"/>
      <c r="D3" s="403"/>
      <c r="E3" s="403"/>
      <c r="F3" s="1438">
        <f>'F1  Cover'!L8</f>
        <v>45169</v>
      </c>
      <c r="G3" s="1438"/>
      <c r="H3" s="1455" t="s">
        <v>377</v>
      </c>
      <c r="I3" s="1455"/>
      <c r="J3" s="1455"/>
      <c r="K3" s="1456">
        <f>'F1  Cover'!K8</f>
        <v>1</v>
      </c>
      <c r="L3" s="1487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5" t="s">
        <v>655</v>
      </c>
      <c r="B6" s="1396"/>
      <c r="C6" s="1396"/>
      <c r="D6" s="1396"/>
      <c r="E6" s="1396"/>
      <c r="F6" s="1396"/>
      <c r="G6" s="1396"/>
      <c r="H6" s="1396"/>
      <c r="I6" s="1396"/>
      <c r="J6" s="1396"/>
      <c r="K6" s="1396"/>
      <c r="L6" s="1397"/>
    </row>
    <row r="7" spans="1:12" ht="15.75" customHeight="1" thickBot="1">
      <c r="A7" s="526"/>
      <c r="L7" s="527"/>
    </row>
    <row r="8" spans="1:12" ht="15.75" customHeight="1" thickBot="1">
      <c r="A8" s="1488" t="s">
        <v>0</v>
      </c>
      <c r="B8" s="1489"/>
      <c r="C8" s="1489"/>
      <c r="D8" s="1489"/>
      <c r="E8" s="1489"/>
      <c r="F8" s="1489"/>
      <c r="G8" s="1489"/>
      <c r="H8" s="1490"/>
      <c r="I8" s="541" t="s">
        <v>1</v>
      </c>
      <c r="J8" s="541" t="s">
        <v>2</v>
      </c>
      <c r="K8" s="541" t="s">
        <v>3</v>
      </c>
      <c r="L8" s="542" t="s">
        <v>402</v>
      </c>
    </row>
    <row r="9" spans="1:12" ht="12.75" customHeight="1">
      <c r="A9" s="1504" t="s">
        <v>448</v>
      </c>
      <c r="B9" s="1505"/>
      <c r="C9" s="1505"/>
      <c r="D9" s="1505"/>
      <c r="E9" s="1505"/>
      <c r="F9" s="1505"/>
      <c r="G9" s="1505"/>
      <c r="H9" s="1506"/>
      <c r="I9" s="535"/>
      <c r="J9" s="535"/>
      <c r="K9" s="535"/>
      <c r="L9" s="536"/>
    </row>
    <row r="10" spans="1:12" ht="12.75" customHeight="1">
      <c r="A10" s="1504" t="s">
        <v>656</v>
      </c>
      <c r="B10" s="1505"/>
      <c r="C10" s="1505"/>
      <c r="D10" s="1505"/>
      <c r="E10" s="1505"/>
      <c r="F10" s="1505"/>
      <c r="G10" s="1505"/>
      <c r="H10" s="1506"/>
      <c r="I10" s="535"/>
      <c r="J10" s="535"/>
      <c r="K10" s="535"/>
      <c r="L10" s="536"/>
    </row>
    <row r="11" spans="1:12">
      <c r="A11" s="1494" t="s">
        <v>383</v>
      </c>
      <c r="B11" s="1495"/>
      <c r="C11" s="1495"/>
      <c r="D11" s="1495"/>
      <c r="E11" s="1495"/>
      <c r="F11" s="1495"/>
      <c r="G11" s="1495"/>
      <c r="H11" s="1496"/>
      <c r="I11" s="533"/>
      <c r="J11" s="533"/>
      <c r="K11" s="533"/>
      <c r="L11" s="537"/>
    </row>
    <row r="12" spans="1:12">
      <c r="A12" s="1484"/>
      <c r="B12" s="1485"/>
      <c r="C12" s="1485"/>
      <c r="D12" s="1485"/>
      <c r="E12" s="1485"/>
      <c r="F12" s="1485"/>
      <c r="G12" s="1485"/>
      <c r="H12" s="1486"/>
      <c r="I12" s="533"/>
      <c r="J12" s="533"/>
      <c r="K12" s="533"/>
      <c r="L12" s="537"/>
    </row>
    <row r="13" spans="1:12">
      <c r="A13" s="1484"/>
      <c r="B13" s="1485"/>
      <c r="C13" s="1485"/>
      <c r="D13" s="1485"/>
      <c r="E13" s="1485"/>
      <c r="F13" s="1485"/>
      <c r="G13" s="1485"/>
      <c r="H13" s="1486"/>
      <c r="I13" s="533"/>
      <c r="J13" s="533"/>
      <c r="K13" s="533"/>
      <c r="L13" s="537"/>
    </row>
    <row r="14" spans="1:12">
      <c r="A14" s="1484"/>
      <c r="B14" s="1485"/>
      <c r="C14" s="1485"/>
      <c r="D14" s="1485"/>
      <c r="E14" s="1485"/>
      <c r="F14" s="1485"/>
      <c r="G14" s="1485"/>
      <c r="H14" s="1486"/>
      <c r="I14" s="533"/>
      <c r="J14" s="533"/>
      <c r="K14" s="533"/>
      <c r="L14" s="537"/>
    </row>
    <row r="15" spans="1:12">
      <c r="A15" s="1484"/>
      <c r="B15" s="1485"/>
      <c r="C15" s="1485"/>
      <c r="D15" s="1485"/>
      <c r="E15" s="1485"/>
      <c r="F15" s="1485"/>
      <c r="G15" s="1485"/>
      <c r="H15" s="1486"/>
      <c r="I15" s="533"/>
      <c r="J15" s="533"/>
      <c r="K15" s="533"/>
      <c r="L15" s="537"/>
    </row>
    <row r="16" spans="1:12">
      <c r="A16" s="1484"/>
      <c r="B16" s="1485"/>
      <c r="C16" s="1485"/>
      <c r="D16" s="1485"/>
      <c r="E16" s="1485"/>
      <c r="F16" s="1485"/>
      <c r="G16" s="1485"/>
      <c r="H16" s="1486"/>
      <c r="I16" s="533"/>
      <c r="J16" s="533"/>
      <c r="K16" s="533"/>
      <c r="L16" s="537"/>
    </row>
    <row r="17" spans="1:12">
      <c r="A17" s="1484"/>
      <c r="B17" s="1485"/>
      <c r="C17" s="1485"/>
      <c r="D17" s="1485"/>
      <c r="E17" s="1485"/>
      <c r="F17" s="1485"/>
      <c r="G17" s="1485"/>
      <c r="H17" s="1486"/>
      <c r="I17" s="533"/>
      <c r="J17" s="533"/>
      <c r="K17" s="533"/>
      <c r="L17" s="537"/>
    </row>
    <row r="18" spans="1:12">
      <c r="A18" s="1507"/>
      <c r="B18" s="1508"/>
      <c r="C18" s="1508"/>
      <c r="D18" s="1508"/>
      <c r="E18" s="1508"/>
      <c r="F18" s="1508"/>
      <c r="G18" s="1508"/>
      <c r="H18" s="1509"/>
      <c r="I18" s="1500" t="s">
        <v>449</v>
      </c>
      <c r="J18" s="1501"/>
      <c r="K18" s="1502"/>
      <c r="L18" s="538"/>
    </row>
    <row r="19" spans="1:12">
      <c r="A19" s="1510" t="s">
        <v>450</v>
      </c>
      <c r="B19" s="1511"/>
      <c r="C19" s="1511"/>
      <c r="D19" s="1511"/>
      <c r="E19" s="1511"/>
      <c r="F19" s="1511"/>
      <c r="G19" s="1511"/>
      <c r="H19" s="1512"/>
      <c r="I19" s="532"/>
      <c r="J19" s="532"/>
      <c r="K19" s="532"/>
      <c r="L19" s="538"/>
    </row>
    <row r="20" spans="1:12">
      <c r="A20" s="1513" t="s">
        <v>657</v>
      </c>
      <c r="B20" s="1514"/>
      <c r="C20" s="1514"/>
      <c r="D20" s="1514"/>
      <c r="E20" s="1514"/>
      <c r="F20" s="1514"/>
      <c r="G20" s="1514"/>
      <c r="H20" s="1515"/>
      <c r="I20" s="533"/>
      <c r="J20" s="533"/>
      <c r="K20" s="533"/>
      <c r="L20" s="537"/>
    </row>
    <row r="21" spans="1:12">
      <c r="A21" s="1484" t="s">
        <v>383</v>
      </c>
      <c r="B21" s="1485"/>
      <c r="C21" s="1485"/>
      <c r="D21" s="1485"/>
      <c r="E21" s="1485"/>
      <c r="F21" s="1485"/>
      <c r="G21" s="1485"/>
      <c r="H21" s="1486"/>
      <c r="I21" s="533"/>
      <c r="J21" s="533"/>
      <c r="K21" s="533"/>
      <c r="L21" s="537"/>
    </row>
    <row r="22" spans="1:12">
      <c r="A22" s="1484"/>
      <c r="B22" s="1485"/>
      <c r="C22" s="1485"/>
      <c r="D22" s="1485"/>
      <c r="E22" s="1485"/>
      <c r="F22" s="1485"/>
      <c r="G22" s="1485"/>
      <c r="H22" s="1486"/>
      <c r="I22" s="533"/>
      <c r="J22" s="533"/>
      <c r="K22" s="533"/>
      <c r="L22" s="537"/>
    </row>
    <row r="23" spans="1:12">
      <c r="A23" s="1484"/>
      <c r="B23" s="1485"/>
      <c r="C23" s="1485"/>
      <c r="D23" s="1485"/>
      <c r="E23" s="1485"/>
      <c r="F23" s="1485"/>
      <c r="G23" s="1485"/>
      <c r="H23" s="1486"/>
      <c r="I23" s="533"/>
      <c r="J23" s="533"/>
      <c r="K23" s="533"/>
      <c r="L23" s="537"/>
    </row>
    <row r="24" spans="1:12">
      <c r="A24" s="1484"/>
      <c r="B24" s="1485"/>
      <c r="C24" s="1485"/>
      <c r="D24" s="1485"/>
      <c r="E24" s="1485"/>
      <c r="F24" s="1485"/>
      <c r="G24" s="1485"/>
      <c r="H24" s="1486"/>
      <c r="I24" s="533"/>
      <c r="J24" s="533"/>
      <c r="K24" s="533"/>
      <c r="L24" s="537"/>
    </row>
    <row r="25" spans="1:12">
      <c r="A25" s="1484"/>
      <c r="B25" s="1485"/>
      <c r="C25" s="1485"/>
      <c r="D25" s="1485"/>
      <c r="E25" s="1485"/>
      <c r="F25" s="1485"/>
      <c r="G25" s="1485"/>
      <c r="H25" s="1486"/>
      <c r="I25" s="533"/>
      <c r="J25" s="533"/>
      <c r="K25" s="533"/>
      <c r="L25" s="537"/>
    </row>
    <row r="26" spans="1:12">
      <c r="A26" s="1484"/>
      <c r="B26" s="1485"/>
      <c r="C26" s="1485"/>
      <c r="D26" s="1485"/>
      <c r="E26" s="1485"/>
      <c r="F26" s="1485"/>
      <c r="G26" s="1485"/>
      <c r="H26" s="1486"/>
      <c r="I26" s="533"/>
      <c r="J26" s="533"/>
      <c r="K26" s="533"/>
      <c r="L26" s="537"/>
    </row>
    <row r="27" spans="1:12">
      <c r="A27" s="1484"/>
      <c r="B27" s="1485"/>
      <c r="C27" s="1485"/>
      <c r="D27" s="1485"/>
      <c r="E27" s="1485"/>
      <c r="F27" s="1485"/>
      <c r="G27" s="1485"/>
      <c r="H27" s="1486"/>
      <c r="I27" s="533"/>
      <c r="J27" s="533"/>
      <c r="K27" s="533"/>
      <c r="L27" s="537"/>
    </row>
    <row r="28" spans="1:12">
      <c r="A28" s="1484"/>
      <c r="B28" s="1485"/>
      <c r="C28" s="1485"/>
      <c r="D28" s="1485"/>
      <c r="E28" s="1485"/>
      <c r="F28" s="1485"/>
      <c r="G28" s="1485"/>
      <c r="H28" s="1486"/>
      <c r="I28" s="533"/>
      <c r="J28" s="533"/>
      <c r="K28" s="533"/>
      <c r="L28" s="537"/>
    </row>
    <row r="29" spans="1:12">
      <c r="A29" s="1507"/>
      <c r="B29" s="1508"/>
      <c r="C29" s="1508"/>
      <c r="D29" s="1508"/>
      <c r="E29" s="1508"/>
      <c r="F29" s="1508"/>
      <c r="G29" s="1508"/>
      <c r="H29" s="1509"/>
      <c r="I29" s="1500" t="s">
        <v>451</v>
      </c>
      <c r="J29" s="1501"/>
      <c r="K29" s="1502"/>
      <c r="L29" s="538"/>
    </row>
    <row r="30" spans="1:12">
      <c r="A30" s="1507"/>
      <c r="B30" s="1508"/>
      <c r="C30" s="1508"/>
      <c r="D30" s="1508"/>
      <c r="E30" s="1508"/>
      <c r="F30" s="1508"/>
      <c r="G30" s="1508"/>
      <c r="H30" s="1509"/>
      <c r="I30" s="532"/>
      <c r="J30" s="532"/>
      <c r="K30" s="532"/>
      <c r="L30" s="538"/>
    </row>
    <row r="31" spans="1:12">
      <c r="A31" s="1475" t="s">
        <v>452</v>
      </c>
      <c r="B31" s="1476"/>
      <c r="C31" s="1476"/>
      <c r="D31" s="1476"/>
      <c r="E31" s="1476"/>
      <c r="F31" s="1476"/>
      <c r="G31" s="1476"/>
      <c r="H31" s="1477"/>
      <c r="I31" s="532"/>
      <c r="J31" s="532"/>
      <c r="K31" s="532"/>
      <c r="L31" s="538">
        <f>L18</f>
        <v>0</v>
      </c>
    </row>
    <row r="32" spans="1:12" ht="13.8" thickBot="1">
      <c r="A32" s="1475" t="s">
        <v>453</v>
      </c>
      <c r="B32" s="1476"/>
      <c r="C32" s="1476"/>
      <c r="D32" s="1476"/>
      <c r="E32" s="1476"/>
      <c r="F32" s="1476"/>
      <c r="G32" s="1476"/>
      <c r="H32" s="1477"/>
      <c r="I32" s="532"/>
      <c r="J32" s="532"/>
      <c r="K32" s="788"/>
      <c r="L32" s="539">
        <f>L29</f>
        <v>0</v>
      </c>
    </row>
    <row r="33" spans="1:12" ht="21" customHeight="1" thickBot="1">
      <c r="A33" s="1458" t="s">
        <v>454</v>
      </c>
      <c r="B33" s="1459"/>
      <c r="C33" s="1459"/>
      <c r="D33" s="1459"/>
      <c r="E33" s="1459"/>
      <c r="F33" s="1459"/>
      <c r="G33" s="1459"/>
      <c r="H33" s="1459"/>
      <c r="I33" s="1459"/>
      <c r="J33" s="1459"/>
      <c r="K33" s="1472"/>
      <c r="L33" s="545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455</v>
      </c>
    </row>
    <row r="2" spans="1:12" ht="8.25" customHeight="1">
      <c r="L2" s="399"/>
    </row>
    <row r="3" spans="1:12" ht="15.75" customHeight="1">
      <c r="A3" s="400" t="str">
        <f>'Pg 6 WAF with CPI'!A3</f>
        <v>NRA.N.007-040-2024/1F</v>
      </c>
      <c r="B3" s="401"/>
      <c r="C3" s="524"/>
      <c r="D3" s="403"/>
      <c r="E3" s="403"/>
      <c r="F3" s="1438">
        <f>'F1  Cover'!L8</f>
        <v>45169</v>
      </c>
      <c r="G3" s="1438"/>
      <c r="H3" s="1455" t="s">
        <v>377</v>
      </c>
      <c r="I3" s="1455"/>
      <c r="J3" s="1455"/>
      <c r="K3" s="1456">
        <f>'F1  Cover'!K8</f>
        <v>1</v>
      </c>
      <c r="L3" s="1487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5" t="s">
        <v>658</v>
      </c>
      <c r="B6" s="1396"/>
      <c r="C6" s="1396"/>
      <c r="D6" s="1396"/>
      <c r="E6" s="1396"/>
      <c r="F6" s="1396"/>
      <c r="G6" s="1396"/>
      <c r="H6" s="1396"/>
      <c r="I6" s="1396"/>
      <c r="J6" s="1396"/>
      <c r="K6" s="1396"/>
      <c r="L6" s="1397"/>
    </row>
    <row r="7" spans="1:12" ht="15.75" customHeight="1" thickBot="1">
      <c r="A7" s="526"/>
      <c r="L7" s="527"/>
    </row>
    <row r="8" spans="1:12" ht="15.75" customHeight="1" thickBot="1">
      <c r="A8" s="1488" t="s">
        <v>0</v>
      </c>
      <c r="B8" s="1489"/>
      <c r="C8" s="1489"/>
      <c r="D8" s="1489"/>
      <c r="E8" s="1489"/>
      <c r="F8" s="1489"/>
      <c r="G8" s="1489"/>
      <c r="H8" s="1490"/>
      <c r="I8" s="541" t="s">
        <v>1</v>
      </c>
      <c r="J8" s="541" t="s">
        <v>2</v>
      </c>
      <c r="K8" s="541" t="s">
        <v>3</v>
      </c>
      <c r="L8" s="542" t="s">
        <v>402</v>
      </c>
    </row>
    <row r="9" spans="1:12" ht="12.75" customHeight="1">
      <c r="A9" s="1504" t="s">
        <v>448</v>
      </c>
      <c r="B9" s="1505"/>
      <c r="C9" s="1505"/>
      <c r="D9" s="1505"/>
      <c r="E9" s="1505"/>
      <c r="F9" s="1505"/>
      <c r="G9" s="1505"/>
      <c r="H9" s="1506"/>
      <c r="I9" s="535"/>
      <c r="J9" s="535"/>
      <c r="K9" s="535"/>
      <c r="L9" s="536"/>
    </row>
    <row r="10" spans="1:12" ht="12.75" customHeight="1">
      <c r="A10" s="1491" t="s">
        <v>656</v>
      </c>
      <c r="B10" s="1492"/>
      <c r="C10" s="1492"/>
      <c r="D10" s="1492"/>
      <c r="E10" s="1492"/>
      <c r="F10" s="1492"/>
      <c r="G10" s="1492"/>
      <c r="H10" s="1493"/>
      <c r="I10" s="530"/>
      <c r="J10" s="530"/>
      <c r="K10" s="530"/>
      <c r="L10" s="531"/>
    </row>
    <row r="11" spans="1:12">
      <c r="A11" s="1484"/>
      <c r="B11" s="1485"/>
      <c r="C11" s="1485"/>
      <c r="D11" s="1485"/>
      <c r="E11" s="1485"/>
      <c r="F11" s="1485"/>
      <c r="G11" s="1485"/>
      <c r="H11" s="1486"/>
      <c r="I11" s="533"/>
      <c r="J11" s="533"/>
      <c r="K11" s="533"/>
      <c r="L11" s="537"/>
    </row>
    <row r="12" spans="1:12">
      <c r="A12" s="1484"/>
      <c r="B12" s="1485"/>
      <c r="C12" s="1485"/>
      <c r="D12" s="1485"/>
      <c r="E12" s="1485"/>
      <c r="F12" s="1485"/>
      <c r="G12" s="1485"/>
      <c r="H12" s="1486"/>
      <c r="I12" s="533"/>
      <c r="J12" s="533"/>
      <c r="K12" s="533"/>
      <c r="L12" s="537"/>
    </row>
    <row r="13" spans="1:12">
      <c r="A13" s="1484"/>
      <c r="B13" s="1485"/>
      <c r="C13" s="1485"/>
      <c r="D13" s="1485"/>
      <c r="E13" s="1485"/>
      <c r="F13" s="1485"/>
      <c r="G13" s="1485"/>
      <c r="H13" s="1486"/>
      <c r="I13" s="533"/>
      <c r="J13" s="533"/>
      <c r="K13" s="533"/>
      <c r="L13" s="537"/>
    </row>
    <row r="14" spans="1:12">
      <c r="A14" s="1484"/>
      <c r="B14" s="1485"/>
      <c r="C14" s="1485"/>
      <c r="D14" s="1485"/>
      <c r="E14" s="1485"/>
      <c r="F14" s="1485"/>
      <c r="G14" s="1485"/>
      <c r="H14" s="1486"/>
      <c r="I14" s="533"/>
      <c r="J14" s="533"/>
      <c r="K14" s="533"/>
      <c r="L14" s="537"/>
    </row>
    <row r="15" spans="1:12">
      <c r="A15" s="1484"/>
      <c r="B15" s="1485"/>
      <c r="C15" s="1485"/>
      <c r="D15" s="1485"/>
      <c r="E15" s="1485"/>
      <c r="F15" s="1485"/>
      <c r="G15" s="1485"/>
      <c r="H15" s="1486"/>
      <c r="I15" s="533"/>
      <c r="J15" s="533"/>
      <c r="K15" s="533"/>
      <c r="L15" s="537"/>
    </row>
    <row r="16" spans="1:12">
      <c r="A16" s="1484"/>
      <c r="B16" s="1485"/>
      <c r="C16" s="1485"/>
      <c r="D16" s="1485"/>
      <c r="E16" s="1485"/>
      <c r="F16" s="1485"/>
      <c r="G16" s="1485"/>
      <c r="H16" s="1486"/>
      <c r="I16" s="533"/>
      <c r="J16" s="533"/>
      <c r="K16" s="533"/>
      <c r="L16" s="537"/>
    </row>
    <row r="17" spans="1:12">
      <c r="A17" s="1484"/>
      <c r="B17" s="1485"/>
      <c r="C17" s="1485"/>
      <c r="D17" s="1485"/>
      <c r="E17" s="1485"/>
      <c r="F17" s="1485"/>
      <c r="G17" s="1485"/>
      <c r="H17" s="1486"/>
      <c r="I17" s="533"/>
      <c r="J17" s="533"/>
      <c r="K17" s="533"/>
      <c r="L17" s="537"/>
    </row>
    <row r="18" spans="1:12">
      <c r="A18" s="1507"/>
      <c r="B18" s="1508"/>
      <c r="C18" s="1508"/>
      <c r="D18" s="1508"/>
      <c r="E18" s="1508"/>
      <c r="F18" s="1508"/>
      <c r="G18" s="1508"/>
      <c r="H18" s="1509"/>
      <c r="I18" s="1500" t="s">
        <v>449</v>
      </c>
      <c r="J18" s="1501"/>
      <c r="K18" s="1502"/>
      <c r="L18" s="538">
        <f>SUM(L10:L17)</f>
        <v>0</v>
      </c>
    </row>
    <row r="19" spans="1:12">
      <c r="A19" s="1510" t="s">
        <v>450</v>
      </c>
      <c r="B19" s="1511"/>
      <c r="C19" s="1511"/>
      <c r="D19" s="1511"/>
      <c r="E19" s="1511"/>
      <c r="F19" s="1511"/>
      <c r="G19" s="1511"/>
      <c r="H19" s="1512"/>
      <c r="I19" s="532"/>
      <c r="J19" s="532"/>
      <c r="K19" s="532"/>
      <c r="L19" s="538"/>
    </row>
    <row r="20" spans="1:12">
      <c r="A20" s="1513" t="s">
        <v>659</v>
      </c>
      <c r="B20" s="1514"/>
      <c r="C20" s="1514"/>
      <c r="D20" s="1514"/>
      <c r="E20" s="1514"/>
      <c r="F20" s="1514"/>
      <c r="G20" s="1514"/>
      <c r="H20" s="1515"/>
      <c r="I20" s="533"/>
      <c r="J20" s="533"/>
      <c r="K20" s="533"/>
      <c r="L20" s="537"/>
    </row>
    <row r="21" spans="1:12">
      <c r="A21" s="1484"/>
      <c r="B21" s="1485"/>
      <c r="C21" s="1485"/>
      <c r="D21" s="1485"/>
      <c r="E21" s="1485"/>
      <c r="F21" s="1485"/>
      <c r="G21" s="1485"/>
      <c r="H21" s="1486"/>
      <c r="I21" s="533"/>
      <c r="J21" s="533"/>
      <c r="K21" s="533"/>
      <c r="L21" s="537"/>
    </row>
    <row r="22" spans="1:12">
      <c r="A22" s="1484"/>
      <c r="B22" s="1485"/>
      <c r="C22" s="1485"/>
      <c r="D22" s="1485"/>
      <c r="E22" s="1485"/>
      <c r="F22" s="1485"/>
      <c r="G22" s="1485"/>
      <c r="H22" s="1486"/>
      <c r="I22" s="533"/>
      <c r="J22" s="533"/>
      <c r="K22" s="533"/>
      <c r="L22" s="537"/>
    </row>
    <row r="23" spans="1:12">
      <c r="A23" s="1484"/>
      <c r="B23" s="1485"/>
      <c r="C23" s="1485"/>
      <c r="D23" s="1485"/>
      <c r="E23" s="1485"/>
      <c r="F23" s="1485"/>
      <c r="G23" s="1485"/>
      <c r="H23" s="1486"/>
      <c r="I23" s="533"/>
      <c r="J23" s="533"/>
      <c r="K23" s="533"/>
      <c r="L23" s="537"/>
    </row>
    <row r="24" spans="1:12">
      <c r="A24" s="1484"/>
      <c r="B24" s="1485"/>
      <c r="C24" s="1485"/>
      <c r="D24" s="1485"/>
      <c r="E24" s="1485"/>
      <c r="F24" s="1485"/>
      <c r="G24" s="1485"/>
      <c r="H24" s="1486"/>
      <c r="I24" s="533"/>
      <c r="J24" s="533"/>
      <c r="K24" s="533"/>
      <c r="L24" s="537"/>
    </row>
    <row r="25" spans="1:12">
      <c r="A25" s="1484"/>
      <c r="B25" s="1485"/>
      <c r="C25" s="1485"/>
      <c r="D25" s="1485"/>
      <c r="E25" s="1485"/>
      <c r="F25" s="1485"/>
      <c r="G25" s="1485"/>
      <c r="H25" s="1486"/>
      <c r="I25" s="533"/>
      <c r="J25" s="533"/>
      <c r="K25" s="533"/>
      <c r="L25" s="537"/>
    </row>
    <row r="26" spans="1:12">
      <c r="A26" s="1484"/>
      <c r="B26" s="1485"/>
      <c r="C26" s="1485"/>
      <c r="D26" s="1485"/>
      <c r="E26" s="1485"/>
      <c r="F26" s="1485"/>
      <c r="G26" s="1485"/>
      <c r="H26" s="1486"/>
      <c r="I26" s="533"/>
      <c r="J26" s="533"/>
      <c r="K26" s="533"/>
      <c r="L26" s="537"/>
    </row>
    <row r="27" spans="1:12">
      <c r="A27" s="1484"/>
      <c r="B27" s="1485"/>
      <c r="C27" s="1485"/>
      <c r="D27" s="1485"/>
      <c r="E27" s="1485"/>
      <c r="F27" s="1485"/>
      <c r="G27" s="1485"/>
      <c r="H27" s="1486"/>
      <c r="I27" s="533"/>
      <c r="J27" s="533"/>
      <c r="K27" s="533"/>
      <c r="L27" s="537"/>
    </row>
    <row r="28" spans="1:12">
      <c r="A28" s="1484"/>
      <c r="B28" s="1485"/>
      <c r="C28" s="1485"/>
      <c r="D28" s="1485"/>
      <c r="E28" s="1485"/>
      <c r="F28" s="1485"/>
      <c r="G28" s="1485"/>
      <c r="H28" s="1486"/>
      <c r="I28" s="533"/>
      <c r="J28" s="533"/>
      <c r="K28" s="533"/>
      <c r="L28" s="537"/>
    </row>
    <row r="29" spans="1:12">
      <c r="A29" s="1507"/>
      <c r="B29" s="1508"/>
      <c r="C29" s="1508"/>
      <c r="D29" s="1508"/>
      <c r="E29" s="1508"/>
      <c r="F29" s="1508"/>
      <c r="G29" s="1508"/>
      <c r="H29" s="1509"/>
      <c r="I29" s="1500" t="s">
        <v>451</v>
      </c>
      <c r="J29" s="1501"/>
      <c r="K29" s="1502"/>
      <c r="L29" s="538">
        <f>SUM(L20:L28)</f>
        <v>0</v>
      </c>
    </row>
    <row r="30" spans="1:12">
      <c r="A30" s="1507"/>
      <c r="B30" s="1508"/>
      <c r="C30" s="1508"/>
      <c r="D30" s="1508"/>
      <c r="E30" s="1508"/>
      <c r="F30" s="1508"/>
      <c r="G30" s="1508"/>
      <c r="H30" s="1509"/>
      <c r="I30" s="532"/>
      <c r="J30" s="532"/>
      <c r="K30" s="532"/>
      <c r="L30" s="538"/>
    </row>
    <row r="31" spans="1:12">
      <c r="A31" s="1475" t="s">
        <v>456</v>
      </c>
      <c r="B31" s="1476"/>
      <c r="C31" s="1476"/>
      <c r="D31" s="1476"/>
      <c r="E31" s="1476"/>
      <c r="F31" s="1476"/>
      <c r="G31" s="1476"/>
      <c r="H31" s="1477"/>
      <c r="I31" s="532"/>
      <c r="J31" s="532"/>
      <c r="K31" s="532"/>
      <c r="L31" s="538">
        <f>L18</f>
        <v>0</v>
      </c>
    </row>
    <row r="32" spans="1:12" ht="13.8" thickBot="1">
      <c r="A32" s="1475" t="s">
        <v>457</v>
      </c>
      <c r="B32" s="1476"/>
      <c r="C32" s="1476"/>
      <c r="D32" s="1476"/>
      <c r="E32" s="1476"/>
      <c r="F32" s="1476"/>
      <c r="G32" s="1476"/>
      <c r="H32" s="1477"/>
      <c r="I32" s="532"/>
      <c r="J32" s="532"/>
      <c r="K32" s="788"/>
      <c r="L32" s="539">
        <f>L29</f>
        <v>0</v>
      </c>
    </row>
    <row r="33" spans="1:12" ht="21" customHeight="1" thickBot="1">
      <c r="A33" s="1458" t="s">
        <v>458</v>
      </c>
      <c r="B33" s="1459"/>
      <c r="C33" s="1459"/>
      <c r="D33" s="1459"/>
      <c r="E33" s="1459"/>
      <c r="F33" s="1459"/>
      <c r="G33" s="1459"/>
      <c r="H33" s="1459"/>
      <c r="I33" s="1459"/>
      <c r="J33" s="1459"/>
      <c r="K33" s="1472"/>
      <c r="L33" s="545">
        <f>L31+L32</f>
        <v>0</v>
      </c>
    </row>
  </sheetData>
  <mergeCells count="32">
    <mergeCell ref="A33:K33"/>
    <mergeCell ref="A28:H28"/>
    <mergeCell ref="A29:H29"/>
    <mergeCell ref="I29:K29"/>
    <mergeCell ref="A30:H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3.2"/>
  <cols>
    <col min="1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459</v>
      </c>
    </row>
    <row r="2" spans="1:12" ht="8.25" customHeight="1">
      <c r="L2" s="399"/>
    </row>
    <row r="3" spans="1:12" ht="15.75" customHeight="1">
      <c r="A3" s="400" t="str">
        <f>'Pg 7 WAF No CPI'!A3</f>
        <v>NRA.N.007-040-2024/1F</v>
      </c>
      <c r="B3" s="401"/>
      <c r="C3" s="524"/>
      <c r="D3" s="403"/>
      <c r="E3" s="403"/>
      <c r="F3" s="1438">
        <f>'F1  Cover'!L8</f>
        <v>45169</v>
      </c>
      <c r="G3" s="1438"/>
      <c r="H3" s="1455" t="s">
        <v>377</v>
      </c>
      <c r="I3" s="1455"/>
      <c r="J3" s="1455"/>
      <c r="K3" s="1456">
        <f>'F1  Cover'!K8</f>
        <v>1</v>
      </c>
      <c r="L3" s="1487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5" t="s">
        <v>460</v>
      </c>
      <c r="B6" s="1396"/>
      <c r="C6" s="1396"/>
      <c r="D6" s="1396"/>
      <c r="E6" s="1396"/>
      <c r="F6" s="1396"/>
      <c r="G6" s="1396"/>
      <c r="H6" s="1396"/>
      <c r="I6" s="1396"/>
      <c r="J6" s="1396"/>
      <c r="K6" s="1396"/>
      <c r="L6" s="1397"/>
    </row>
    <row r="7" spans="1:12" ht="15.75" customHeight="1" thickBot="1">
      <c r="A7" s="526"/>
      <c r="L7" s="527"/>
    </row>
    <row r="8" spans="1:12" ht="15.75" customHeight="1" thickBot="1">
      <c r="A8" s="1468" t="s">
        <v>0</v>
      </c>
      <c r="B8" s="1469"/>
      <c r="C8" s="1469"/>
      <c r="D8" s="1469"/>
      <c r="E8" s="1469"/>
      <c r="F8" s="1469"/>
      <c r="G8" s="1469"/>
      <c r="H8" s="1470"/>
      <c r="I8" s="528" t="s">
        <v>1</v>
      </c>
      <c r="J8" s="528" t="s">
        <v>2</v>
      </c>
      <c r="K8" s="528" t="s">
        <v>3</v>
      </c>
      <c r="L8" s="529" t="s">
        <v>402</v>
      </c>
    </row>
    <row r="9" spans="1:12" ht="12.75" customHeight="1">
      <c r="A9" s="1518" t="s">
        <v>448</v>
      </c>
      <c r="B9" s="1519"/>
      <c r="C9" s="1519"/>
      <c r="D9" s="1519"/>
      <c r="E9" s="1519"/>
      <c r="F9" s="1519"/>
      <c r="G9" s="1519"/>
      <c r="H9" s="1519"/>
      <c r="I9" s="546"/>
      <c r="J9" s="546"/>
      <c r="K9" s="546"/>
      <c r="L9" s="547"/>
    </row>
    <row r="10" spans="1:12" ht="12.75" customHeight="1">
      <c r="A10" s="1518" t="s">
        <v>461</v>
      </c>
      <c r="B10" s="1519"/>
      <c r="C10" s="1519"/>
      <c r="D10" s="1519"/>
      <c r="E10" s="1519"/>
      <c r="F10" s="1519"/>
      <c r="G10" s="1519"/>
      <c r="H10" s="1519"/>
      <c r="I10" s="546"/>
      <c r="J10" s="546"/>
      <c r="K10" s="546"/>
      <c r="L10" s="547"/>
    </row>
    <row r="11" spans="1:12">
      <c r="A11" s="1516" t="s">
        <v>383</v>
      </c>
      <c r="B11" s="1517"/>
      <c r="C11" s="1517"/>
      <c r="D11" s="1517"/>
      <c r="E11" s="1517"/>
      <c r="F11" s="1517"/>
      <c r="G11" s="1517"/>
      <c r="H11" s="1517"/>
      <c r="I11" s="533"/>
      <c r="J11" s="548"/>
      <c r="K11" s="549"/>
      <c r="L11" s="537"/>
    </row>
    <row r="12" spans="1:12">
      <c r="A12" s="1516"/>
      <c r="B12" s="1517"/>
      <c r="C12" s="1517"/>
      <c r="D12" s="1517"/>
      <c r="E12" s="1517"/>
      <c r="F12" s="1517"/>
      <c r="G12" s="1517"/>
      <c r="H12" s="1517"/>
      <c r="I12" s="533"/>
      <c r="J12" s="548"/>
      <c r="K12" s="549"/>
      <c r="L12" s="537"/>
    </row>
    <row r="13" spans="1:12">
      <c r="A13" s="1520"/>
      <c r="B13" s="1521"/>
      <c r="C13" s="1521"/>
      <c r="D13" s="1521"/>
      <c r="E13" s="1521"/>
      <c r="F13" s="1521"/>
      <c r="G13" s="1521"/>
      <c r="H13" s="1522"/>
      <c r="I13" s="533"/>
      <c r="J13" s="533"/>
      <c r="K13" s="549"/>
      <c r="L13" s="537"/>
    </row>
    <row r="14" spans="1:12">
      <c r="A14" s="1520"/>
      <c r="B14" s="1521"/>
      <c r="C14" s="1521"/>
      <c r="D14" s="1521"/>
      <c r="E14" s="1521"/>
      <c r="F14" s="1521"/>
      <c r="G14" s="1521"/>
      <c r="H14" s="1522"/>
      <c r="I14" s="533"/>
      <c r="J14" s="533"/>
      <c r="K14" s="549"/>
      <c r="L14" s="537"/>
    </row>
    <row r="15" spans="1:12">
      <c r="A15" s="1520"/>
      <c r="B15" s="1521"/>
      <c r="C15" s="1521"/>
      <c r="D15" s="1521"/>
      <c r="E15" s="1521"/>
      <c r="F15" s="1521"/>
      <c r="G15" s="1521"/>
      <c r="H15" s="1522"/>
      <c r="I15" s="533"/>
      <c r="J15" s="533"/>
      <c r="K15" s="549"/>
      <c r="L15" s="537"/>
    </row>
    <row r="16" spans="1:12">
      <c r="A16" s="1516"/>
      <c r="B16" s="1517"/>
      <c r="C16" s="1517"/>
      <c r="D16" s="1517"/>
      <c r="E16" s="1517"/>
      <c r="F16" s="1517"/>
      <c r="G16" s="1517"/>
      <c r="H16" s="1517"/>
      <c r="I16" s="533"/>
      <c r="J16" s="548"/>
      <c r="K16" s="549"/>
      <c r="L16" s="537"/>
    </row>
    <row r="17" spans="1:12">
      <c r="A17" s="1516"/>
      <c r="B17" s="1517"/>
      <c r="C17" s="1517"/>
      <c r="D17" s="1517"/>
      <c r="E17" s="1517"/>
      <c r="F17" s="1517"/>
      <c r="G17" s="1517"/>
      <c r="H17" s="1517"/>
      <c r="I17" s="533"/>
      <c r="J17" s="548"/>
      <c r="K17" s="549"/>
      <c r="L17" s="537"/>
    </row>
    <row r="18" spans="1:12">
      <c r="A18" s="1507"/>
      <c r="B18" s="1508"/>
      <c r="C18" s="1508"/>
      <c r="D18" s="1508"/>
      <c r="E18" s="1508"/>
      <c r="F18" s="1508"/>
      <c r="G18" s="1508"/>
      <c r="H18" s="1509"/>
      <c r="I18" s="1500" t="s">
        <v>462</v>
      </c>
      <c r="J18" s="1501"/>
      <c r="K18" s="1502"/>
      <c r="L18" s="538">
        <f>SUM(L11:L17)</f>
        <v>0</v>
      </c>
    </row>
    <row r="19" spans="1:12">
      <c r="A19" s="1523"/>
      <c r="B19" s="1524"/>
      <c r="C19" s="1524"/>
      <c r="D19" s="1524"/>
      <c r="E19" s="1524"/>
      <c r="F19" s="1524"/>
      <c r="G19" s="1524"/>
      <c r="H19" s="1524"/>
      <c r="I19" s="740"/>
      <c r="J19" s="786"/>
      <c r="K19" s="787"/>
      <c r="L19" s="538"/>
    </row>
    <row r="20" spans="1:12">
      <c r="A20" s="1525" t="s">
        <v>450</v>
      </c>
      <c r="B20" s="1526"/>
      <c r="C20" s="1526"/>
      <c r="D20" s="1526"/>
      <c r="E20" s="1526"/>
      <c r="F20" s="1526"/>
      <c r="G20" s="1526"/>
      <c r="H20" s="1526"/>
      <c r="I20" s="532"/>
      <c r="J20" s="532"/>
      <c r="K20" s="550"/>
      <c r="L20" s="538"/>
    </row>
    <row r="21" spans="1:12">
      <c r="A21" s="1525" t="s">
        <v>461</v>
      </c>
      <c r="B21" s="1526"/>
      <c r="C21" s="1526"/>
      <c r="D21" s="1526"/>
      <c r="E21" s="1526"/>
      <c r="F21" s="1526"/>
      <c r="G21" s="1526"/>
      <c r="H21" s="1526"/>
      <c r="I21" s="532"/>
      <c r="J21" s="532"/>
      <c r="K21" s="550"/>
      <c r="L21" s="538"/>
    </row>
    <row r="22" spans="1:12">
      <c r="A22" s="1516" t="s">
        <v>383</v>
      </c>
      <c r="B22" s="1517"/>
      <c r="C22" s="1517"/>
      <c r="D22" s="1517"/>
      <c r="E22" s="1517"/>
      <c r="F22" s="1517"/>
      <c r="G22" s="1517"/>
      <c r="H22" s="1517"/>
      <c r="I22" s="533"/>
      <c r="J22" s="533"/>
      <c r="K22" s="549"/>
      <c r="L22" s="537"/>
    </row>
    <row r="23" spans="1:12">
      <c r="A23" s="1520"/>
      <c r="B23" s="1521"/>
      <c r="C23" s="1521"/>
      <c r="D23" s="1521"/>
      <c r="E23" s="1521"/>
      <c r="F23" s="1521"/>
      <c r="G23" s="1521"/>
      <c r="H23" s="1522"/>
      <c r="I23" s="533"/>
      <c r="J23" s="533"/>
      <c r="K23" s="549"/>
      <c r="L23" s="537"/>
    </row>
    <row r="24" spans="1:12">
      <c r="A24" s="1520"/>
      <c r="B24" s="1521"/>
      <c r="C24" s="1521"/>
      <c r="D24" s="1521"/>
      <c r="E24" s="1521"/>
      <c r="F24" s="1521"/>
      <c r="G24" s="1521"/>
      <c r="H24" s="1522"/>
      <c r="I24" s="533"/>
      <c r="J24" s="533"/>
      <c r="K24" s="549"/>
      <c r="L24" s="537"/>
    </row>
    <row r="25" spans="1:12">
      <c r="A25" s="1520"/>
      <c r="B25" s="1521"/>
      <c r="C25" s="1521"/>
      <c r="D25" s="1521"/>
      <c r="E25" s="1521"/>
      <c r="F25" s="1521"/>
      <c r="G25" s="1521"/>
      <c r="H25" s="1522"/>
      <c r="I25" s="533"/>
      <c r="J25" s="533"/>
      <c r="K25" s="549"/>
      <c r="L25" s="537"/>
    </row>
    <row r="26" spans="1:12">
      <c r="A26" s="1520"/>
      <c r="B26" s="1521"/>
      <c r="C26" s="1521"/>
      <c r="D26" s="1521"/>
      <c r="E26" s="1521"/>
      <c r="F26" s="1521"/>
      <c r="G26" s="1521"/>
      <c r="H26" s="1522"/>
      <c r="I26" s="533"/>
      <c r="J26" s="533"/>
      <c r="K26" s="549"/>
      <c r="L26" s="537"/>
    </row>
    <row r="27" spans="1:12">
      <c r="A27" s="1520"/>
      <c r="B27" s="1521"/>
      <c r="C27" s="1521"/>
      <c r="D27" s="1521"/>
      <c r="E27" s="1521"/>
      <c r="F27" s="1521"/>
      <c r="G27" s="1521"/>
      <c r="H27" s="1522"/>
      <c r="I27" s="533"/>
      <c r="J27" s="533"/>
      <c r="K27" s="549"/>
      <c r="L27" s="537"/>
    </row>
    <row r="28" spans="1:12">
      <c r="A28" s="1520"/>
      <c r="B28" s="1521"/>
      <c r="C28" s="1521"/>
      <c r="D28" s="1521"/>
      <c r="E28" s="1521"/>
      <c r="F28" s="1521"/>
      <c r="G28" s="1521"/>
      <c r="H28" s="1522"/>
      <c r="I28" s="533"/>
      <c r="J28" s="533"/>
      <c r="K28" s="549"/>
      <c r="L28" s="537"/>
    </row>
    <row r="29" spans="1:12">
      <c r="A29" s="1520"/>
      <c r="B29" s="1521"/>
      <c r="C29" s="1521"/>
      <c r="D29" s="1521"/>
      <c r="E29" s="1521"/>
      <c r="F29" s="1521"/>
      <c r="G29" s="1521"/>
      <c r="H29" s="1522"/>
      <c r="I29" s="533"/>
      <c r="J29" s="533"/>
      <c r="K29" s="549"/>
      <c r="L29" s="537"/>
    </row>
    <row r="30" spans="1:12">
      <c r="A30" s="1507"/>
      <c r="B30" s="1508"/>
      <c r="C30" s="1508"/>
      <c r="D30" s="1508"/>
      <c r="E30" s="1508"/>
      <c r="F30" s="1508"/>
      <c r="G30" s="1508"/>
      <c r="H30" s="1509"/>
      <c r="I30" s="1500" t="s">
        <v>463</v>
      </c>
      <c r="J30" s="1501"/>
      <c r="K30" s="1502"/>
      <c r="L30" s="538"/>
    </row>
    <row r="31" spans="1:12">
      <c r="A31" s="1507"/>
      <c r="B31" s="1508"/>
      <c r="C31" s="1508"/>
      <c r="D31" s="1508"/>
      <c r="E31" s="1508"/>
      <c r="F31" s="1508"/>
      <c r="G31" s="1508"/>
      <c r="H31" s="1509"/>
      <c r="I31" s="532"/>
      <c r="J31" s="532"/>
      <c r="K31" s="532"/>
      <c r="L31" s="538"/>
    </row>
    <row r="32" spans="1:12">
      <c r="A32" s="1475" t="s">
        <v>464</v>
      </c>
      <c r="B32" s="1476"/>
      <c r="C32" s="1476"/>
      <c r="D32" s="1476"/>
      <c r="E32" s="1476"/>
      <c r="F32" s="1476"/>
      <c r="G32" s="1476"/>
      <c r="H32" s="1477"/>
      <c r="I32" s="532"/>
      <c r="J32" s="532"/>
      <c r="K32" s="532"/>
      <c r="L32" s="539">
        <f>L18</f>
        <v>0</v>
      </c>
    </row>
    <row r="33" spans="1:12" ht="13.8" thickBot="1">
      <c r="A33" s="1475" t="s">
        <v>465</v>
      </c>
      <c r="B33" s="1476"/>
      <c r="C33" s="1476"/>
      <c r="D33" s="1476"/>
      <c r="E33" s="1476"/>
      <c r="F33" s="1476"/>
      <c r="G33" s="1476"/>
      <c r="H33" s="1477"/>
      <c r="I33" s="532"/>
      <c r="J33" s="532"/>
      <c r="K33" s="788"/>
      <c r="L33" s="539">
        <f>L30</f>
        <v>0</v>
      </c>
    </row>
    <row r="34" spans="1:12" ht="21" customHeight="1" thickBot="1">
      <c r="A34" s="1458" t="s">
        <v>466</v>
      </c>
      <c r="B34" s="1459"/>
      <c r="C34" s="1459"/>
      <c r="D34" s="1459"/>
      <c r="E34" s="1459"/>
      <c r="F34" s="1459"/>
      <c r="G34" s="1459"/>
      <c r="H34" s="1459"/>
      <c r="I34" s="1459"/>
      <c r="J34" s="1459"/>
      <c r="K34" s="1472"/>
      <c r="L34" s="545">
        <f>L32+L33</f>
        <v>0</v>
      </c>
    </row>
  </sheetData>
  <mergeCells count="33">
    <mergeCell ref="A33:H33"/>
    <mergeCell ref="A34:K34"/>
    <mergeCell ref="A28:H28"/>
    <mergeCell ref="A29:H29"/>
    <mergeCell ref="A30:H30"/>
    <mergeCell ref="I30:K30"/>
    <mergeCell ref="A31:H31"/>
    <mergeCell ref="A32:H32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3.2"/>
  <cols>
    <col min="1" max="1" width="6.6640625" style="314" customWidth="1"/>
    <col min="2" max="2" width="9.33203125" style="314" customWidth="1"/>
    <col min="3" max="4" width="6.6640625" style="314" customWidth="1"/>
    <col min="5" max="5" width="12.6640625" style="314" customWidth="1"/>
    <col min="6" max="6" width="15.44140625" style="314" customWidth="1"/>
    <col min="7" max="7" width="13.6640625" style="314" customWidth="1"/>
    <col min="8" max="8" width="6.6640625" style="314" customWidth="1"/>
    <col min="9" max="9" width="9.33203125" style="314" customWidth="1"/>
    <col min="10" max="10" width="6.6640625" style="314" customWidth="1"/>
    <col min="11" max="11" width="3.33203125" style="314" customWidth="1"/>
    <col min="12" max="12" width="12.6640625" style="314" customWidth="1"/>
    <col min="13" max="13" width="14.88671875" style="314" customWidth="1"/>
    <col min="14" max="14" width="13.6640625" style="314" customWidth="1"/>
    <col min="15" max="256" width="9.109375" style="314"/>
    <col min="257" max="257" width="6.6640625" style="314" customWidth="1"/>
    <col min="258" max="258" width="9.33203125" style="314" customWidth="1"/>
    <col min="259" max="260" width="6.6640625" style="314" customWidth="1"/>
    <col min="261" max="261" width="12.6640625" style="314" customWidth="1"/>
    <col min="262" max="262" width="15.44140625" style="314" customWidth="1"/>
    <col min="263" max="263" width="13.6640625" style="314" customWidth="1"/>
    <col min="264" max="264" width="6.6640625" style="314" customWidth="1"/>
    <col min="265" max="265" width="9.33203125" style="314" customWidth="1"/>
    <col min="266" max="266" width="6.6640625" style="314" customWidth="1"/>
    <col min="267" max="267" width="3.33203125" style="314" customWidth="1"/>
    <col min="268" max="268" width="12.6640625" style="314" customWidth="1"/>
    <col min="269" max="269" width="14.88671875" style="314" customWidth="1"/>
    <col min="270" max="270" width="13.6640625" style="314" customWidth="1"/>
    <col min="271" max="512" width="9.109375" style="314"/>
    <col min="513" max="513" width="6.6640625" style="314" customWidth="1"/>
    <col min="514" max="514" width="9.33203125" style="314" customWidth="1"/>
    <col min="515" max="516" width="6.6640625" style="314" customWidth="1"/>
    <col min="517" max="517" width="12.6640625" style="314" customWidth="1"/>
    <col min="518" max="518" width="15.44140625" style="314" customWidth="1"/>
    <col min="519" max="519" width="13.6640625" style="314" customWidth="1"/>
    <col min="520" max="520" width="6.6640625" style="314" customWidth="1"/>
    <col min="521" max="521" width="9.33203125" style="314" customWidth="1"/>
    <col min="522" max="522" width="6.6640625" style="314" customWidth="1"/>
    <col min="523" max="523" width="3.33203125" style="314" customWidth="1"/>
    <col min="524" max="524" width="12.6640625" style="314" customWidth="1"/>
    <col min="525" max="525" width="14.88671875" style="314" customWidth="1"/>
    <col min="526" max="526" width="13.6640625" style="314" customWidth="1"/>
    <col min="527" max="768" width="9.109375" style="314"/>
    <col min="769" max="769" width="6.6640625" style="314" customWidth="1"/>
    <col min="770" max="770" width="9.33203125" style="314" customWidth="1"/>
    <col min="771" max="772" width="6.6640625" style="314" customWidth="1"/>
    <col min="773" max="773" width="12.6640625" style="314" customWidth="1"/>
    <col min="774" max="774" width="15.44140625" style="314" customWidth="1"/>
    <col min="775" max="775" width="13.6640625" style="314" customWidth="1"/>
    <col min="776" max="776" width="6.6640625" style="314" customWidth="1"/>
    <col min="777" max="777" width="9.33203125" style="314" customWidth="1"/>
    <col min="778" max="778" width="6.6640625" style="314" customWidth="1"/>
    <col min="779" max="779" width="3.33203125" style="314" customWidth="1"/>
    <col min="780" max="780" width="12.6640625" style="314" customWidth="1"/>
    <col min="781" max="781" width="14.88671875" style="314" customWidth="1"/>
    <col min="782" max="782" width="13.6640625" style="314" customWidth="1"/>
    <col min="783" max="1024" width="9.109375" style="314"/>
    <col min="1025" max="1025" width="6.6640625" style="314" customWidth="1"/>
    <col min="1026" max="1026" width="9.33203125" style="314" customWidth="1"/>
    <col min="1027" max="1028" width="6.6640625" style="314" customWidth="1"/>
    <col min="1029" max="1029" width="12.6640625" style="314" customWidth="1"/>
    <col min="1030" max="1030" width="15.44140625" style="314" customWidth="1"/>
    <col min="1031" max="1031" width="13.6640625" style="314" customWidth="1"/>
    <col min="1032" max="1032" width="6.6640625" style="314" customWidth="1"/>
    <col min="1033" max="1033" width="9.33203125" style="314" customWidth="1"/>
    <col min="1034" max="1034" width="6.6640625" style="314" customWidth="1"/>
    <col min="1035" max="1035" width="3.33203125" style="314" customWidth="1"/>
    <col min="1036" max="1036" width="12.6640625" style="314" customWidth="1"/>
    <col min="1037" max="1037" width="14.88671875" style="314" customWidth="1"/>
    <col min="1038" max="1038" width="13.6640625" style="314" customWidth="1"/>
    <col min="1039" max="1280" width="9.109375" style="314"/>
    <col min="1281" max="1281" width="6.6640625" style="314" customWidth="1"/>
    <col min="1282" max="1282" width="9.33203125" style="314" customWidth="1"/>
    <col min="1283" max="1284" width="6.6640625" style="314" customWidth="1"/>
    <col min="1285" max="1285" width="12.6640625" style="314" customWidth="1"/>
    <col min="1286" max="1286" width="15.44140625" style="314" customWidth="1"/>
    <col min="1287" max="1287" width="13.6640625" style="314" customWidth="1"/>
    <col min="1288" max="1288" width="6.6640625" style="314" customWidth="1"/>
    <col min="1289" max="1289" width="9.33203125" style="314" customWidth="1"/>
    <col min="1290" max="1290" width="6.6640625" style="314" customWidth="1"/>
    <col min="1291" max="1291" width="3.33203125" style="314" customWidth="1"/>
    <col min="1292" max="1292" width="12.6640625" style="314" customWidth="1"/>
    <col min="1293" max="1293" width="14.88671875" style="314" customWidth="1"/>
    <col min="1294" max="1294" width="13.6640625" style="314" customWidth="1"/>
    <col min="1295" max="1536" width="9.109375" style="314"/>
    <col min="1537" max="1537" width="6.6640625" style="314" customWidth="1"/>
    <col min="1538" max="1538" width="9.33203125" style="314" customWidth="1"/>
    <col min="1539" max="1540" width="6.6640625" style="314" customWidth="1"/>
    <col min="1541" max="1541" width="12.6640625" style="314" customWidth="1"/>
    <col min="1542" max="1542" width="15.44140625" style="314" customWidth="1"/>
    <col min="1543" max="1543" width="13.6640625" style="314" customWidth="1"/>
    <col min="1544" max="1544" width="6.6640625" style="314" customWidth="1"/>
    <col min="1545" max="1545" width="9.33203125" style="314" customWidth="1"/>
    <col min="1546" max="1546" width="6.6640625" style="314" customWidth="1"/>
    <col min="1547" max="1547" width="3.33203125" style="314" customWidth="1"/>
    <col min="1548" max="1548" width="12.6640625" style="314" customWidth="1"/>
    <col min="1549" max="1549" width="14.88671875" style="314" customWidth="1"/>
    <col min="1550" max="1550" width="13.6640625" style="314" customWidth="1"/>
    <col min="1551" max="1792" width="9.109375" style="314"/>
    <col min="1793" max="1793" width="6.6640625" style="314" customWidth="1"/>
    <col min="1794" max="1794" width="9.33203125" style="314" customWidth="1"/>
    <col min="1795" max="1796" width="6.6640625" style="314" customWidth="1"/>
    <col min="1797" max="1797" width="12.6640625" style="314" customWidth="1"/>
    <col min="1798" max="1798" width="15.44140625" style="314" customWidth="1"/>
    <col min="1799" max="1799" width="13.6640625" style="314" customWidth="1"/>
    <col min="1800" max="1800" width="6.6640625" style="314" customWidth="1"/>
    <col min="1801" max="1801" width="9.33203125" style="314" customWidth="1"/>
    <col min="1802" max="1802" width="6.6640625" style="314" customWidth="1"/>
    <col min="1803" max="1803" width="3.33203125" style="314" customWidth="1"/>
    <col min="1804" max="1804" width="12.6640625" style="314" customWidth="1"/>
    <col min="1805" max="1805" width="14.88671875" style="314" customWidth="1"/>
    <col min="1806" max="1806" width="13.6640625" style="314" customWidth="1"/>
    <col min="1807" max="2048" width="9.109375" style="314"/>
    <col min="2049" max="2049" width="6.6640625" style="314" customWidth="1"/>
    <col min="2050" max="2050" width="9.33203125" style="314" customWidth="1"/>
    <col min="2051" max="2052" width="6.6640625" style="314" customWidth="1"/>
    <col min="2053" max="2053" width="12.6640625" style="314" customWidth="1"/>
    <col min="2054" max="2054" width="15.44140625" style="314" customWidth="1"/>
    <col min="2055" max="2055" width="13.6640625" style="314" customWidth="1"/>
    <col min="2056" max="2056" width="6.6640625" style="314" customWidth="1"/>
    <col min="2057" max="2057" width="9.33203125" style="314" customWidth="1"/>
    <col min="2058" max="2058" width="6.6640625" style="314" customWidth="1"/>
    <col min="2059" max="2059" width="3.33203125" style="314" customWidth="1"/>
    <col min="2060" max="2060" width="12.6640625" style="314" customWidth="1"/>
    <col min="2061" max="2061" width="14.88671875" style="314" customWidth="1"/>
    <col min="2062" max="2062" width="13.6640625" style="314" customWidth="1"/>
    <col min="2063" max="2304" width="9.109375" style="314"/>
    <col min="2305" max="2305" width="6.6640625" style="314" customWidth="1"/>
    <col min="2306" max="2306" width="9.33203125" style="314" customWidth="1"/>
    <col min="2307" max="2308" width="6.6640625" style="314" customWidth="1"/>
    <col min="2309" max="2309" width="12.6640625" style="314" customWidth="1"/>
    <col min="2310" max="2310" width="15.44140625" style="314" customWidth="1"/>
    <col min="2311" max="2311" width="13.6640625" style="314" customWidth="1"/>
    <col min="2312" max="2312" width="6.6640625" style="314" customWidth="1"/>
    <col min="2313" max="2313" width="9.33203125" style="314" customWidth="1"/>
    <col min="2314" max="2314" width="6.6640625" style="314" customWidth="1"/>
    <col min="2315" max="2315" width="3.33203125" style="314" customWidth="1"/>
    <col min="2316" max="2316" width="12.6640625" style="314" customWidth="1"/>
    <col min="2317" max="2317" width="14.88671875" style="314" customWidth="1"/>
    <col min="2318" max="2318" width="13.6640625" style="314" customWidth="1"/>
    <col min="2319" max="2560" width="9.109375" style="314"/>
    <col min="2561" max="2561" width="6.6640625" style="314" customWidth="1"/>
    <col min="2562" max="2562" width="9.33203125" style="314" customWidth="1"/>
    <col min="2563" max="2564" width="6.6640625" style="314" customWidth="1"/>
    <col min="2565" max="2565" width="12.6640625" style="314" customWidth="1"/>
    <col min="2566" max="2566" width="15.44140625" style="314" customWidth="1"/>
    <col min="2567" max="2567" width="13.6640625" style="314" customWidth="1"/>
    <col min="2568" max="2568" width="6.6640625" style="314" customWidth="1"/>
    <col min="2569" max="2569" width="9.33203125" style="314" customWidth="1"/>
    <col min="2570" max="2570" width="6.6640625" style="314" customWidth="1"/>
    <col min="2571" max="2571" width="3.33203125" style="314" customWidth="1"/>
    <col min="2572" max="2572" width="12.6640625" style="314" customWidth="1"/>
    <col min="2573" max="2573" width="14.88671875" style="314" customWidth="1"/>
    <col min="2574" max="2574" width="13.6640625" style="314" customWidth="1"/>
    <col min="2575" max="2816" width="9.109375" style="314"/>
    <col min="2817" max="2817" width="6.6640625" style="314" customWidth="1"/>
    <col min="2818" max="2818" width="9.33203125" style="314" customWidth="1"/>
    <col min="2819" max="2820" width="6.6640625" style="314" customWidth="1"/>
    <col min="2821" max="2821" width="12.6640625" style="314" customWidth="1"/>
    <col min="2822" max="2822" width="15.44140625" style="314" customWidth="1"/>
    <col min="2823" max="2823" width="13.6640625" style="314" customWidth="1"/>
    <col min="2824" max="2824" width="6.6640625" style="314" customWidth="1"/>
    <col min="2825" max="2825" width="9.33203125" style="314" customWidth="1"/>
    <col min="2826" max="2826" width="6.6640625" style="314" customWidth="1"/>
    <col min="2827" max="2827" width="3.33203125" style="314" customWidth="1"/>
    <col min="2828" max="2828" width="12.6640625" style="314" customWidth="1"/>
    <col min="2829" max="2829" width="14.88671875" style="314" customWidth="1"/>
    <col min="2830" max="2830" width="13.6640625" style="314" customWidth="1"/>
    <col min="2831" max="3072" width="9.109375" style="314"/>
    <col min="3073" max="3073" width="6.6640625" style="314" customWidth="1"/>
    <col min="3074" max="3074" width="9.33203125" style="314" customWidth="1"/>
    <col min="3075" max="3076" width="6.6640625" style="314" customWidth="1"/>
    <col min="3077" max="3077" width="12.6640625" style="314" customWidth="1"/>
    <col min="3078" max="3078" width="15.44140625" style="314" customWidth="1"/>
    <col min="3079" max="3079" width="13.6640625" style="314" customWidth="1"/>
    <col min="3080" max="3080" width="6.6640625" style="314" customWidth="1"/>
    <col min="3081" max="3081" width="9.33203125" style="314" customWidth="1"/>
    <col min="3082" max="3082" width="6.6640625" style="314" customWidth="1"/>
    <col min="3083" max="3083" width="3.33203125" style="314" customWidth="1"/>
    <col min="3084" max="3084" width="12.6640625" style="314" customWidth="1"/>
    <col min="3085" max="3085" width="14.88671875" style="314" customWidth="1"/>
    <col min="3086" max="3086" width="13.6640625" style="314" customWidth="1"/>
    <col min="3087" max="3328" width="9.109375" style="314"/>
    <col min="3329" max="3329" width="6.6640625" style="314" customWidth="1"/>
    <col min="3330" max="3330" width="9.33203125" style="314" customWidth="1"/>
    <col min="3331" max="3332" width="6.6640625" style="314" customWidth="1"/>
    <col min="3333" max="3333" width="12.6640625" style="314" customWidth="1"/>
    <col min="3334" max="3334" width="15.44140625" style="314" customWidth="1"/>
    <col min="3335" max="3335" width="13.6640625" style="314" customWidth="1"/>
    <col min="3336" max="3336" width="6.6640625" style="314" customWidth="1"/>
    <col min="3337" max="3337" width="9.33203125" style="314" customWidth="1"/>
    <col min="3338" max="3338" width="6.6640625" style="314" customWidth="1"/>
    <col min="3339" max="3339" width="3.33203125" style="314" customWidth="1"/>
    <col min="3340" max="3340" width="12.6640625" style="314" customWidth="1"/>
    <col min="3341" max="3341" width="14.88671875" style="314" customWidth="1"/>
    <col min="3342" max="3342" width="13.6640625" style="314" customWidth="1"/>
    <col min="3343" max="3584" width="9.109375" style="314"/>
    <col min="3585" max="3585" width="6.6640625" style="314" customWidth="1"/>
    <col min="3586" max="3586" width="9.33203125" style="314" customWidth="1"/>
    <col min="3587" max="3588" width="6.6640625" style="314" customWidth="1"/>
    <col min="3589" max="3589" width="12.6640625" style="314" customWidth="1"/>
    <col min="3590" max="3590" width="15.44140625" style="314" customWidth="1"/>
    <col min="3591" max="3591" width="13.6640625" style="314" customWidth="1"/>
    <col min="3592" max="3592" width="6.6640625" style="314" customWidth="1"/>
    <col min="3593" max="3593" width="9.33203125" style="314" customWidth="1"/>
    <col min="3594" max="3594" width="6.6640625" style="314" customWidth="1"/>
    <col min="3595" max="3595" width="3.33203125" style="314" customWidth="1"/>
    <col min="3596" max="3596" width="12.6640625" style="314" customWidth="1"/>
    <col min="3597" max="3597" width="14.88671875" style="314" customWidth="1"/>
    <col min="3598" max="3598" width="13.6640625" style="314" customWidth="1"/>
    <col min="3599" max="3840" width="9.109375" style="314"/>
    <col min="3841" max="3841" width="6.6640625" style="314" customWidth="1"/>
    <col min="3842" max="3842" width="9.33203125" style="314" customWidth="1"/>
    <col min="3843" max="3844" width="6.6640625" style="314" customWidth="1"/>
    <col min="3845" max="3845" width="12.6640625" style="314" customWidth="1"/>
    <col min="3846" max="3846" width="15.44140625" style="314" customWidth="1"/>
    <col min="3847" max="3847" width="13.6640625" style="314" customWidth="1"/>
    <col min="3848" max="3848" width="6.6640625" style="314" customWidth="1"/>
    <col min="3849" max="3849" width="9.33203125" style="314" customWidth="1"/>
    <col min="3850" max="3850" width="6.6640625" style="314" customWidth="1"/>
    <col min="3851" max="3851" width="3.33203125" style="314" customWidth="1"/>
    <col min="3852" max="3852" width="12.6640625" style="314" customWidth="1"/>
    <col min="3853" max="3853" width="14.88671875" style="314" customWidth="1"/>
    <col min="3854" max="3854" width="13.6640625" style="314" customWidth="1"/>
    <col min="3855" max="4096" width="9.109375" style="314"/>
    <col min="4097" max="4097" width="6.6640625" style="314" customWidth="1"/>
    <col min="4098" max="4098" width="9.33203125" style="314" customWidth="1"/>
    <col min="4099" max="4100" width="6.6640625" style="314" customWidth="1"/>
    <col min="4101" max="4101" width="12.6640625" style="314" customWidth="1"/>
    <col min="4102" max="4102" width="15.44140625" style="314" customWidth="1"/>
    <col min="4103" max="4103" width="13.6640625" style="314" customWidth="1"/>
    <col min="4104" max="4104" width="6.6640625" style="314" customWidth="1"/>
    <col min="4105" max="4105" width="9.33203125" style="314" customWidth="1"/>
    <col min="4106" max="4106" width="6.6640625" style="314" customWidth="1"/>
    <col min="4107" max="4107" width="3.33203125" style="314" customWidth="1"/>
    <col min="4108" max="4108" width="12.6640625" style="314" customWidth="1"/>
    <col min="4109" max="4109" width="14.88671875" style="314" customWidth="1"/>
    <col min="4110" max="4110" width="13.6640625" style="314" customWidth="1"/>
    <col min="4111" max="4352" width="9.109375" style="314"/>
    <col min="4353" max="4353" width="6.6640625" style="314" customWidth="1"/>
    <col min="4354" max="4354" width="9.33203125" style="314" customWidth="1"/>
    <col min="4355" max="4356" width="6.6640625" style="314" customWidth="1"/>
    <col min="4357" max="4357" width="12.6640625" style="314" customWidth="1"/>
    <col min="4358" max="4358" width="15.44140625" style="314" customWidth="1"/>
    <col min="4359" max="4359" width="13.6640625" style="314" customWidth="1"/>
    <col min="4360" max="4360" width="6.6640625" style="314" customWidth="1"/>
    <col min="4361" max="4361" width="9.33203125" style="314" customWidth="1"/>
    <col min="4362" max="4362" width="6.6640625" style="314" customWidth="1"/>
    <col min="4363" max="4363" width="3.33203125" style="314" customWidth="1"/>
    <col min="4364" max="4364" width="12.6640625" style="314" customWidth="1"/>
    <col min="4365" max="4365" width="14.88671875" style="314" customWidth="1"/>
    <col min="4366" max="4366" width="13.6640625" style="314" customWidth="1"/>
    <col min="4367" max="4608" width="9.109375" style="314"/>
    <col min="4609" max="4609" width="6.6640625" style="314" customWidth="1"/>
    <col min="4610" max="4610" width="9.33203125" style="314" customWidth="1"/>
    <col min="4611" max="4612" width="6.6640625" style="314" customWidth="1"/>
    <col min="4613" max="4613" width="12.6640625" style="314" customWidth="1"/>
    <col min="4614" max="4614" width="15.44140625" style="314" customWidth="1"/>
    <col min="4615" max="4615" width="13.6640625" style="314" customWidth="1"/>
    <col min="4616" max="4616" width="6.6640625" style="314" customWidth="1"/>
    <col min="4617" max="4617" width="9.33203125" style="314" customWidth="1"/>
    <col min="4618" max="4618" width="6.6640625" style="314" customWidth="1"/>
    <col min="4619" max="4619" width="3.33203125" style="314" customWidth="1"/>
    <col min="4620" max="4620" width="12.6640625" style="314" customWidth="1"/>
    <col min="4621" max="4621" width="14.88671875" style="314" customWidth="1"/>
    <col min="4622" max="4622" width="13.6640625" style="314" customWidth="1"/>
    <col min="4623" max="4864" width="9.109375" style="314"/>
    <col min="4865" max="4865" width="6.6640625" style="314" customWidth="1"/>
    <col min="4866" max="4866" width="9.33203125" style="314" customWidth="1"/>
    <col min="4867" max="4868" width="6.6640625" style="314" customWidth="1"/>
    <col min="4869" max="4869" width="12.6640625" style="314" customWidth="1"/>
    <col min="4870" max="4870" width="15.44140625" style="314" customWidth="1"/>
    <col min="4871" max="4871" width="13.6640625" style="314" customWidth="1"/>
    <col min="4872" max="4872" width="6.6640625" style="314" customWidth="1"/>
    <col min="4873" max="4873" width="9.33203125" style="314" customWidth="1"/>
    <col min="4874" max="4874" width="6.6640625" style="314" customWidth="1"/>
    <col min="4875" max="4875" width="3.33203125" style="314" customWidth="1"/>
    <col min="4876" max="4876" width="12.6640625" style="314" customWidth="1"/>
    <col min="4877" max="4877" width="14.88671875" style="314" customWidth="1"/>
    <col min="4878" max="4878" width="13.6640625" style="314" customWidth="1"/>
    <col min="4879" max="5120" width="9.109375" style="314"/>
    <col min="5121" max="5121" width="6.6640625" style="314" customWidth="1"/>
    <col min="5122" max="5122" width="9.33203125" style="314" customWidth="1"/>
    <col min="5123" max="5124" width="6.6640625" style="314" customWidth="1"/>
    <col min="5125" max="5125" width="12.6640625" style="314" customWidth="1"/>
    <col min="5126" max="5126" width="15.44140625" style="314" customWidth="1"/>
    <col min="5127" max="5127" width="13.6640625" style="314" customWidth="1"/>
    <col min="5128" max="5128" width="6.6640625" style="314" customWidth="1"/>
    <col min="5129" max="5129" width="9.33203125" style="314" customWidth="1"/>
    <col min="5130" max="5130" width="6.6640625" style="314" customWidth="1"/>
    <col min="5131" max="5131" width="3.33203125" style="314" customWidth="1"/>
    <col min="5132" max="5132" width="12.6640625" style="314" customWidth="1"/>
    <col min="5133" max="5133" width="14.88671875" style="314" customWidth="1"/>
    <col min="5134" max="5134" width="13.6640625" style="314" customWidth="1"/>
    <col min="5135" max="5376" width="9.109375" style="314"/>
    <col min="5377" max="5377" width="6.6640625" style="314" customWidth="1"/>
    <col min="5378" max="5378" width="9.33203125" style="314" customWidth="1"/>
    <col min="5379" max="5380" width="6.6640625" style="314" customWidth="1"/>
    <col min="5381" max="5381" width="12.6640625" style="314" customWidth="1"/>
    <col min="5382" max="5382" width="15.44140625" style="314" customWidth="1"/>
    <col min="5383" max="5383" width="13.6640625" style="314" customWidth="1"/>
    <col min="5384" max="5384" width="6.6640625" style="314" customWidth="1"/>
    <col min="5385" max="5385" width="9.33203125" style="314" customWidth="1"/>
    <col min="5386" max="5386" width="6.6640625" style="314" customWidth="1"/>
    <col min="5387" max="5387" width="3.33203125" style="314" customWidth="1"/>
    <col min="5388" max="5388" width="12.6640625" style="314" customWidth="1"/>
    <col min="5389" max="5389" width="14.88671875" style="314" customWidth="1"/>
    <col min="5390" max="5390" width="13.6640625" style="314" customWidth="1"/>
    <col min="5391" max="5632" width="9.109375" style="314"/>
    <col min="5633" max="5633" width="6.6640625" style="314" customWidth="1"/>
    <col min="5634" max="5634" width="9.33203125" style="314" customWidth="1"/>
    <col min="5635" max="5636" width="6.6640625" style="314" customWidth="1"/>
    <col min="5637" max="5637" width="12.6640625" style="314" customWidth="1"/>
    <col min="5638" max="5638" width="15.44140625" style="314" customWidth="1"/>
    <col min="5639" max="5639" width="13.6640625" style="314" customWidth="1"/>
    <col min="5640" max="5640" width="6.6640625" style="314" customWidth="1"/>
    <col min="5641" max="5641" width="9.33203125" style="314" customWidth="1"/>
    <col min="5642" max="5642" width="6.6640625" style="314" customWidth="1"/>
    <col min="5643" max="5643" width="3.33203125" style="314" customWidth="1"/>
    <col min="5644" max="5644" width="12.6640625" style="314" customWidth="1"/>
    <col min="5645" max="5645" width="14.88671875" style="314" customWidth="1"/>
    <col min="5646" max="5646" width="13.6640625" style="314" customWidth="1"/>
    <col min="5647" max="5888" width="9.109375" style="314"/>
    <col min="5889" max="5889" width="6.6640625" style="314" customWidth="1"/>
    <col min="5890" max="5890" width="9.33203125" style="314" customWidth="1"/>
    <col min="5891" max="5892" width="6.6640625" style="314" customWidth="1"/>
    <col min="5893" max="5893" width="12.6640625" style="314" customWidth="1"/>
    <col min="5894" max="5894" width="15.44140625" style="314" customWidth="1"/>
    <col min="5895" max="5895" width="13.6640625" style="314" customWidth="1"/>
    <col min="5896" max="5896" width="6.6640625" style="314" customWidth="1"/>
    <col min="5897" max="5897" width="9.33203125" style="314" customWidth="1"/>
    <col min="5898" max="5898" width="6.6640625" style="314" customWidth="1"/>
    <col min="5899" max="5899" width="3.33203125" style="314" customWidth="1"/>
    <col min="5900" max="5900" width="12.6640625" style="314" customWidth="1"/>
    <col min="5901" max="5901" width="14.88671875" style="314" customWidth="1"/>
    <col min="5902" max="5902" width="13.6640625" style="314" customWidth="1"/>
    <col min="5903" max="6144" width="9.109375" style="314"/>
    <col min="6145" max="6145" width="6.6640625" style="314" customWidth="1"/>
    <col min="6146" max="6146" width="9.33203125" style="314" customWidth="1"/>
    <col min="6147" max="6148" width="6.6640625" style="314" customWidth="1"/>
    <col min="6149" max="6149" width="12.6640625" style="314" customWidth="1"/>
    <col min="6150" max="6150" width="15.44140625" style="314" customWidth="1"/>
    <col min="6151" max="6151" width="13.6640625" style="314" customWidth="1"/>
    <col min="6152" max="6152" width="6.6640625" style="314" customWidth="1"/>
    <col min="6153" max="6153" width="9.33203125" style="314" customWidth="1"/>
    <col min="6154" max="6154" width="6.6640625" style="314" customWidth="1"/>
    <col min="6155" max="6155" width="3.33203125" style="314" customWidth="1"/>
    <col min="6156" max="6156" width="12.6640625" style="314" customWidth="1"/>
    <col min="6157" max="6157" width="14.88671875" style="314" customWidth="1"/>
    <col min="6158" max="6158" width="13.6640625" style="314" customWidth="1"/>
    <col min="6159" max="6400" width="9.109375" style="314"/>
    <col min="6401" max="6401" width="6.6640625" style="314" customWidth="1"/>
    <col min="6402" max="6402" width="9.33203125" style="314" customWidth="1"/>
    <col min="6403" max="6404" width="6.6640625" style="314" customWidth="1"/>
    <col min="6405" max="6405" width="12.6640625" style="314" customWidth="1"/>
    <col min="6406" max="6406" width="15.44140625" style="314" customWidth="1"/>
    <col min="6407" max="6407" width="13.6640625" style="314" customWidth="1"/>
    <col min="6408" max="6408" width="6.6640625" style="314" customWidth="1"/>
    <col min="6409" max="6409" width="9.33203125" style="314" customWidth="1"/>
    <col min="6410" max="6410" width="6.6640625" style="314" customWidth="1"/>
    <col min="6411" max="6411" width="3.33203125" style="314" customWidth="1"/>
    <col min="6412" max="6412" width="12.6640625" style="314" customWidth="1"/>
    <col min="6413" max="6413" width="14.88671875" style="314" customWidth="1"/>
    <col min="6414" max="6414" width="13.6640625" style="314" customWidth="1"/>
    <col min="6415" max="6656" width="9.109375" style="314"/>
    <col min="6657" max="6657" width="6.6640625" style="314" customWidth="1"/>
    <col min="6658" max="6658" width="9.33203125" style="314" customWidth="1"/>
    <col min="6659" max="6660" width="6.6640625" style="314" customWidth="1"/>
    <col min="6661" max="6661" width="12.6640625" style="314" customWidth="1"/>
    <col min="6662" max="6662" width="15.44140625" style="314" customWidth="1"/>
    <col min="6663" max="6663" width="13.6640625" style="314" customWidth="1"/>
    <col min="6664" max="6664" width="6.6640625" style="314" customWidth="1"/>
    <col min="6665" max="6665" width="9.33203125" style="314" customWidth="1"/>
    <col min="6666" max="6666" width="6.6640625" style="314" customWidth="1"/>
    <col min="6667" max="6667" width="3.33203125" style="314" customWidth="1"/>
    <col min="6668" max="6668" width="12.6640625" style="314" customWidth="1"/>
    <col min="6669" max="6669" width="14.88671875" style="314" customWidth="1"/>
    <col min="6670" max="6670" width="13.6640625" style="314" customWidth="1"/>
    <col min="6671" max="6912" width="9.109375" style="314"/>
    <col min="6913" max="6913" width="6.6640625" style="314" customWidth="1"/>
    <col min="6914" max="6914" width="9.33203125" style="314" customWidth="1"/>
    <col min="6915" max="6916" width="6.6640625" style="314" customWidth="1"/>
    <col min="6917" max="6917" width="12.6640625" style="314" customWidth="1"/>
    <col min="6918" max="6918" width="15.44140625" style="314" customWidth="1"/>
    <col min="6919" max="6919" width="13.6640625" style="314" customWidth="1"/>
    <col min="6920" max="6920" width="6.6640625" style="314" customWidth="1"/>
    <col min="6921" max="6921" width="9.33203125" style="314" customWidth="1"/>
    <col min="6922" max="6922" width="6.6640625" style="314" customWidth="1"/>
    <col min="6923" max="6923" width="3.33203125" style="314" customWidth="1"/>
    <col min="6924" max="6924" width="12.6640625" style="314" customWidth="1"/>
    <col min="6925" max="6925" width="14.88671875" style="314" customWidth="1"/>
    <col min="6926" max="6926" width="13.6640625" style="314" customWidth="1"/>
    <col min="6927" max="7168" width="9.109375" style="314"/>
    <col min="7169" max="7169" width="6.6640625" style="314" customWidth="1"/>
    <col min="7170" max="7170" width="9.33203125" style="314" customWidth="1"/>
    <col min="7171" max="7172" width="6.6640625" style="314" customWidth="1"/>
    <col min="7173" max="7173" width="12.6640625" style="314" customWidth="1"/>
    <col min="7174" max="7174" width="15.44140625" style="314" customWidth="1"/>
    <col min="7175" max="7175" width="13.6640625" style="314" customWidth="1"/>
    <col min="7176" max="7176" width="6.6640625" style="314" customWidth="1"/>
    <col min="7177" max="7177" width="9.33203125" style="314" customWidth="1"/>
    <col min="7178" max="7178" width="6.6640625" style="314" customWidth="1"/>
    <col min="7179" max="7179" width="3.33203125" style="314" customWidth="1"/>
    <col min="7180" max="7180" width="12.6640625" style="314" customWidth="1"/>
    <col min="7181" max="7181" width="14.88671875" style="314" customWidth="1"/>
    <col min="7182" max="7182" width="13.6640625" style="314" customWidth="1"/>
    <col min="7183" max="7424" width="9.109375" style="314"/>
    <col min="7425" max="7425" width="6.6640625" style="314" customWidth="1"/>
    <col min="7426" max="7426" width="9.33203125" style="314" customWidth="1"/>
    <col min="7427" max="7428" width="6.6640625" style="314" customWidth="1"/>
    <col min="7429" max="7429" width="12.6640625" style="314" customWidth="1"/>
    <col min="7430" max="7430" width="15.44140625" style="314" customWidth="1"/>
    <col min="7431" max="7431" width="13.6640625" style="314" customWidth="1"/>
    <col min="7432" max="7432" width="6.6640625" style="314" customWidth="1"/>
    <col min="7433" max="7433" width="9.33203125" style="314" customWidth="1"/>
    <col min="7434" max="7434" width="6.6640625" style="314" customWidth="1"/>
    <col min="7435" max="7435" width="3.33203125" style="314" customWidth="1"/>
    <col min="7436" max="7436" width="12.6640625" style="314" customWidth="1"/>
    <col min="7437" max="7437" width="14.88671875" style="314" customWidth="1"/>
    <col min="7438" max="7438" width="13.6640625" style="314" customWidth="1"/>
    <col min="7439" max="7680" width="9.109375" style="314"/>
    <col min="7681" max="7681" width="6.6640625" style="314" customWidth="1"/>
    <col min="7682" max="7682" width="9.33203125" style="314" customWidth="1"/>
    <col min="7683" max="7684" width="6.6640625" style="314" customWidth="1"/>
    <col min="7685" max="7685" width="12.6640625" style="314" customWidth="1"/>
    <col min="7686" max="7686" width="15.44140625" style="314" customWidth="1"/>
    <col min="7687" max="7687" width="13.6640625" style="314" customWidth="1"/>
    <col min="7688" max="7688" width="6.6640625" style="314" customWidth="1"/>
    <col min="7689" max="7689" width="9.33203125" style="314" customWidth="1"/>
    <col min="7690" max="7690" width="6.6640625" style="314" customWidth="1"/>
    <col min="7691" max="7691" width="3.33203125" style="314" customWidth="1"/>
    <col min="7692" max="7692" width="12.6640625" style="314" customWidth="1"/>
    <col min="7693" max="7693" width="14.88671875" style="314" customWidth="1"/>
    <col min="7694" max="7694" width="13.6640625" style="314" customWidth="1"/>
    <col min="7695" max="7936" width="9.109375" style="314"/>
    <col min="7937" max="7937" width="6.6640625" style="314" customWidth="1"/>
    <col min="7938" max="7938" width="9.33203125" style="314" customWidth="1"/>
    <col min="7939" max="7940" width="6.6640625" style="314" customWidth="1"/>
    <col min="7941" max="7941" width="12.6640625" style="314" customWidth="1"/>
    <col min="7942" max="7942" width="15.44140625" style="314" customWidth="1"/>
    <col min="7943" max="7943" width="13.6640625" style="314" customWidth="1"/>
    <col min="7944" max="7944" width="6.6640625" style="314" customWidth="1"/>
    <col min="7945" max="7945" width="9.33203125" style="314" customWidth="1"/>
    <col min="7946" max="7946" width="6.6640625" style="314" customWidth="1"/>
    <col min="7947" max="7947" width="3.33203125" style="314" customWidth="1"/>
    <col min="7948" max="7948" width="12.6640625" style="314" customWidth="1"/>
    <col min="7949" max="7949" width="14.88671875" style="314" customWidth="1"/>
    <col min="7950" max="7950" width="13.6640625" style="314" customWidth="1"/>
    <col min="7951" max="8192" width="9.109375" style="314"/>
    <col min="8193" max="8193" width="6.6640625" style="314" customWidth="1"/>
    <col min="8194" max="8194" width="9.33203125" style="314" customWidth="1"/>
    <col min="8195" max="8196" width="6.6640625" style="314" customWidth="1"/>
    <col min="8197" max="8197" width="12.6640625" style="314" customWidth="1"/>
    <col min="8198" max="8198" width="15.44140625" style="314" customWidth="1"/>
    <col min="8199" max="8199" width="13.6640625" style="314" customWidth="1"/>
    <col min="8200" max="8200" width="6.6640625" style="314" customWidth="1"/>
    <col min="8201" max="8201" width="9.33203125" style="314" customWidth="1"/>
    <col min="8202" max="8202" width="6.6640625" style="314" customWidth="1"/>
    <col min="8203" max="8203" width="3.33203125" style="314" customWidth="1"/>
    <col min="8204" max="8204" width="12.6640625" style="314" customWidth="1"/>
    <col min="8205" max="8205" width="14.88671875" style="314" customWidth="1"/>
    <col min="8206" max="8206" width="13.6640625" style="314" customWidth="1"/>
    <col min="8207" max="8448" width="9.109375" style="314"/>
    <col min="8449" max="8449" width="6.6640625" style="314" customWidth="1"/>
    <col min="8450" max="8450" width="9.33203125" style="314" customWidth="1"/>
    <col min="8451" max="8452" width="6.6640625" style="314" customWidth="1"/>
    <col min="8453" max="8453" width="12.6640625" style="314" customWidth="1"/>
    <col min="8454" max="8454" width="15.44140625" style="314" customWidth="1"/>
    <col min="8455" max="8455" width="13.6640625" style="314" customWidth="1"/>
    <col min="8456" max="8456" width="6.6640625" style="314" customWidth="1"/>
    <col min="8457" max="8457" width="9.33203125" style="314" customWidth="1"/>
    <col min="8458" max="8458" width="6.6640625" style="314" customWidth="1"/>
    <col min="8459" max="8459" width="3.33203125" style="314" customWidth="1"/>
    <col min="8460" max="8460" width="12.6640625" style="314" customWidth="1"/>
    <col min="8461" max="8461" width="14.88671875" style="314" customWidth="1"/>
    <col min="8462" max="8462" width="13.6640625" style="314" customWidth="1"/>
    <col min="8463" max="8704" width="9.109375" style="314"/>
    <col min="8705" max="8705" width="6.6640625" style="314" customWidth="1"/>
    <col min="8706" max="8706" width="9.33203125" style="314" customWidth="1"/>
    <col min="8707" max="8708" width="6.6640625" style="314" customWidth="1"/>
    <col min="8709" max="8709" width="12.6640625" style="314" customWidth="1"/>
    <col min="8710" max="8710" width="15.44140625" style="314" customWidth="1"/>
    <col min="8711" max="8711" width="13.6640625" style="314" customWidth="1"/>
    <col min="8712" max="8712" width="6.6640625" style="314" customWidth="1"/>
    <col min="8713" max="8713" width="9.33203125" style="314" customWidth="1"/>
    <col min="8714" max="8714" width="6.6640625" style="314" customWidth="1"/>
    <col min="8715" max="8715" width="3.33203125" style="314" customWidth="1"/>
    <col min="8716" max="8716" width="12.6640625" style="314" customWidth="1"/>
    <col min="8717" max="8717" width="14.88671875" style="314" customWidth="1"/>
    <col min="8718" max="8718" width="13.6640625" style="314" customWidth="1"/>
    <col min="8719" max="8960" width="9.109375" style="314"/>
    <col min="8961" max="8961" width="6.6640625" style="314" customWidth="1"/>
    <col min="8962" max="8962" width="9.33203125" style="314" customWidth="1"/>
    <col min="8963" max="8964" width="6.6640625" style="314" customWidth="1"/>
    <col min="8965" max="8965" width="12.6640625" style="314" customWidth="1"/>
    <col min="8966" max="8966" width="15.44140625" style="314" customWidth="1"/>
    <col min="8967" max="8967" width="13.6640625" style="314" customWidth="1"/>
    <col min="8968" max="8968" width="6.6640625" style="314" customWidth="1"/>
    <col min="8969" max="8969" width="9.33203125" style="314" customWidth="1"/>
    <col min="8970" max="8970" width="6.6640625" style="314" customWidth="1"/>
    <col min="8971" max="8971" width="3.33203125" style="314" customWidth="1"/>
    <col min="8972" max="8972" width="12.6640625" style="314" customWidth="1"/>
    <col min="8973" max="8973" width="14.88671875" style="314" customWidth="1"/>
    <col min="8974" max="8974" width="13.6640625" style="314" customWidth="1"/>
    <col min="8975" max="9216" width="9.109375" style="314"/>
    <col min="9217" max="9217" width="6.6640625" style="314" customWidth="1"/>
    <col min="9218" max="9218" width="9.33203125" style="314" customWidth="1"/>
    <col min="9219" max="9220" width="6.6640625" style="314" customWidth="1"/>
    <col min="9221" max="9221" width="12.6640625" style="314" customWidth="1"/>
    <col min="9222" max="9222" width="15.44140625" style="314" customWidth="1"/>
    <col min="9223" max="9223" width="13.6640625" style="314" customWidth="1"/>
    <col min="9224" max="9224" width="6.6640625" style="314" customWidth="1"/>
    <col min="9225" max="9225" width="9.33203125" style="314" customWidth="1"/>
    <col min="9226" max="9226" width="6.6640625" style="314" customWidth="1"/>
    <col min="9227" max="9227" width="3.33203125" style="314" customWidth="1"/>
    <col min="9228" max="9228" width="12.6640625" style="314" customWidth="1"/>
    <col min="9229" max="9229" width="14.88671875" style="314" customWidth="1"/>
    <col min="9230" max="9230" width="13.6640625" style="314" customWidth="1"/>
    <col min="9231" max="9472" width="9.109375" style="314"/>
    <col min="9473" max="9473" width="6.6640625" style="314" customWidth="1"/>
    <col min="9474" max="9474" width="9.33203125" style="314" customWidth="1"/>
    <col min="9475" max="9476" width="6.6640625" style="314" customWidth="1"/>
    <col min="9477" max="9477" width="12.6640625" style="314" customWidth="1"/>
    <col min="9478" max="9478" width="15.44140625" style="314" customWidth="1"/>
    <col min="9479" max="9479" width="13.6640625" style="314" customWidth="1"/>
    <col min="9480" max="9480" width="6.6640625" style="314" customWidth="1"/>
    <col min="9481" max="9481" width="9.33203125" style="314" customWidth="1"/>
    <col min="9482" max="9482" width="6.6640625" style="314" customWidth="1"/>
    <col min="9483" max="9483" width="3.33203125" style="314" customWidth="1"/>
    <col min="9484" max="9484" width="12.6640625" style="314" customWidth="1"/>
    <col min="9485" max="9485" width="14.88671875" style="314" customWidth="1"/>
    <col min="9486" max="9486" width="13.6640625" style="314" customWidth="1"/>
    <col min="9487" max="9728" width="9.109375" style="314"/>
    <col min="9729" max="9729" width="6.6640625" style="314" customWidth="1"/>
    <col min="9730" max="9730" width="9.33203125" style="314" customWidth="1"/>
    <col min="9731" max="9732" width="6.6640625" style="314" customWidth="1"/>
    <col min="9733" max="9733" width="12.6640625" style="314" customWidth="1"/>
    <col min="9734" max="9734" width="15.44140625" style="314" customWidth="1"/>
    <col min="9735" max="9735" width="13.6640625" style="314" customWidth="1"/>
    <col min="9736" max="9736" width="6.6640625" style="314" customWidth="1"/>
    <col min="9737" max="9737" width="9.33203125" style="314" customWidth="1"/>
    <col min="9738" max="9738" width="6.6640625" style="314" customWidth="1"/>
    <col min="9739" max="9739" width="3.33203125" style="314" customWidth="1"/>
    <col min="9740" max="9740" width="12.6640625" style="314" customWidth="1"/>
    <col min="9741" max="9741" width="14.88671875" style="314" customWidth="1"/>
    <col min="9742" max="9742" width="13.6640625" style="314" customWidth="1"/>
    <col min="9743" max="9984" width="9.109375" style="314"/>
    <col min="9985" max="9985" width="6.6640625" style="314" customWidth="1"/>
    <col min="9986" max="9986" width="9.33203125" style="314" customWidth="1"/>
    <col min="9987" max="9988" width="6.6640625" style="314" customWidth="1"/>
    <col min="9989" max="9989" width="12.6640625" style="314" customWidth="1"/>
    <col min="9990" max="9990" width="15.44140625" style="314" customWidth="1"/>
    <col min="9991" max="9991" width="13.6640625" style="314" customWidth="1"/>
    <col min="9992" max="9992" width="6.6640625" style="314" customWidth="1"/>
    <col min="9993" max="9993" width="9.33203125" style="314" customWidth="1"/>
    <col min="9994" max="9994" width="6.6640625" style="314" customWidth="1"/>
    <col min="9995" max="9995" width="3.33203125" style="314" customWidth="1"/>
    <col min="9996" max="9996" width="12.6640625" style="314" customWidth="1"/>
    <col min="9997" max="9997" width="14.88671875" style="314" customWidth="1"/>
    <col min="9998" max="9998" width="13.6640625" style="314" customWidth="1"/>
    <col min="9999" max="10240" width="9.109375" style="314"/>
    <col min="10241" max="10241" width="6.6640625" style="314" customWidth="1"/>
    <col min="10242" max="10242" width="9.33203125" style="314" customWidth="1"/>
    <col min="10243" max="10244" width="6.6640625" style="314" customWidth="1"/>
    <col min="10245" max="10245" width="12.6640625" style="314" customWidth="1"/>
    <col min="10246" max="10246" width="15.44140625" style="314" customWidth="1"/>
    <col min="10247" max="10247" width="13.6640625" style="314" customWidth="1"/>
    <col min="10248" max="10248" width="6.6640625" style="314" customWidth="1"/>
    <col min="10249" max="10249" width="9.33203125" style="314" customWidth="1"/>
    <col min="10250" max="10250" width="6.6640625" style="314" customWidth="1"/>
    <col min="10251" max="10251" width="3.33203125" style="314" customWidth="1"/>
    <col min="10252" max="10252" width="12.6640625" style="314" customWidth="1"/>
    <col min="10253" max="10253" width="14.88671875" style="314" customWidth="1"/>
    <col min="10254" max="10254" width="13.6640625" style="314" customWidth="1"/>
    <col min="10255" max="10496" width="9.109375" style="314"/>
    <col min="10497" max="10497" width="6.6640625" style="314" customWidth="1"/>
    <col min="10498" max="10498" width="9.33203125" style="314" customWidth="1"/>
    <col min="10499" max="10500" width="6.6640625" style="314" customWidth="1"/>
    <col min="10501" max="10501" width="12.6640625" style="314" customWidth="1"/>
    <col min="10502" max="10502" width="15.44140625" style="314" customWidth="1"/>
    <col min="10503" max="10503" width="13.6640625" style="314" customWidth="1"/>
    <col min="10504" max="10504" width="6.6640625" style="314" customWidth="1"/>
    <col min="10505" max="10505" width="9.33203125" style="314" customWidth="1"/>
    <col min="10506" max="10506" width="6.6640625" style="314" customWidth="1"/>
    <col min="10507" max="10507" width="3.33203125" style="314" customWidth="1"/>
    <col min="10508" max="10508" width="12.6640625" style="314" customWidth="1"/>
    <col min="10509" max="10509" width="14.88671875" style="314" customWidth="1"/>
    <col min="10510" max="10510" width="13.6640625" style="314" customWidth="1"/>
    <col min="10511" max="10752" width="9.109375" style="314"/>
    <col min="10753" max="10753" width="6.6640625" style="314" customWidth="1"/>
    <col min="10754" max="10754" width="9.33203125" style="314" customWidth="1"/>
    <col min="10755" max="10756" width="6.6640625" style="314" customWidth="1"/>
    <col min="10757" max="10757" width="12.6640625" style="314" customWidth="1"/>
    <col min="10758" max="10758" width="15.44140625" style="314" customWidth="1"/>
    <col min="10759" max="10759" width="13.6640625" style="314" customWidth="1"/>
    <col min="10760" max="10760" width="6.6640625" style="314" customWidth="1"/>
    <col min="10761" max="10761" width="9.33203125" style="314" customWidth="1"/>
    <col min="10762" max="10762" width="6.6640625" style="314" customWidth="1"/>
    <col min="10763" max="10763" width="3.33203125" style="314" customWidth="1"/>
    <col min="10764" max="10764" width="12.6640625" style="314" customWidth="1"/>
    <col min="10765" max="10765" width="14.88671875" style="314" customWidth="1"/>
    <col min="10766" max="10766" width="13.6640625" style="314" customWidth="1"/>
    <col min="10767" max="11008" width="9.109375" style="314"/>
    <col min="11009" max="11009" width="6.6640625" style="314" customWidth="1"/>
    <col min="11010" max="11010" width="9.33203125" style="314" customWidth="1"/>
    <col min="11011" max="11012" width="6.6640625" style="314" customWidth="1"/>
    <col min="11013" max="11013" width="12.6640625" style="314" customWidth="1"/>
    <col min="11014" max="11014" width="15.44140625" style="314" customWidth="1"/>
    <col min="11015" max="11015" width="13.6640625" style="314" customWidth="1"/>
    <col min="11016" max="11016" width="6.6640625" style="314" customWidth="1"/>
    <col min="11017" max="11017" width="9.33203125" style="314" customWidth="1"/>
    <col min="11018" max="11018" width="6.6640625" style="314" customWidth="1"/>
    <col min="11019" max="11019" width="3.33203125" style="314" customWidth="1"/>
    <col min="11020" max="11020" width="12.6640625" style="314" customWidth="1"/>
    <col min="11021" max="11021" width="14.88671875" style="314" customWidth="1"/>
    <col min="11022" max="11022" width="13.6640625" style="314" customWidth="1"/>
    <col min="11023" max="11264" width="9.109375" style="314"/>
    <col min="11265" max="11265" width="6.6640625" style="314" customWidth="1"/>
    <col min="11266" max="11266" width="9.33203125" style="314" customWidth="1"/>
    <col min="11267" max="11268" width="6.6640625" style="314" customWidth="1"/>
    <col min="11269" max="11269" width="12.6640625" style="314" customWidth="1"/>
    <col min="11270" max="11270" width="15.44140625" style="314" customWidth="1"/>
    <col min="11271" max="11271" width="13.6640625" style="314" customWidth="1"/>
    <col min="11272" max="11272" width="6.6640625" style="314" customWidth="1"/>
    <col min="11273" max="11273" width="9.33203125" style="314" customWidth="1"/>
    <col min="11274" max="11274" width="6.6640625" style="314" customWidth="1"/>
    <col min="11275" max="11275" width="3.33203125" style="314" customWidth="1"/>
    <col min="11276" max="11276" width="12.6640625" style="314" customWidth="1"/>
    <col min="11277" max="11277" width="14.88671875" style="314" customWidth="1"/>
    <col min="11278" max="11278" width="13.6640625" style="314" customWidth="1"/>
    <col min="11279" max="11520" width="9.109375" style="314"/>
    <col min="11521" max="11521" width="6.6640625" style="314" customWidth="1"/>
    <col min="11522" max="11522" width="9.33203125" style="314" customWidth="1"/>
    <col min="11523" max="11524" width="6.6640625" style="314" customWidth="1"/>
    <col min="11525" max="11525" width="12.6640625" style="314" customWidth="1"/>
    <col min="11526" max="11526" width="15.44140625" style="314" customWidth="1"/>
    <col min="11527" max="11527" width="13.6640625" style="314" customWidth="1"/>
    <col min="11528" max="11528" width="6.6640625" style="314" customWidth="1"/>
    <col min="11529" max="11529" width="9.33203125" style="314" customWidth="1"/>
    <col min="11530" max="11530" width="6.6640625" style="314" customWidth="1"/>
    <col min="11531" max="11531" width="3.33203125" style="314" customWidth="1"/>
    <col min="11532" max="11532" width="12.6640625" style="314" customWidth="1"/>
    <col min="11533" max="11533" width="14.88671875" style="314" customWidth="1"/>
    <col min="11534" max="11534" width="13.6640625" style="314" customWidth="1"/>
    <col min="11535" max="11776" width="9.109375" style="314"/>
    <col min="11777" max="11777" width="6.6640625" style="314" customWidth="1"/>
    <col min="11778" max="11778" width="9.33203125" style="314" customWidth="1"/>
    <col min="11779" max="11780" width="6.6640625" style="314" customWidth="1"/>
    <col min="11781" max="11781" width="12.6640625" style="314" customWidth="1"/>
    <col min="11782" max="11782" width="15.44140625" style="314" customWidth="1"/>
    <col min="11783" max="11783" width="13.6640625" style="314" customWidth="1"/>
    <col min="11784" max="11784" width="6.6640625" style="314" customWidth="1"/>
    <col min="11785" max="11785" width="9.33203125" style="314" customWidth="1"/>
    <col min="11786" max="11786" width="6.6640625" style="314" customWidth="1"/>
    <col min="11787" max="11787" width="3.33203125" style="314" customWidth="1"/>
    <col min="11788" max="11788" width="12.6640625" style="314" customWidth="1"/>
    <col min="11789" max="11789" width="14.88671875" style="314" customWidth="1"/>
    <col min="11790" max="11790" width="13.6640625" style="314" customWidth="1"/>
    <col min="11791" max="12032" width="9.109375" style="314"/>
    <col min="12033" max="12033" width="6.6640625" style="314" customWidth="1"/>
    <col min="12034" max="12034" width="9.33203125" style="314" customWidth="1"/>
    <col min="12035" max="12036" width="6.6640625" style="314" customWidth="1"/>
    <col min="12037" max="12037" width="12.6640625" style="314" customWidth="1"/>
    <col min="12038" max="12038" width="15.44140625" style="314" customWidth="1"/>
    <col min="12039" max="12039" width="13.6640625" style="314" customWidth="1"/>
    <col min="12040" max="12040" width="6.6640625" style="314" customWidth="1"/>
    <col min="12041" max="12041" width="9.33203125" style="314" customWidth="1"/>
    <col min="12042" max="12042" width="6.6640625" style="314" customWidth="1"/>
    <col min="12043" max="12043" width="3.33203125" style="314" customWidth="1"/>
    <col min="12044" max="12044" width="12.6640625" style="314" customWidth="1"/>
    <col min="12045" max="12045" width="14.88671875" style="314" customWidth="1"/>
    <col min="12046" max="12046" width="13.6640625" style="314" customWidth="1"/>
    <col min="12047" max="12288" width="9.109375" style="314"/>
    <col min="12289" max="12289" width="6.6640625" style="314" customWidth="1"/>
    <col min="12290" max="12290" width="9.33203125" style="314" customWidth="1"/>
    <col min="12291" max="12292" width="6.6640625" style="314" customWidth="1"/>
    <col min="12293" max="12293" width="12.6640625" style="314" customWidth="1"/>
    <col min="12294" max="12294" width="15.44140625" style="314" customWidth="1"/>
    <col min="12295" max="12295" width="13.6640625" style="314" customWidth="1"/>
    <col min="12296" max="12296" width="6.6640625" style="314" customWidth="1"/>
    <col min="12297" max="12297" width="9.33203125" style="314" customWidth="1"/>
    <col min="12298" max="12298" width="6.6640625" style="314" customWidth="1"/>
    <col min="12299" max="12299" width="3.33203125" style="314" customWidth="1"/>
    <col min="12300" max="12300" width="12.6640625" style="314" customWidth="1"/>
    <col min="12301" max="12301" width="14.88671875" style="314" customWidth="1"/>
    <col min="12302" max="12302" width="13.6640625" style="314" customWidth="1"/>
    <col min="12303" max="12544" width="9.109375" style="314"/>
    <col min="12545" max="12545" width="6.6640625" style="314" customWidth="1"/>
    <col min="12546" max="12546" width="9.33203125" style="314" customWidth="1"/>
    <col min="12547" max="12548" width="6.6640625" style="314" customWidth="1"/>
    <col min="12549" max="12549" width="12.6640625" style="314" customWidth="1"/>
    <col min="12550" max="12550" width="15.44140625" style="314" customWidth="1"/>
    <col min="12551" max="12551" width="13.6640625" style="314" customWidth="1"/>
    <col min="12552" max="12552" width="6.6640625" style="314" customWidth="1"/>
    <col min="12553" max="12553" width="9.33203125" style="314" customWidth="1"/>
    <col min="12554" max="12554" width="6.6640625" style="314" customWidth="1"/>
    <col min="12555" max="12555" width="3.33203125" style="314" customWidth="1"/>
    <col min="12556" max="12556" width="12.6640625" style="314" customWidth="1"/>
    <col min="12557" max="12557" width="14.88671875" style="314" customWidth="1"/>
    <col min="12558" max="12558" width="13.6640625" style="314" customWidth="1"/>
    <col min="12559" max="12800" width="9.109375" style="314"/>
    <col min="12801" max="12801" width="6.6640625" style="314" customWidth="1"/>
    <col min="12802" max="12802" width="9.33203125" style="314" customWidth="1"/>
    <col min="12803" max="12804" width="6.6640625" style="314" customWidth="1"/>
    <col min="12805" max="12805" width="12.6640625" style="314" customWidth="1"/>
    <col min="12806" max="12806" width="15.44140625" style="314" customWidth="1"/>
    <col min="12807" max="12807" width="13.6640625" style="314" customWidth="1"/>
    <col min="12808" max="12808" width="6.6640625" style="314" customWidth="1"/>
    <col min="12809" max="12809" width="9.33203125" style="314" customWidth="1"/>
    <col min="12810" max="12810" width="6.6640625" style="314" customWidth="1"/>
    <col min="12811" max="12811" width="3.33203125" style="314" customWidth="1"/>
    <col min="12812" max="12812" width="12.6640625" style="314" customWidth="1"/>
    <col min="12813" max="12813" width="14.88671875" style="314" customWidth="1"/>
    <col min="12814" max="12814" width="13.6640625" style="314" customWidth="1"/>
    <col min="12815" max="13056" width="9.109375" style="314"/>
    <col min="13057" max="13057" width="6.6640625" style="314" customWidth="1"/>
    <col min="13058" max="13058" width="9.33203125" style="314" customWidth="1"/>
    <col min="13059" max="13060" width="6.6640625" style="314" customWidth="1"/>
    <col min="13061" max="13061" width="12.6640625" style="314" customWidth="1"/>
    <col min="13062" max="13062" width="15.44140625" style="314" customWidth="1"/>
    <col min="13063" max="13063" width="13.6640625" style="314" customWidth="1"/>
    <col min="13064" max="13064" width="6.6640625" style="314" customWidth="1"/>
    <col min="13065" max="13065" width="9.33203125" style="314" customWidth="1"/>
    <col min="13066" max="13066" width="6.6640625" style="314" customWidth="1"/>
    <col min="13067" max="13067" width="3.33203125" style="314" customWidth="1"/>
    <col min="13068" max="13068" width="12.6640625" style="314" customWidth="1"/>
    <col min="13069" max="13069" width="14.88671875" style="314" customWidth="1"/>
    <col min="13070" max="13070" width="13.6640625" style="314" customWidth="1"/>
    <col min="13071" max="13312" width="9.109375" style="314"/>
    <col min="13313" max="13313" width="6.6640625" style="314" customWidth="1"/>
    <col min="13314" max="13314" width="9.33203125" style="314" customWidth="1"/>
    <col min="13315" max="13316" width="6.6640625" style="314" customWidth="1"/>
    <col min="13317" max="13317" width="12.6640625" style="314" customWidth="1"/>
    <col min="13318" max="13318" width="15.44140625" style="314" customWidth="1"/>
    <col min="13319" max="13319" width="13.6640625" style="314" customWidth="1"/>
    <col min="13320" max="13320" width="6.6640625" style="314" customWidth="1"/>
    <col min="13321" max="13321" width="9.33203125" style="314" customWidth="1"/>
    <col min="13322" max="13322" width="6.6640625" style="314" customWidth="1"/>
    <col min="13323" max="13323" width="3.33203125" style="314" customWidth="1"/>
    <col min="13324" max="13324" width="12.6640625" style="314" customWidth="1"/>
    <col min="13325" max="13325" width="14.88671875" style="314" customWidth="1"/>
    <col min="13326" max="13326" width="13.6640625" style="314" customWidth="1"/>
    <col min="13327" max="13568" width="9.109375" style="314"/>
    <col min="13569" max="13569" width="6.6640625" style="314" customWidth="1"/>
    <col min="13570" max="13570" width="9.33203125" style="314" customWidth="1"/>
    <col min="13571" max="13572" width="6.6640625" style="314" customWidth="1"/>
    <col min="13573" max="13573" width="12.6640625" style="314" customWidth="1"/>
    <col min="13574" max="13574" width="15.44140625" style="314" customWidth="1"/>
    <col min="13575" max="13575" width="13.6640625" style="314" customWidth="1"/>
    <col min="13576" max="13576" width="6.6640625" style="314" customWidth="1"/>
    <col min="13577" max="13577" width="9.33203125" style="314" customWidth="1"/>
    <col min="13578" max="13578" width="6.6640625" style="314" customWidth="1"/>
    <col min="13579" max="13579" width="3.33203125" style="314" customWidth="1"/>
    <col min="13580" max="13580" width="12.6640625" style="314" customWidth="1"/>
    <col min="13581" max="13581" width="14.88671875" style="314" customWidth="1"/>
    <col min="13582" max="13582" width="13.6640625" style="314" customWidth="1"/>
    <col min="13583" max="13824" width="9.109375" style="314"/>
    <col min="13825" max="13825" width="6.6640625" style="314" customWidth="1"/>
    <col min="13826" max="13826" width="9.33203125" style="314" customWidth="1"/>
    <col min="13827" max="13828" width="6.6640625" style="314" customWidth="1"/>
    <col min="13829" max="13829" width="12.6640625" style="314" customWidth="1"/>
    <col min="13830" max="13830" width="15.44140625" style="314" customWidth="1"/>
    <col min="13831" max="13831" width="13.6640625" style="314" customWidth="1"/>
    <col min="13832" max="13832" width="6.6640625" style="314" customWidth="1"/>
    <col min="13833" max="13833" width="9.33203125" style="314" customWidth="1"/>
    <col min="13834" max="13834" width="6.6640625" style="314" customWidth="1"/>
    <col min="13835" max="13835" width="3.33203125" style="314" customWidth="1"/>
    <col min="13836" max="13836" width="12.6640625" style="314" customWidth="1"/>
    <col min="13837" max="13837" width="14.88671875" style="314" customWidth="1"/>
    <col min="13838" max="13838" width="13.6640625" style="314" customWidth="1"/>
    <col min="13839" max="14080" width="9.109375" style="314"/>
    <col min="14081" max="14081" width="6.6640625" style="314" customWidth="1"/>
    <col min="14082" max="14082" width="9.33203125" style="314" customWidth="1"/>
    <col min="14083" max="14084" width="6.6640625" style="314" customWidth="1"/>
    <col min="14085" max="14085" width="12.6640625" style="314" customWidth="1"/>
    <col min="14086" max="14086" width="15.44140625" style="314" customWidth="1"/>
    <col min="14087" max="14087" width="13.6640625" style="314" customWidth="1"/>
    <col min="14088" max="14088" width="6.6640625" style="314" customWidth="1"/>
    <col min="14089" max="14089" width="9.33203125" style="314" customWidth="1"/>
    <col min="14090" max="14090" width="6.6640625" style="314" customWidth="1"/>
    <col min="14091" max="14091" width="3.33203125" style="314" customWidth="1"/>
    <col min="14092" max="14092" width="12.6640625" style="314" customWidth="1"/>
    <col min="14093" max="14093" width="14.88671875" style="314" customWidth="1"/>
    <col min="14094" max="14094" width="13.6640625" style="314" customWidth="1"/>
    <col min="14095" max="14336" width="9.109375" style="314"/>
    <col min="14337" max="14337" width="6.6640625" style="314" customWidth="1"/>
    <col min="14338" max="14338" width="9.33203125" style="314" customWidth="1"/>
    <col min="14339" max="14340" width="6.6640625" style="314" customWidth="1"/>
    <col min="14341" max="14341" width="12.6640625" style="314" customWidth="1"/>
    <col min="14342" max="14342" width="15.44140625" style="314" customWidth="1"/>
    <col min="14343" max="14343" width="13.6640625" style="314" customWidth="1"/>
    <col min="14344" max="14344" width="6.6640625" style="314" customWidth="1"/>
    <col min="14345" max="14345" width="9.33203125" style="314" customWidth="1"/>
    <col min="14346" max="14346" width="6.6640625" style="314" customWidth="1"/>
    <col min="14347" max="14347" width="3.33203125" style="314" customWidth="1"/>
    <col min="14348" max="14348" width="12.6640625" style="314" customWidth="1"/>
    <col min="14349" max="14349" width="14.88671875" style="314" customWidth="1"/>
    <col min="14350" max="14350" width="13.6640625" style="314" customWidth="1"/>
    <col min="14351" max="14592" width="9.109375" style="314"/>
    <col min="14593" max="14593" width="6.6640625" style="314" customWidth="1"/>
    <col min="14594" max="14594" width="9.33203125" style="314" customWidth="1"/>
    <col min="14595" max="14596" width="6.6640625" style="314" customWidth="1"/>
    <col min="14597" max="14597" width="12.6640625" style="314" customWidth="1"/>
    <col min="14598" max="14598" width="15.44140625" style="314" customWidth="1"/>
    <col min="14599" max="14599" width="13.6640625" style="314" customWidth="1"/>
    <col min="14600" max="14600" width="6.6640625" style="314" customWidth="1"/>
    <col min="14601" max="14601" width="9.33203125" style="314" customWidth="1"/>
    <col min="14602" max="14602" width="6.6640625" style="314" customWidth="1"/>
    <col min="14603" max="14603" width="3.33203125" style="314" customWidth="1"/>
    <col min="14604" max="14604" width="12.6640625" style="314" customWidth="1"/>
    <col min="14605" max="14605" width="14.88671875" style="314" customWidth="1"/>
    <col min="14606" max="14606" width="13.6640625" style="314" customWidth="1"/>
    <col min="14607" max="14848" width="9.109375" style="314"/>
    <col min="14849" max="14849" width="6.6640625" style="314" customWidth="1"/>
    <col min="14850" max="14850" width="9.33203125" style="314" customWidth="1"/>
    <col min="14851" max="14852" width="6.6640625" style="314" customWidth="1"/>
    <col min="14853" max="14853" width="12.6640625" style="314" customWidth="1"/>
    <col min="14854" max="14854" width="15.44140625" style="314" customWidth="1"/>
    <col min="14855" max="14855" width="13.6640625" style="314" customWidth="1"/>
    <col min="14856" max="14856" width="6.6640625" style="314" customWidth="1"/>
    <col min="14857" max="14857" width="9.33203125" style="314" customWidth="1"/>
    <col min="14858" max="14858" width="6.6640625" style="314" customWidth="1"/>
    <col min="14859" max="14859" width="3.33203125" style="314" customWidth="1"/>
    <col min="14860" max="14860" width="12.6640625" style="314" customWidth="1"/>
    <col min="14861" max="14861" width="14.88671875" style="314" customWidth="1"/>
    <col min="14862" max="14862" width="13.6640625" style="314" customWidth="1"/>
    <col min="14863" max="15104" width="9.109375" style="314"/>
    <col min="15105" max="15105" width="6.6640625" style="314" customWidth="1"/>
    <col min="15106" max="15106" width="9.33203125" style="314" customWidth="1"/>
    <col min="15107" max="15108" width="6.6640625" style="314" customWidth="1"/>
    <col min="15109" max="15109" width="12.6640625" style="314" customWidth="1"/>
    <col min="15110" max="15110" width="15.44140625" style="314" customWidth="1"/>
    <col min="15111" max="15111" width="13.6640625" style="314" customWidth="1"/>
    <col min="15112" max="15112" width="6.6640625" style="314" customWidth="1"/>
    <col min="15113" max="15113" width="9.33203125" style="314" customWidth="1"/>
    <col min="15114" max="15114" width="6.6640625" style="314" customWidth="1"/>
    <col min="15115" max="15115" width="3.33203125" style="314" customWidth="1"/>
    <col min="15116" max="15116" width="12.6640625" style="314" customWidth="1"/>
    <col min="15117" max="15117" width="14.88671875" style="314" customWidth="1"/>
    <col min="15118" max="15118" width="13.6640625" style="314" customWidth="1"/>
    <col min="15119" max="15360" width="9.109375" style="314"/>
    <col min="15361" max="15361" width="6.6640625" style="314" customWidth="1"/>
    <col min="15362" max="15362" width="9.33203125" style="314" customWidth="1"/>
    <col min="15363" max="15364" width="6.6640625" style="314" customWidth="1"/>
    <col min="15365" max="15365" width="12.6640625" style="314" customWidth="1"/>
    <col min="15366" max="15366" width="15.44140625" style="314" customWidth="1"/>
    <col min="15367" max="15367" width="13.6640625" style="314" customWidth="1"/>
    <col min="15368" max="15368" width="6.6640625" style="314" customWidth="1"/>
    <col min="15369" max="15369" width="9.33203125" style="314" customWidth="1"/>
    <col min="15370" max="15370" width="6.6640625" style="314" customWidth="1"/>
    <col min="15371" max="15371" width="3.33203125" style="314" customWidth="1"/>
    <col min="15372" max="15372" width="12.6640625" style="314" customWidth="1"/>
    <col min="15373" max="15373" width="14.88671875" style="314" customWidth="1"/>
    <col min="15374" max="15374" width="13.6640625" style="314" customWidth="1"/>
    <col min="15375" max="15616" width="9.109375" style="314"/>
    <col min="15617" max="15617" width="6.6640625" style="314" customWidth="1"/>
    <col min="15618" max="15618" width="9.33203125" style="314" customWidth="1"/>
    <col min="15619" max="15620" width="6.6640625" style="314" customWidth="1"/>
    <col min="15621" max="15621" width="12.6640625" style="314" customWidth="1"/>
    <col min="15622" max="15622" width="15.44140625" style="314" customWidth="1"/>
    <col min="15623" max="15623" width="13.6640625" style="314" customWidth="1"/>
    <col min="15624" max="15624" width="6.6640625" style="314" customWidth="1"/>
    <col min="15625" max="15625" width="9.33203125" style="314" customWidth="1"/>
    <col min="15626" max="15626" width="6.6640625" style="314" customWidth="1"/>
    <col min="15627" max="15627" width="3.33203125" style="314" customWidth="1"/>
    <col min="15628" max="15628" width="12.6640625" style="314" customWidth="1"/>
    <col min="15629" max="15629" width="14.88671875" style="314" customWidth="1"/>
    <col min="15630" max="15630" width="13.6640625" style="314" customWidth="1"/>
    <col min="15631" max="15872" width="9.109375" style="314"/>
    <col min="15873" max="15873" width="6.6640625" style="314" customWidth="1"/>
    <col min="15874" max="15874" width="9.33203125" style="314" customWidth="1"/>
    <col min="15875" max="15876" width="6.6640625" style="314" customWidth="1"/>
    <col min="15877" max="15877" width="12.6640625" style="314" customWidth="1"/>
    <col min="15878" max="15878" width="15.44140625" style="314" customWidth="1"/>
    <col min="15879" max="15879" width="13.6640625" style="314" customWidth="1"/>
    <col min="15880" max="15880" width="6.6640625" style="314" customWidth="1"/>
    <col min="15881" max="15881" width="9.33203125" style="314" customWidth="1"/>
    <col min="15882" max="15882" width="6.6640625" style="314" customWidth="1"/>
    <col min="15883" max="15883" width="3.33203125" style="314" customWidth="1"/>
    <col min="15884" max="15884" width="12.6640625" style="314" customWidth="1"/>
    <col min="15885" max="15885" width="14.88671875" style="314" customWidth="1"/>
    <col min="15886" max="15886" width="13.6640625" style="314" customWidth="1"/>
    <col min="15887" max="16128" width="9.109375" style="314"/>
    <col min="16129" max="16129" width="6.6640625" style="314" customWidth="1"/>
    <col min="16130" max="16130" width="9.33203125" style="314" customWidth="1"/>
    <col min="16131" max="16132" width="6.6640625" style="314" customWidth="1"/>
    <col min="16133" max="16133" width="12.6640625" style="314" customWidth="1"/>
    <col min="16134" max="16134" width="15.44140625" style="314" customWidth="1"/>
    <col min="16135" max="16135" width="13.6640625" style="314" customWidth="1"/>
    <col min="16136" max="16136" width="6.6640625" style="314" customWidth="1"/>
    <col min="16137" max="16137" width="9.33203125" style="314" customWidth="1"/>
    <col min="16138" max="16138" width="6.6640625" style="314" customWidth="1"/>
    <col min="16139" max="16139" width="3.33203125" style="314" customWidth="1"/>
    <col min="16140" max="16140" width="12.6640625" style="314" customWidth="1"/>
    <col min="16141" max="16141" width="14.88671875" style="314" customWidth="1"/>
    <col min="16142" max="16142" width="13.6640625" style="314" customWidth="1"/>
    <col min="16143" max="16384" width="9.109375" style="314"/>
  </cols>
  <sheetData>
    <row r="1" spans="1:21" ht="15.6">
      <c r="N1" s="523" t="s">
        <v>467</v>
      </c>
    </row>
    <row r="2" spans="1:21" ht="8.25" customHeight="1">
      <c r="N2" s="405"/>
    </row>
    <row r="3" spans="1:21" ht="15.75" customHeight="1">
      <c r="A3" s="400" t="str">
        <f>'Pg 8 Penalties'!A3</f>
        <v>NRA.N.007-040-2024/1F</v>
      </c>
      <c r="B3" s="401"/>
      <c r="C3" s="401"/>
      <c r="D3" s="468"/>
      <c r="E3" s="1385"/>
      <c r="F3" s="1385"/>
      <c r="G3" s="1438">
        <f>'F1  Cover'!L8</f>
        <v>45169</v>
      </c>
      <c r="H3" s="1438"/>
      <c r="I3" s="1455" t="s">
        <v>377</v>
      </c>
      <c r="J3" s="1455"/>
      <c r="K3" s="1455"/>
      <c r="L3" s="1455"/>
      <c r="M3" s="1387">
        <f>'F1  Cover'!K8</f>
        <v>1</v>
      </c>
      <c r="N3" s="1388"/>
    </row>
    <row r="4" spans="1:21" ht="15.75" customHeight="1" thickBot="1">
      <c r="A4" s="1527"/>
      <c r="B4" s="1527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89" t="s">
        <v>468</v>
      </c>
      <c r="B6" s="1390"/>
      <c r="C6" s="1390"/>
      <c r="D6" s="1390"/>
      <c r="E6" s="1390"/>
      <c r="F6" s="1390"/>
      <c r="G6" s="1390"/>
      <c r="H6" s="1390"/>
      <c r="I6" s="1390"/>
      <c r="J6" s="1390"/>
      <c r="K6" s="1390"/>
      <c r="L6" s="1390"/>
      <c r="M6" s="1390"/>
      <c r="N6" s="1391"/>
    </row>
    <row r="7" spans="1:21" ht="15.75" customHeight="1" thickBot="1">
      <c r="A7" s="526"/>
      <c r="N7" s="527"/>
    </row>
    <row r="8" spans="1:21" ht="15.75" customHeight="1">
      <c r="A8" s="439"/>
      <c r="B8" s="553" t="s">
        <v>469</v>
      </c>
      <c r="C8" s="554"/>
      <c r="D8" s="554"/>
      <c r="E8" s="440"/>
      <c r="F8" s="440"/>
      <c r="G8" s="525"/>
      <c r="H8" s="1534" t="s">
        <v>470</v>
      </c>
      <c r="I8" s="1534"/>
      <c r="J8" s="1535">
        <f>DATA!$K$1023-28</f>
        <v>45107</v>
      </c>
      <c r="K8" s="1535"/>
      <c r="L8" s="1535"/>
      <c r="M8" s="440"/>
      <c r="N8" s="525"/>
      <c r="R8" s="555"/>
      <c r="S8" s="397"/>
    </row>
    <row r="9" spans="1:21" ht="15.75" customHeight="1">
      <c r="A9" s="526"/>
      <c r="B9" s="556" t="s">
        <v>471</v>
      </c>
      <c r="C9" s="555"/>
      <c r="D9" s="555"/>
      <c r="F9" s="557" t="s">
        <v>472</v>
      </c>
      <c r="G9" s="527"/>
      <c r="H9" s="1527" t="s">
        <v>473</v>
      </c>
      <c r="I9" s="1527"/>
      <c r="J9" s="1536"/>
      <c r="K9" s="1536"/>
      <c r="L9" s="1536"/>
      <c r="M9" s="1536"/>
      <c r="N9" s="417"/>
      <c r="R9" s="555"/>
      <c r="S9" s="555"/>
      <c r="U9" s="397"/>
    </row>
    <row r="10" spans="1:21" ht="15.75" customHeight="1">
      <c r="A10" s="526"/>
      <c r="B10" s="556" t="s">
        <v>474</v>
      </c>
      <c r="C10" s="397"/>
      <c r="D10" s="397"/>
      <c r="F10" s="556" t="s">
        <v>475</v>
      </c>
      <c r="G10" s="527"/>
      <c r="H10" s="1537" t="s">
        <v>476</v>
      </c>
      <c r="I10" s="1537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538" t="s">
        <v>477</v>
      </c>
      <c r="I11" s="1538"/>
      <c r="J11" s="559">
        <v>1</v>
      </c>
      <c r="K11" s="559"/>
      <c r="L11" s="559"/>
      <c r="M11" s="448" t="s">
        <v>478</v>
      </c>
      <c r="N11" s="558"/>
      <c r="R11" s="555"/>
      <c r="S11" s="397"/>
      <c r="U11" s="555"/>
    </row>
    <row r="12" spans="1:21" ht="15.75" customHeight="1" thickBot="1">
      <c r="A12" s="560" t="s">
        <v>479</v>
      </c>
      <c r="B12" s="541" t="s">
        <v>480</v>
      </c>
      <c r="C12" s="561" t="s">
        <v>481</v>
      </c>
      <c r="D12" s="562"/>
      <c r="E12" s="541" t="s">
        <v>482</v>
      </c>
      <c r="F12" s="541" t="s">
        <v>483</v>
      </c>
      <c r="G12" s="542" t="s">
        <v>484</v>
      </c>
      <c r="H12" s="562" t="s">
        <v>479</v>
      </c>
      <c r="I12" s="541" t="s">
        <v>480</v>
      </c>
      <c r="J12" s="561" t="s">
        <v>481</v>
      </c>
      <c r="K12" s="562"/>
      <c r="L12" s="541" t="s">
        <v>482</v>
      </c>
      <c r="M12" s="541" t="s">
        <v>483</v>
      </c>
      <c r="N12" s="542" t="s">
        <v>484</v>
      </c>
    </row>
    <row r="13" spans="1:21" ht="12.75" customHeight="1">
      <c r="A13" s="563"/>
      <c r="B13" s="564"/>
      <c r="C13" s="856"/>
      <c r="D13" s="566"/>
      <c r="E13" s="567" t="s">
        <v>485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486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487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8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8" thickBot="1">
      <c r="A35" s="1528" t="s">
        <v>488</v>
      </c>
      <c r="B35" s="1529"/>
      <c r="C35" s="1529"/>
      <c r="D35" s="1529"/>
      <c r="E35" s="1530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298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487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8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8" thickBot="1">
      <c r="A53" s="1531" t="s">
        <v>489</v>
      </c>
      <c r="B53" s="1532"/>
      <c r="C53" s="1532"/>
      <c r="D53" s="1532"/>
      <c r="E53" s="1533"/>
      <c r="F53" s="586">
        <f>SUM(F37:F52)</f>
        <v>0</v>
      </c>
      <c r="G53" s="596">
        <f>IF(F53=0,0,SUM(G37:G52))</f>
        <v>0</v>
      </c>
      <c r="H53" s="1529" t="s">
        <v>490</v>
      </c>
      <c r="I53" s="1529"/>
      <c r="J53" s="1529"/>
      <c r="K53" s="1529"/>
      <c r="L53" s="1530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35:E35"/>
    <mergeCell ref="A53:E53"/>
    <mergeCell ref="H53:L53"/>
    <mergeCell ref="H8:I8"/>
    <mergeCell ref="J8:L8"/>
    <mergeCell ref="H9:I9"/>
    <mergeCell ref="J9:M9"/>
    <mergeCell ref="H10:I10"/>
    <mergeCell ref="H11:I11"/>
    <mergeCell ref="A6:N6"/>
    <mergeCell ref="E3:F3"/>
    <mergeCell ref="G3:H3"/>
    <mergeCell ref="I3:L3"/>
    <mergeCell ref="M3:N3"/>
    <mergeCell ref="A4:B4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3.2"/>
  <cols>
    <col min="1" max="1" width="14.109375" style="314" customWidth="1"/>
    <col min="2" max="2" width="9.109375" style="314"/>
    <col min="3" max="3" width="12" style="314" bestFit="1" customWidth="1"/>
    <col min="4" max="7" width="9.109375" style="314"/>
    <col min="8" max="8" width="17.33203125" style="314" customWidth="1"/>
    <col min="9" max="11" width="9.6640625" style="314" customWidth="1"/>
    <col min="12" max="12" width="18.44140625" style="314" customWidth="1"/>
    <col min="13" max="258" width="9.109375" style="314"/>
    <col min="259" max="259" width="12" style="314" bestFit="1" customWidth="1"/>
    <col min="260" max="263" width="9.109375" style="314"/>
    <col min="264" max="264" width="17.33203125" style="314" customWidth="1"/>
    <col min="265" max="267" width="9.6640625" style="314" customWidth="1"/>
    <col min="268" max="268" width="15" style="314" customWidth="1"/>
    <col min="269" max="514" width="9.109375" style="314"/>
    <col min="515" max="515" width="12" style="314" bestFit="1" customWidth="1"/>
    <col min="516" max="519" width="9.109375" style="314"/>
    <col min="520" max="520" width="17.33203125" style="314" customWidth="1"/>
    <col min="521" max="523" width="9.6640625" style="314" customWidth="1"/>
    <col min="524" max="524" width="15" style="314" customWidth="1"/>
    <col min="525" max="770" width="9.109375" style="314"/>
    <col min="771" max="771" width="12" style="314" bestFit="1" customWidth="1"/>
    <col min="772" max="775" width="9.109375" style="314"/>
    <col min="776" max="776" width="17.33203125" style="314" customWidth="1"/>
    <col min="777" max="779" width="9.6640625" style="314" customWidth="1"/>
    <col min="780" max="780" width="15" style="314" customWidth="1"/>
    <col min="781" max="1026" width="9.109375" style="314"/>
    <col min="1027" max="1027" width="12" style="314" bestFit="1" customWidth="1"/>
    <col min="1028" max="1031" width="9.109375" style="314"/>
    <col min="1032" max="1032" width="17.33203125" style="314" customWidth="1"/>
    <col min="1033" max="1035" width="9.6640625" style="314" customWidth="1"/>
    <col min="1036" max="1036" width="15" style="314" customWidth="1"/>
    <col min="1037" max="1282" width="9.109375" style="314"/>
    <col min="1283" max="1283" width="12" style="314" bestFit="1" customWidth="1"/>
    <col min="1284" max="1287" width="9.109375" style="314"/>
    <col min="1288" max="1288" width="17.33203125" style="314" customWidth="1"/>
    <col min="1289" max="1291" width="9.6640625" style="314" customWidth="1"/>
    <col min="1292" max="1292" width="15" style="314" customWidth="1"/>
    <col min="1293" max="1538" width="9.109375" style="314"/>
    <col min="1539" max="1539" width="12" style="314" bestFit="1" customWidth="1"/>
    <col min="1540" max="1543" width="9.109375" style="314"/>
    <col min="1544" max="1544" width="17.33203125" style="314" customWidth="1"/>
    <col min="1545" max="1547" width="9.6640625" style="314" customWidth="1"/>
    <col min="1548" max="1548" width="15" style="314" customWidth="1"/>
    <col min="1549" max="1794" width="9.109375" style="314"/>
    <col min="1795" max="1795" width="12" style="314" bestFit="1" customWidth="1"/>
    <col min="1796" max="1799" width="9.109375" style="314"/>
    <col min="1800" max="1800" width="17.33203125" style="314" customWidth="1"/>
    <col min="1801" max="1803" width="9.6640625" style="314" customWidth="1"/>
    <col min="1804" max="1804" width="15" style="314" customWidth="1"/>
    <col min="1805" max="2050" width="9.109375" style="314"/>
    <col min="2051" max="2051" width="12" style="314" bestFit="1" customWidth="1"/>
    <col min="2052" max="2055" width="9.109375" style="314"/>
    <col min="2056" max="2056" width="17.33203125" style="314" customWidth="1"/>
    <col min="2057" max="2059" width="9.6640625" style="314" customWidth="1"/>
    <col min="2060" max="2060" width="15" style="314" customWidth="1"/>
    <col min="2061" max="2306" width="9.109375" style="314"/>
    <col min="2307" max="2307" width="12" style="314" bestFit="1" customWidth="1"/>
    <col min="2308" max="2311" width="9.109375" style="314"/>
    <col min="2312" max="2312" width="17.33203125" style="314" customWidth="1"/>
    <col min="2313" max="2315" width="9.6640625" style="314" customWidth="1"/>
    <col min="2316" max="2316" width="15" style="314" customWidth="1"/>
    <col min="2317" max="2562" width="9.109375" style="314"/>
    <col min="2563" max="2563" width="12" style="314" bestFit="1" customWidth="1"/>
    <col min="2564" max="2567" width="9.109375" style="314"/>
    <col min="2568" max="2568" width="17.33203125" style="314" customWidth="1"/>
    <col min="2569" max="2571" width="9.6640625" style="314" customWidth="1"/>
    <col min="2572" max="2572" width="15" style="314" customWidth="1"/>
    <col min="2573" max="2818" width="9.109375" style="314"/>
    <col min="2819" max="2819" width="12" style="314" bestFit="1" customWidth="1"/>
    <col min="2820" max="2823" width="9.109375" style="314"/>
    <col min="2824" max="2824" width="17.33203125" style="314" customWidth="1"/>
    <col min="2825" max="2827" width="9.6640625" style="314" customWidth="1"/>
    <col min="2828" max="2828" width="15" style="314" customWidth="1"/>
    <col min="2829" max="3074" width="9.109375" style="314"/>
    <col min="3075" max="3075" width="12" style="314" bestFit="1" customWidth="1"/>
    <col min="3076" max="3079" width="9.109375" style="314"/>
    <col min="3080" max="3080" width="17.33203125" style="314" customWidth="1"/>
    <col min="3081" max="3083" width="9.6640625" style="314" customWidth="1"/>
    <col min="3084" max="3084" width="15" style="314" customWidth="1"/>
    <col min="3085" max="3330" width="9.109375" style="314"/>
    <col min="3331" max="3331" width="12" style="314" bestFit="1" customWidth="1"/>
    <col min="3332" max="3335" width="9.109375" style="314"/>
    <col min="3336" max="3336" width="17.33203125" style="314" customWidth="1"/>
    <col min="3337" max="3339" width="9.6640625" style="314" customWidth="1"/>
    <col min="3340" max="3340" width="15" style="314" customWidth="1"/>
    <col min="3341" max="3586" width="9.109375" style="314"/>
    <col min="3587" max="3587" width="12" style="314" bestFit="1" customWidth="1"/>
    <col min="3588" max="3591" width="9.109375" style="314"/>
    <col min="3592" max="3592" width="17.33203125" style="314" customWidth="1"/>
    <col min="3593" max="3595" width="9.6640625" style="314" customWidth="1"/>
    <col min="3596" max="3596" width="15" style="314" customWidth="1"/>
    <col min="3597" max="3842" width="9.109375" style="314"/>
    <col min="3843" max="3843" width="12" style="314" bestFit="1" customWidth="1"/>
    <col min="3844" max="3847" width="9.109375" style="314"/>
    <col min="3848" max="3848" width="17.33203125" style="314" customWidth="1"/>
    <col min="3849" max="3851" width="9.6640625" style="314" customWidth="1"/>
    <col min="3852" max="3852" width="15" style="314" customWidth="1"/>
    <col min="3853" max="4098" width="9.109375" style="314"/>
    <col min="4099" max="4099" width="12" style="314" bestFit="1" customWidth="1"/>
    <col min="4100" max="4103" width="9.109375" style="314"/>
    <col min="4104" max="4104" width="17.33203125" style="314" customWidth="1"/>
    <col min="4105" max="4107" width="9.6640625" style="314" customWidth="1"/>
    <col min="4108" max="4108" width="15" style="314" customWidth="1"/>
    <col min="4109" max="4354" width="9.109375" style="314"/>
    <col min="4355" max="4355" width="12" style="314" bestFit="1" customWidth="1"/>
    <col min="4356" max="4359" width="9.109375" style="314"/>
    <col min="4360" max="4360" width="17.33203125" style="314" customWidth="1"/>
    <col min="4361" max="4363" width="9.6640625" style="314" customWidth="1"/>
    <col min="4364" max="4364" width="15" style="314" customWidth="1"/>
    <col min="4365" max="4610" width="9.109375" style="314"/>
    <col min="4611" max="4611" width="12" style="314" bestFit="1" customWidth="1"/>
    <col min="4612" max="4615" width="9.109375" style="314"/>
    <col min="4616" max="4616" width="17.33203125" style="314" customWidth="1"/>
    <col min="4617" max="4619" width="9.6640625" style="314" customWidth="1"/>
    <col min="4620" max="4620" width="15" style="314" customWidth="1"/>
    <col min="4621" max="4866" width="9.109375" style="314"/>
    <col min="4867" max="4867" width="12" style="314" bestFit="1" customWidth="1"/>
    <col min="4868" max="4871" width="9.109375" style="314"/>
    <col min="4872" max="4872" width="17.33203125" style="314" customWidth="1"/>
    <col min="4873" max="4875" width="9.6640625" style="314" customWidth="1"/>
    <col min="4876" max="4876" width="15" style="314" customWidth="1"/>
    <col min="4877" max="5122" width="9.109375" style="314"/>
    <col min="5123" max="5123" width="12" style="314" bestFit="1" customWidth="1"/>
    <col min="5124" max="5127" width="9.109375" style="314"/>
    <col min="5128" max="5128" width="17.33203125" style="314" customWidth="1"/>
    <col min="5129" max="5131" width="9.6640625" style="314" customWidth="1"/>
    <col min="5132" max="5132" width="15" style="314" customWidth="1"/>
    <col min="5133" max="5378" width="9.109375" style="314"/>
    <col min="5379" max="5379" width="12" style="314" bestFit="1" customWidth="1"/>
    <col min="5380" max="5383" width="9.109375" style="314"/>
    <col min="5384" max="5384" width="17.33203125" style="314" customWidth="1"/>
    <col min="5385" max="5387" width="9.6640625" style="314" customWidth="1"/>
    <col min="5388" max="5388" width="15" style="314" customWidth="1"/>
    <col min="5389" max="5634" width="9.109375" style="314"/>
    <col min="5635" max="5635" width="12" style="314" bestFit="1" customWidth="1"/>
    <col min="5636" max="5639" width="9.109375" style="314"/>
    <col min="5640" max="5640" width="17.33203125" style="314" customWidth="1"/>
    <col min="5641" max="5643" width="9.6640625" style="314" customWidth="1"/>
    <col min="5644" max="5644" width="15" style="314" customWidth="1"/>
    <col min="5645" max="5890" width="9.109375" style="314"/>
    <col min="5891" max="5891" width="12" style="314" bestFit="1" customWidth="1"/>
    <col min="5892" max="5895" width="9.109375" style="314"/>
    <col min="5896" max="5896" width="17.33203125" style="314" customWidth="1"/>
    <col min="5897" max="5899" width="9.6640625" style="314" customWidth="1"/>
    <col min="5900" max="5900" width="15" style="314" customWidth="1"/>
    <col min="5901" max="6146" width="9.109375" style="314"/>
    <col min="6147" max="6147" width="12" style="314" bestFit="1" customWidth="1"/>
    <col min="6148" max="6151" width="9.109375" style="314"/>
    <col min="6152" max="6152" width="17.33203125" style="314" customWidth="1"/>
    <col min="6153" max="6155" width="9.6640625" style="314" customWidth="1"/>
    <col min="6156" max="6156" width="15" style="314" customWidth="1"/>
    <col min="6157" max="6402" width="9.109375" style="314"/>
    <col min="6403" max="6403" width="12" style="314" bestFit="1" customWidth="1"/>
    <col min="6404" max="6407" width="9.109375" style="314"/>
    <col min="6408" max="6408" width="17.33203125" style="314" customWidth="1"/>
    <col min="6409" max="6411" width="9.6640625" style="314" customWidth="1"/>
    <col min="6412" max="6412" width="15" style="314" customWidth="1"/>
    <col min="6413" max="6658" width="9.109375" style="314"/>
    <col min="6659" max="6659" width="12" style="314" bestFit="1" customWidth="1"/>
    <col min="6660" max="6663" width="9.109375" style="314"/>
    <col min="6664" max="6664" width="17.33203125" style="314" customWidth="1"/>
    <col min="6665" max="6667" width="9.6640625" style="314" customWidth="1"/>
    <col min="6668" max="6668" width="15" style="314" customWidth="1"/>
    <col min="6669" max="6914" width="9.109375" style="314"/>
    <col min="6915" max="6915" width="12" style="314" bestFit="1" customWidth="1"/>
    <col min="6916" max="6919" width="9.109375" style="314"/>
    <col min="6920" max="6920" width="17.33203125" style="314" customWidth="1"/>
    <col min="6921" max="6923" width="9.6640625" style="314" customWidth="1"/>
    <col min="6924" max="6924" width="15" style="314" customWidth="1"/>
    <col min="6925" max="7170" width="9.109375" style="314"/>
    <col min="7171" max="7171" width="12" style="314" bestFit="1" customWidth="1"/>
    <col min="7172" max="7175" width="9.109375" style="314"/>
    <col min="7176" max="7176" width="17.33203125" style="314" customWidth="1"/>
    <col min="7177" max="7179" width="9.6640625" style="314" customWidth="1"/>
    <col min="7180" max="7180" width="15" style="314" customWidth="1"/>
    <col min="7181" max="7426" width="9.109375" style="314"/>
    <col min="7427" max="7427" width="12" style="314" bestFit="1" customWidth="1"/>
    <col min="7428" max="7431" width="9.109375" style="314"/>
    <col min="7432" max="7432" width="17.33203125" style="314" customWidth="1"/>
    <col min="7433" max="7435" width="9.6640625" style="314" customWidth="1"/>
    <col min="7436" max="7436" width="15" style="314" customWidth="1"/>
    <col min="7437" max="7682" width="9.109375" style="314"/>
    <col min="7683" max="7683" width="12" style="314" bestFit="1" customWidth="1"/>
    <col min="7684" max="7687" width="9.109375" style="314"/>
    <col min="7688" max="7688" width="17.33203125" style="314" customWidth="1"/>
    <col min="7689" max="7691" width="9.6640625" style="314" customWidth="1"/>
    <col min="7692" max="7692" width="15" style="314" customWidth="1"/>
    <col min="7693" max="7938" width="9.109375" style="314"/>
    <col min="7939" max="7939" width="12" style="314" bestFit="1" customWidth="1"/>
    <col min="7940" max="7943" width="9.109375" style="314"/>
    <col min="7944" max="7944" width="17.33203125" style="314" customWidth="1"/>
    <col min="7945" max="7947" width="9.6640625" style="314" customWidth="1"/>
    <col min="7948" max="7948" width="15" style="314" customWidth="1"/>
    <col min="7949" max="8194" width="9.109375" style="314"/>
    <col min="8195" max="8195" width="12" style="314" bestFit="1" customWidth="1"/>
    <col min="8196" max="8199" width="9.109375" style="314"/>
    <col min="8200" max="8200" width="17.33203125" style="314" customWidth="1"/>
    <col min="8201" max="8203" width="9.6640625" style="314" customWidth="1"/>
    <col min="8204" max="8204" width="15" style="314" customWidth="1"/>
    <col min="8205" max="8450" width="9.109375" style="314"/>
    <col min="8451" max="8451" width="12" style="314" bestFit="1" customWidth="1"/>
    <col min="8452" max="8455" width="9.109375" style="314"/>
    <col min="8456" max="8456" width="17.33203125" style="314" customWidth="1"/>
    <col min="8457" max="8459" width="9.6640625" style="314" customWidth="1"/>
    <col min="8460" max="8460" width="15" style="314" customWidth="1"/>
    <col min="8461" max="8706" width="9.109375" style="314"/>
    <col min="8707" max="8707" width="12" style="314" bestFit="1" customWidth="1"/>
    <col min="8708" max="8711" width="9.109375" style="314"/>
    <col min="8712" max="8712" width="17.33203125" style="314" customWidth="1"/>
    <col min="8713" max="8715" width="9.6640625" style="314" customWidth="1"/>
    <col min="8716" max="8716" width="15" style="314" customWidth="1"/>
    <col min="8717" max="8962" width="9.109375" style="314"/>
    <col min="8963" max="8963" width="12" style="314" bestFit="1" customWidth="1"/>
    <col min="8964" max="8967" width="9.109375" style="314"/>
    <col min="8968" max="8968" width="17.33203125" style="314" customWidth="1"/>
    <col min="8969" max="8971" width="9.6640625" style="314" customWidth="1"/>
    <col min="8972" max="8972" width="15" style="314" customWidth="1"/>
    <col min="8973" max="9218" width="9.109375" style="314"/>
    <col min="9219" max="9219" width="12" style="314" bestFit="1" customWidth="1"/>
    <col min="9220" max="9223" width="9.109375" style="314"/>
    <col min="9224" max="9224" width="17.33203125" style="314" customWidth="1"/>
    <col min="9225" max="9227" width="9.6640625" style="314" customWidth="1"/>
    <col min="9228" max="9228" width="15" style="314" customWidth="1"/>
    <col min="9229" max="9474" width="9.109375" style="314"/>
    <col min="9475" max="9475" width="12" style="314" bestFit="1" customWidth="1"/>
    <col min="9476" max="9479" width="9.109375" style="314"/>
    <col min="9480" max="9480" width="17.33203125" style="314" customWidth="1"/>
    <col min="9481" max="9483" width="9.6640625" style="314" customWidth="1"/>
    <col min="9484" max="9484" width="15" style="314" customWidth="1"/>
    <col min="9485" max="9730" width="9.109375" style="314"/>
    <col min="9731" max="9731" width="12" style="314" bestFit="1" customWidth="1"/>
    <col min="9732" max="9735" width="9.109375" style="314"/>
    <col min="9736" max="9736" width="17.33203125" style="314" customWidth="1"/>
    <col min="9737" max="9739" width="9.6640625" style="314" customWidth="1"/>
    <col min="9740" max="9740" width="15" style="314" customWidth="1"/>
    <col min="9741" max="9986" width="9.109375" style="314"/>
    <col min="9987" max="9987" width="12" style="314" bestFit="1" customWidth="1"/>
    <col min="9988" max="9991" width="9.109375" style="314"/>
    <col min="9992" max="9992" width="17.33203125" style="314" customWidth="1"/>
    <col min="9993" max="9995" width="9.6640625" style="314" customWidth="1"/>
    <col min="9996" max="9996" width="15" style="314" customWidth="1"/>
    <col min="9997" max="10242" width="9.109375" style="314"/>
    <col min="10243" max="10243" width="12" style="314" bestFit="1" customWidth="1"/>
    <col min="10244" max="10247" width="9.109375" style="314"/>
    <col min="10248" max="10248" width="17.33203125" style="314" customWidth="1"/>
    <col min="10249" max="10251" width="9.6640625" style="314" customWidth="1"/>
    <col min="10252" max="10252" width="15" style="314" customWidth="1"/>
    <col min="10253" max="10498" width="9.109375" style="314"/>
    <col min="10499" max="10499" width="12" style="314" bestFit="1" customWidth="1"/>
    <col min="10500" max="10503" width="9.109375" style="314"/>
    <col min="10504" max="10504" width="17.33203125" style="314" customWidth="1"/>
    <col min="10505" max="10507" width="9.6640625" style="314" customWidth="1"/>
    <col min="10508" max="10508" width="15" style="314" customWidth="1"/>
    <col min="10509" max="10754" width="9.109375" style="314"/>
    <col min="10755" max="10755" width="12" style="314" bestFit="1" customWidth="1"/>
    <col min="10756" max="10759" width="9.109375" style="314"/>
    <col min="10760" max="10760" width="17.33203125" style="314" customWidth="1"/>
    <col min="10761" max="10763" width="9.6640625" style="314" customWidth="1"/>
    <col min="10764" max="10764" width="15" style="314" customWidth="1"/>
    <col min="10765" max="11010" width="9.109375" style="314"/>
    <col min="11011" max="11011" width="12" style="314" bestFit="1" customWidth="1"/>
    <col min="11012" max="11015" width="9.109375" style="314"/>
    <col min="11016" max="11016" width="17.33203125" style="314" customWidth="1"/>
    <col min="11017" max="11019" width="9.6640625" style="314" customWidth="1"/>
    <col min="11020" max="11020" width="15" style="314" customWidth="1"/>
    <col min="11021" max="11266" width="9.109375" style="314"/>
    <col min="11267" max="11267" width="12" style="314" bestFit="1" customWidth="1"/>
    <col min="11268" max="11271" width="9.109375" style="314"/>
    <col min="11272" max="11272" width="17.33203125" style="314" customWidth="1"/>
    <col min="11273" max="11275" width="9.6640625" style="314" customWidth="1"/>
    <col min="11276" max="11276" width="15" style="314" customWidth="1"/>
    <col min="11277" max="11522" width="9.109375" style="314"/>
    <col min="11523" max="11523" width="12" style="314" bestFit="1" customWidth="1"/>
    <col min="11524" max="11527" width="9.109375" style="314"/>
    <col min="11528" max="11528" width="17.33203125" style="314" customWidth="1"/>
    <col min="11529" max="11531" width="9.6640625" style="314" customWidth="1"/>
    <col min="11532" max="11532" width="15" style="314" customWidth="1"/>
    <col min="11533" max="11778" width="9.109375" style="314"/>
    <col min="11779" max="11779" width="12" style="314" bestFit="1" customWidth="1"/>
    <col min="11780" max="11783" width="9.109375" style="314"/>
    <col min="11784" max="11784" width="17.33203125" style="314" customWidth="1"/>
    <col min="11785" max="11787" width="9.6640625" style="314" customWidth="1"/>
    <col min="11788" max="11788" width="15" style="314" customWidth="1"/>
    <col min="11789" max="12034" width="9.109375" style="314"/>
    <col min="12035" max="12035" width="12" style="314" bestFit="1" customWidth="1"/>
    <col min="12036" max="12039" width="9.109375" style="314"/>
    <col min="12040" max="12040" width="17.33203125" style="314" customWidth="1"/>
    <col min="12041" max="12043" width="9.6640625" style="314" customWidth="1"/>
    <col min="12044" max="12044" width="15" style="314" customWidth="1"/>
    <col min="12045" max="12290" width="9.109375" style="314"/>
    <col min="12291" max="12291" width="12" style="314" bestFit="1" customWidth="1"/>
    <col min="12292" max="12295" width="9.109375" style="314"/>
    <col min="12296" max="12296" width="17.33203125" style="314" customWidth="1"/>
    <col min="12297" max="12299" width="9.6640625" style="314" customWidth="1"/>
    <col min="12300" max="12300" width="15" style="314" customWidth="1"/>
    <col min="12301" max="12546" width="9.109375" style="314"/>
    <col min="12547" max="12547" width="12" style="314" bestFit="1" customWidth="1"/>
    <col min="12548" max="12551" width="9.109375" style="314"/>
    <col min="12552" max="12552" width="17.33203125" style="314" customWidth="1"/>
    <col min="12553" max="12555" width="9.6640625" style="314" customWidth="1"/>
    <col min="12556" max="12556" width="15" style="314" customWidth="1"/>
    <col min="12557" max="12802" width="9.109375" style="314"/>
    <col min="12803" max="12803" width="12" style="314" bestFit="1" customWidth="1"/>
    <col min="12804" max="12807" width="9.109375" style="314"/>
    <col min="12808" max="12808" width="17.33203125" style="314" customWidth="1"/>
    <col min="12809" max="12811" width="9.6640625" style="314" customWidth="1"/>
    <col min="12812" max="12812" width="15" style="314" customWidth="1"/>
    <col min="12813" max="13058" width="9.109375" style="314"/>
    <col min="13059" max="13059" width="12" style="314" bestFit="1" customWidth="1"/>
    <col min="13060" max="13063" width="9.109375" style="314"/>
    <col min="13064" max="13064" width="17.33203125" style="314" customWidth="1"/>
    <col min="13065" max="13067" width="9.6640625" style="314" customWidth="1"/>
    <col min="13068" max="13068" width="15" style="314" customWidth="1"/>
    <col min="13069" max="13314" width="9.109375" style="314"/>
    <col min="13315" max="13315" width="12" style="314" bestFit="1" customWidth="1"/>
    <col min="13316" max="13319" width="9.109375" style="314"/>
    <col min="13320" max="13320" width="17.33203125" style="314" customWidth="1"/>
    <col min="13321" max="13323" width="9.6640625" style="314" customWidth="1"/>
    <col min="13324" max="13324" width="15" style="314" customWidth="1"/>
    <col min="13325" max="13570" width="9.109375" style="314"/>
    <col min="13571" max="13571" width="12" style="314" bestFit="1" customWidth="1"/>
    <col min="13572" max="13575" width="9.109375" style="314"/>
    <col min="13576" max="13576" width="17.33203125" style="314" customWidth="1"/>
    <col min="13577" max="13579" width="9.6640625" style="314" customWidth="1"/>
    <col min="13580" max="13580" width="15" style="314" customWidth="1"/>
    <col min="13581" max="13826" width="9.109375" style="314"/>
    <col min="13827" max="13827" width="12" style="314" bestFit="1" customWidth="1"/>
    <col min="13828" max="13831" width="9.109375" style="314"/>
    <col min="13832" max="13832" width="17.33203125" style="314" customWidth="1"/>
    <col min="13833" max="13835" width="9.6640625" style="314" customWidth="1"/>
    <col min="13836" max="13836" width="15" style="314" customWidth="1"/>
    <col min="13837" max="14082" width="9.109375" style="314"/>
    <col min="14083" max="14083" width="12" style="314" bestFit="1" customWidth="1"/>
    <col min="14084" max="14087" width="9.109375" style="314"/>
    <col min="14088" max="14088" width="17.33203125" style="314" customWidth="1"/>
    <col min="14089" max="14091" width="9.6640625" style="314" customWidth="1"/>
    <col min="14092" max="14092" width="15" style="314" customWidth="1"/>
    <col min="14093" max="14338" width="9.109375" style="314"/>
    <col min="14339" max="14339" width="12" style="314" bestFit="1" customWidth="1"/>
    <col min="14340" max="14343" width="9.109375" style="314"/>
    <col min="14344" max="14344" width="17.33203125" style="314" customWidth="1"/>
    <col min="14345" max="14347" width="9.6640625" style="314" customWidth="1"/>
    <col min="14348" max="14348" width="15" style="314" customWidth="1"/>
    <col min="14349" max="14594" width="9.109375" style="314"/>
    <col min="14595" max="14595" width="12" style="314" bestFit="1" customWidth="1"/>
    <col min="14596" max="14599" width="9.109375" style="314"/>
    <col min="14600" max="14600" width="17.33203125" style="314" customWidth="1"/>
    <col min="14601" max="14603" width="9.6640625" style="314" customWidth="1"/>
    <col min="14604" max="14604" width="15" style="314" customWidth="1"/>
    <col min="14605" max="14850" width="9.109375" style="314"/>
    <col min="14851" max="14851" width="12" style="314" bestFit="1" customWidth="1"/>
    <col min="14852" max="14855" width="9.109375" style="314"/>
    <col min="14856" max="14856" width="17.33203125" style="314" customWidth="1"/>
    <col min="14857" max="14859" width="9.6640625" style="314" customWidth="1"/>
    <col min="14860" max="14860" width="15" style="314" customWidth="1"/>
    <col min="14861" max="15106" width="9.109375" style="314"/>
    <col min="15107" max="15107" width="12" style="314" bestFit="1" customWidth="1"/>
    <col min="15108" max="15111" width="9.109375" style="314"/>
    <col min="15112" max="15112" width="17.33203125" style="314" customWidth="1"/>
    <col min="15113" max="15115" width="9.6640625" style="314" customWidth="1"/>
    <col min="15116" max="15116" width="15" style="314" customWidth="1"/>
    <col min="15117" max="15362" width="9.109375" style="314"/>
    <col min="15363" max="15363" width="12" style="314" bestFit="1" customWidth="1"/>
    <col min="15364" max="15367" width="9.109375" style="314"/>
    <col min="15368" max="15368" width="17.33203125" style="314" customWidth="1"/>
    <col min="15369" max="15371" width="9.6640625" style="314" customWidth="1"/>
    <col min="15372" max="15372" width="15" style="314" customWidth="1"/>
    <col min="15373" max="15618" width="9.109375" style="314"/>
    <col min="15619" max="15619" width="12" style="314" bestFit="1" customWidth="1"/>
    <col min="15620" max="15623" width="9.109375" style="314"/>
    <col min="15624" max="15624" width="17.33203125" style="314" customWidth="1"/>
    <col min="15625" max="15627" width="9.6640625" style="314" customWidth="1"/>
    <col min="15628" max="15628" width="15" style="314" customWidth="1"/>
    <col min="15629" max="15874" width="9.109375" style="314"/>
    <col min="15875" max="15875" width="12" style="314" bestFit="1" customWidth="1"/>
    <col min="15876" max="15879" width="9.109375" style="314"/>
    <col min="15880" max="15880" width="17.33203125" style="314" customWidth="1"/>
    <col min="15881" max="15883" width="9.6640625" style="314" customWidth="1"/>
    <col min="15884" max="15884" width="15" style="314" customWidth="1"/>
    <col min="15885" max="16130" width="9.109375" style="314"/>
    <col min="16131" max="16131" width="12" style="314" bestFit="1" customWidth="1"/>
    <col min="16132" max="16135" width="9.109375" style="314"/>
    <col min="16136" max="16136" width="17.33203125" style="314" customWidth="1"/>
    <col min="16137" max="16139" width="9.6640625" style="314" customWidth="1"/>
    <col min="16140" max="16140" width="15" style="314" customWidth="1"/>
    <col min="16141" max="16384" width="9.109375" style="314"/>
  </cols>
  <sheetData>
    <row r="1" spans="1:12" ht="15.6">
      <c r="L1" s="523" t="s">
        <v>549</v>
      </c>
    </row>
    <row r="2" spans="1:12" ht="8.25" customHeight="1">
      <c r="L2" s="399"/>
    </row>
    <row r="3" spans="1:12" ht="15.75" customHeight="1">
      <c r="A3" s="400" t="str">
        <f>'Pg 7 WAF No CPI'!A3</f>
        <v>NRA.N.007-040-2024/1F</v>
      </c>
      <c r="B3" s="401"/>
      <c r="C3" s="524"/>
      <c r="D3" s="403"/>
      <c r="E3" s="403"/>
      <c r="F3" s="1438">
        <f>'F1  Cover'!L8</f>
        <v>45169</v>
      </c>
      <c r="G3" s="1438"/>
      <c r="H3" s="1455" t="s">
        <v>377</v>
      </c>
      <c r="I3" s="1455"/>
      <c r="J3" s="1455"/>
      <c r="K3" s="1456">
        <f>'F1  Cover'!K8</f>
        <v>1</v>
      </c>
      <c r="L3" s="1487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436" t="s">
        <v>550</v>
      </c>
      <c r="B6" s="1252"/>
      <c r="C6" s="1252"/>
      <c r="D6" s="1252"/>
      <c r="E6" s="1252"/>
      <c r="F6" s="1252"/>
      <c r="J6" s="922" t="str">
        <f>"Original Cost of Works (Excl. " &amp; DATA!$C$1032*100 &amp; "% Vat) = "</f>
        <v xml:space="preserve">Original Cost of Works (Excl. 15% Vat) = </v>
      </c>
      <c r="K6" s="1539">
        <f>'F1 Forecast Contractor'!E16</f>
        <v>145000000</v>
      </c>
      <c r="L6" s="1540"/>
    </row>
    <row r="7" spans="1:12" ht="15.75" customHeight="1">
      <c r="A7" s="1436"/>
      <c r="B7" s="1252"/>
      <c r="C7" s="1252"/>
      <c r="D7" s="1252"/>
      <c r="E7" s="1252"/>
      <c r="F7" s="1252"/>
      <c r="G7" s="602"/>
      <c r="H7" s="602"/>
      <c r="I7" s="602"/>
      <c r="J7" s="922" t="str">
        <f>"Latest Est. Cost of Works (Excl. " &amp; DATA!$C$1032*100 &amp; "% Vat) ="</f>
        <v>Latest Est. Cost of Works (Excl. 15% Vat) =</v>
      </c>
      <c r="K7" s="1539">
        <f>'F1 Forecast Contractor'!B16/(1+DATA!$C$1032)</f>
        <v>145000000</v>
      </c>
      <c r="L7" s="1540"/>
    </row>
    <row r="8" spans="1:12" ht="15.75" customHeight="1" thickBot="1">
      <c r="A8" s="526"/>
      <c r="L8" s="527"/>
    </row>
    <row r="9" spans="1:12" ht="15.75" customHeight="1" thickBot="1">
      <c r="A9" s="1468" t="s">
        <v>0</v>
      </c>
      <c r="B9" s="1469"/>
      <c r="C9" s="1469"/>
      <c r="D9" s="1469"/>
      <c r="E9" s="1469"/>
      <c r="F9" s="1469"/>
      <c r="G9" s="1469"/>
      <c r="H9" s="1469"/>
      <c r="I9" s="1469"/>
      <c r="J9" s="1469"/>
      <c r="K9" s="1470"/>
      <c r="L9" s="529" t="s">
        <v>402</v>
      </c>
    </row>
    <row r="10" spans="1:12" ht="12.75" customHeight="1">
      <c r="A10" s="1544" t="s">
        <v>554</v>
      </c>
      <c r="B10" s="1545"/>
      <c r="C10" s="1545"/>
      <c r="D10" s="1545"/>
      <c r="E10" s="1545"/>
      <c r="F10" s="1545"/>
      <c r="G10" s="1545"/>
      <c r="H10" s="1545"/>
      <c r="I10" s="1545"/>
      <c r="J10" s="1545"/>
      <c r="K10" s="1546"/>
      <c r="L10" s="924">
        <f>K7</f>
        <v>145000000</v>
      </c>
    </row>
    <row r="11" spans="1:12" ht="12.75" customHeight="1">
      <c r="A11" s="1550"/>
      <c r="B11" s="1551"/>
      <c r="C11" s="1551"/>
      <c r="D11" s="1551"/>
      <c r="E11" s="1551"/>
      <c r="F11" s="1551"/>
      <c r="G11" s="1551"/>
      <c r="H11" s="1551"/>
      <c r="I11" s="1551"/>
      <c r="J11" s="1551"/>
      <c r="K11" s="1552"/>
      <c r="L11" s="547"/>
    </row>
    <row r="12" spans="1:12">
      <c r="A12" s="1547" t="s">
        <v>551</v>
      </c>
      <c r="B12" s="1548"/>
      <c r="C12" s="1548"/>
      <c r="D12" s="1548"/>
      <c r="E12" s="1548"/>
      <c r="F12" s="1548"/>
      <c r="G12" s="1548"/>
      <c r="H12" s="1548"/>
      <c r="I12" s="1548"/>
      <c r="J12" s="1548"/>
      <c r="K12" s="1549"/>
      <c r="L12" s="538"/>
    </row>
    <row r="13" spans="1:12" s="364" customFormat="1" ht="26.4">
      <c r="A13" s="691" t="s">
        <v>555</v>
      </c>
      <c r="B13" s="1553" t="s">
        <v>286</v>
      </c>
      <c r="C13" s="1554"/>
      <c r="D13" s="1554"/>
      <c r="E13" s="1554"/>
      <c r="F13" s="1554"/>
      <c r="G13" s="1554"/>
      <c r="H13" s="1554"/>
      <c r="I13" s="1554"/>
      <c r="J13" s="1554"/>
      <c r="K13" s="1555"/>
      <c r="L13" s="692"/>
    </row>
    <row r="14" spans="1:12">
      <c r="A14" s="687"/>
      <c r="B14" s="1541"/>
      <c r="C14" s="1542"/>
      <c r="D14" s="1542"/>
      <c r="E14" s="1542"/>
      <c r="F14" s="1542"/>
      <c r="G14" s="1542"/>
      <c r="H14" s="1542"/>
      <c r="I14" s="1542"/>
      <c r="J14" s="1542"/>
      <c r="K14" s="1543"/>
      <c r="L14" s="688"/>
    </row>
    <row r="15" spans="1:12">
      <c r="A15" s="687"/>
      <c r="B15" s="1541"/>
      <c r="C15" s="1542"/>
      <c r="D15" s="1542"/>
      <c r="E15" s="1542"/>
      <c r="F15" s="1542"/>
      <c r="G15" s="1542"/>
      <c r="H15" s="1542"/>
      <c r="I15" s="1542"/>
      <c r="J15" s="1542"/>
      <c r="K15" s="1543"/>
      <c r="L15" s="688"/>
    </row>
    <row r="16" spans="1:12">
      <c r="A16" s="687"/>
      <c r="B16" s="1541"/>
      <c r="C16" s="1542"/>
      <c r="D16" s="1542"/>
      <c r="E16" s="1542"/>
      <c r="F16" s="1542"/>
      <c r="G16" s="1542"/>
      <c r="H16" s="1542"/>
      <c r="I16" s="1542"/>
      <c r="J16" s="1542"/>
      <c r="K16" s="1543"/>
      <c r="L16" s="688"/>
    </row>
    <row r="17" spans="1:12">
      <c r="A17" s="687"/>
      <c r="B17" s="1541"/>
      <c r="C17" s="1542"/>
      <c r="D17" s="1542"/>
      <c r="E17" s="1542"/>
      <c r="F17" s="1542"/>
      <c r="G17" s="1542"/>
      <c r="H17" s="1542"/>
      <c r="I17" s="1542"/>
      <c r="J17" s="1542"/>
      <c r="K17" s="1543"/>
      <c r="L17" s="688"/>
    </row>
    <row r="18" spans="1:12">
      <c r="A18" s="687"/>
      <c r="B18" s="1541"/>
      <c r="C18" s="1542"/>
      <c r="D18" s="1542"/>
      <c r="E18" s="1542"/>
      <c r="F18" s="1542"/>
      <c r="G18" s="1542"/>
      <c r="H18" s="1542"/>
      <c r="I18" s="1542"/>
      <c r="J18" s="1542"/>
      <c r="K18" s="1543"/>
      <c r="L18" s="688"/>
    </row>
    <row r="19" spans="1:12">
      <c r="A19" s="687"/>
      <c r="B19" s="1541"/>
      <c r="C19" s="1542"/>
      <c r="D19" s="1542"/>
      <c r="E19" s="1542"/>
      <c r="F19" s="1542"/>
      <c r="G19" s="1542"/>
      <c r="H19" s="1542"/>
      <c r="I19" s="1542" t="s">
        <v>462</v>
      </c>
      <c r="J19" s="1542"/>
      <c r="K19" s="1543"/>
      <c r="L19" s="688"/>
    </row>
    <row r="20" spans="1:12">
      <c r="A20" s="687"/>
      <c r="B20" s="1541"/>
      <c r="C20" s="1542"/>
      <c r="D20" s="1542"/>
      <c r="E20" s="1542"/>
      <c r="F20" s="1542"/>
      <c r="G20" s="1542"/>
      <c r="H20" s="1542"/>
      <c r="I20" s="1542"/>
      <c r="J20" s="1542"/>
      <c r="K20" s="1543"/>
      <c r="L20" s="688"/>
    </row>
    <row r="21" spans="1:12" ht="15" customHeight="1">
      <c r="A21" s="687"/>
      <c r="B21" s="1541"/>
      <c r="C21" s="1542"/>
      <c r="D21" s="1542"/>
      <c r="E21" s="1542"/>
      <c r="F21" s="1542"/>
      <c r="G21" s="1542"/>
      <c r="H21" s="1542"/>
      <c r="I21" s="1542"/>
      <c r="J21" s="1542"/>
      <c r="K21" s="1543"/>
      <c r="L21" s="688"/>
    </row>
    <row r="22" spans="1:12" ht="15" customHeight="1">
      <c r="A22" s="687"/>
      <c r="B22" s="1541"/>
      <c r="C22" s="1542"/>
      <c r="D22" s="1542"/>
      <c r="E22" s="1542"/>
      <c r="F22" s="1542"/>
      <c r="G22" s="1542"/>
      <c r="H22" s="1542"/>
      <c r="I22" s="1542"/>
      <c r="J22" s="1542"/>
      <c r="K22" s="1543"/>
      <c r="L22" s="688"/>
    </row>
    <row r="23" spans="1:12" ht="15" customHeight="1">
      <c r="A23" s="687"/>
      <c r="B23" s="1541"/>
      <c r="C23" s="1542"/>
      <c r="D23" s="1542"/>
      <c r="E23" s="1542"/>
      <c r="F23" s="1542"/>
      <c r="G23" s="1542"/>
      <c r="H23" s="1542"/>
      <c r="I23" s="1542"/>
      <c r="J23" s="1542"/>
      <c r="K23" s="1543"/>
      <c r="L23" s="688"/>
    </row>
    <row r="24" spans="1:12" ht="15" customHeight="1">
      <c r="A24" s="687"/>
      <c r="B24" s="1541"/>
      <c r="C24" s="1542"/>
      <c r="D24" s="1542"/>
      <c r="E24" s="1542"/>
      <c r="F24" s="1542"/>
      <c r="G24" s="1542"/>
      <c r="H24" s="1542"/>
      <c r="I24" s="1542"/>
      <c r="J24" s="1542"/>
      <c r="K24" s="1543"/>
      <c r="L24" s="688"/>
    </row>
    <row r="25" spans="1:12" ht="15" customHeight="1">
      <c r="A25" s="687"/>
      <c r="B25" s="1541"/>
      <c r="C25" s="1542"/>
      <c r="D25" s="1542"/>
      <c r="E25" s="1542"/>
      <c r="F25" s="1542"/>
      <c r="G25" s="1542"/>
      <c r="H25" s="1542"/>
      <c r="I25" s="1542"/>
      <c r="J25" s="1542"/>
      <c r="K25" s="1543"/>
      <c r="L25" s="688"/>
    </row>
    <row r="26" spans="1:12" ht="15" customHeight="1">
      <c r="A26" s="687"/>
      <c r="B26" s="1541"/>
      <c r="C26" s="1542"/>
      <c r="D26" s="1542"/>
      <c r="E26" s="1542"/>
      <c r="F26" s="1542"/>
      <c r="G26" s="1542"/>
      <c r="H26" s="1542"/>
      <c r="I26" s="1542"/>
      <c r="J26" s="1542"/>
      <c r="K26" s="1543"/>
      <c r="L26" s="688"/>
    </row>
    <row r="27" spans="1:12" ht="15" customHeight="1">
      <c r="A27" s="687"/>
      <c r="B27" s="1541"/>
      <c r="C27" s="1542"/>
      <c r="D27" s="1542"/>
      <c r="E27" s="1542"/>
      <c r="F27" s="1542"/>
      <c r="G27" s="1542"/>
      <c r="H27" s="1542"/>
      <c r="I27" s="1542"/>
      <c r="J27" s="1542"/>
      <c r="K27" s="1543"/>
      <c r="L27" s="688"/>
    </row>
    <row r="28" spans="1:12" ht="15" customHeight="1">
      <c r="A28" s="687"/>
      <c r="B28" s="1541"/>
      <c r="C28" s="1542"/>
      <c r="D28" s="1542"/>
      <c r="E28" s="1542"/>
      <c r="F28" s="1542"/>
      <c r="G28" s="1542"/>
      <c r="H28" s="1542"/>
      <c r="I28" s="1542"/>
      <c r="J28" s="1542"/>
      <c r="K28" s="1543"/>
      <c r="L28" s="688"/>
    </row>
    <row r="29" spans="1:12" ht="15" customHeight="1">
      <c r="A29" s="687"/>
      <c r="B29" s="1541"/>
      <c r="C29" s="1542"/>
      <c r="D29" s="1542"/>
      <c r="E29" s="1542"/>
      <c r="F29" s="1542"/>
      <c r="G29" s="1542"/>
      <c r="H29" s="1542"/>
      <c r="I29" s="1542"/>
      <c r="J29" s="1542"/>
      <c r="K29" s="1543"/>
      <c r="L29" s="688"/>
    </row>
    <row r="30" spans="1:12" ht="15" customHeight="1">
      <c r="A30" s="689"/>
      <c r="B30" s="1556"/>
      <c r="C30" s="1557"/>
      <c r="D30" s="1557"/>
      <c r="E30" s="1557"/>
      <c r="F30" s="1557"/>
      <c r="G30" s="1557"/>
      <c r="H30" s="1557"/>
      <c r="I30" s="1557"/>
      <c r="J30" s="1557"/>
      <c r="K30" s="1558"/>
      <c r="L30" s="690"/>
    </row>
    <row r="31" spans="1:12" ht="21" customHeight="1" thickBot="1">
      <c r="A31" s="1559" t="s">
        <v>552</v>
      </c>
      <c r="B31" s="1401"/>
      <c r="C31" s="1401"/>
      <c r="D31" s="1401"/>
      <c r="E31" s="1401"/>
      <c r="F31" s="1401"/>
      <c r="G31" s="1401"/>
      <c r="H31" s="1401"/>
      <c r="I31" s="1401"/>
      <c r="J31" s="1401"/>
      <c r="K31" s="1487"/>
      <c r="L31" s="686">
        <f>SUM(L14:L30)</f>
        <v>0</v>
      </c>
    </row>
    <row r="32" spans="1:12" ht="21" customHeight="1" thickBot="1">
      <c r="A32" s="1458" t="s">
        <v>553</v>
      </c>
      <c r="B32" s="1459"/>
      <c r="C32" s="1459"/>
      <c r="D32" s="1459"/>
      <c r="E32" s="1459"/>
      <c r="F32" s="1459"/>
      <c r="G32" s="1459"/>
      <c r="H32" s="1459"/>
      <c r="I32" s="1459"/>
      <c r="J32" s="1459"/>
      <c r="K32" s="1472"/>
      <c r="L32" s="923">
        <f>L10-L31</f>
        <v>145000000</v>
      </c>
    </row>
  </sheetData>
  <mergeCells count="30"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activeCell="D15" sqref="D15"/>
    </sheetView>
  </sheetViews>
  <sheetFormatPr defaultRowHeight="13.2"/>
  <cols>
    <col min="1" max="1" width="9.109375" style="314"/>
    <col min="2" max="2" width="36.88671875" style="314" customWidth="1"/>
    <col min="3" max="3" width="15.109375" style="314" customWidth="1"/>
    <col min="4" max="8" width="11.6640625" style="314" customWidth="1"/>
    <col min="9" max="9" width="10.6640625" style="314" bestFit="1" customWidth="1"/>
    <col min="10" max="10" width="19.109375" style="314" bestFit="1" customWidth="1"/>
    <col min="11" max="11" width="17.5546875" style="314" bestFit="1" customWidth="1"/>
    <col min="12" max="12" width="15" style="314" customWidth="1"/>
    <col min="13" max="13" width="16.44140625" style="314" bestFit="1" customWidth="1"/>
    <col min="14" max="14" width="18" style="314" customWidth="1"/>
    <col min="15" max="257" width="9.109375" style="314"/>
    <col min="258" max="258" width="36.88671875" style="314" customWidth="1"/>
    <col min="259" max="259" width="9.109375" style="314"/>
    <col min="260" max="260" width="10.109375" style="314" bestFit="1" customWidth="1"/>
    <col min="261" max="261" width="10.6640625" style="314" bestFit="1" customWidth="1"/>
    <col min="262" max="262" width="11.44140625" style="314" bestFit="1" customWidth="1"/>
    <col min="263" max="263" width="12.6640625" style="314" bestFit="1" customWidth="1"/>
    <col min="264" max="264" width="12.44140625" style="314" bestFit="1" customWidth="1"/>
    <col min="265" max="265" width="10.6640625" style="314" bestFit="1" customWidth="1"/>
    <col min="266" max="266" width="19.109375" style="314" bestFit="1" customWidth="1"/>
    <col min="267" max="267" width="17.5546875" style="314" bestFit="1" customWidth="1"/>
    <col min="268" max="268" width="15" style="314" customWidth="1"/>
    <col min="269" max="269" width="16.44140625" style="314" bestFit="1" customWidth="1"/>
    <col min="270" max="270" width="18" style="314" customWidth="1"/>
    <col min="271" max="513" width="9.109375" style="314"/>
    <col min="514" max="514" width="36.88671875" style="314" customWidth="1"/>
    <col min="515" max="515" width="9.109375" style="314"/>
    <col min="516" max="516" width="10.109375" style="314" bestFit="1" customWidth="1"/>
    <col min="517" max="517" width="10.6640625" style="314" bestFit="1" customWidth="1"/>
    <col min="518" max="518" width="11.44140625" style="314" bestFit="1" customWidth="1"/>
    <col min="519" max="519" width="12.6640625" style="314" bestFit="1" customWidth="1"/>
    <col min="520" max="520" width="12.44140625" style="314" bestFit="1" customWidth="1"/>
    <col min="521" max="521" width="10.6640625" style="314" bestFit="1" customWidth="1"/>
    <col min="522" max="522" width="19.109375" style="314" bestFit="1" customWidth="1"/>
    <col min="523" max="523" width="17.5546875" style="314" bestFit="1" customWidth="1"/>
    <col min="524" max="524" width="15" style="314" customWidth="1"/>
    <col min="525" max="525" width="16.44140625" style="314" bestFit="1" customWidth="1"/>
    <col min="526" max="526" width="18" style="314" customWidth="1"/>
    <col min="527" max="769" width="9.109375" style="314"/>
    <col min="770" max="770" width="36.88671875" style="314" customWidth="1"/>
    <col min="771" max="771" width="9.109375" style="314"/>
    <col min="772" max="772" width="10.109375" style="314" bestFit="1" customWidth="1"/>
    <col min="773" max="773" width="10.6640625" style="314" bestFit="1" customWidth="1"/>
    <col min="774" max="774" width="11.44140625" style="314" bestFit="1" customWidth="1"/>
    <col min="775" max="775" width="12.6640625" style="314" bestFit="1" customWidth="1"/>
    <col min="776" max="776" width="12.44140625" style="314" bestFit="1" customWidth="1"/>
    <col min="777" max="777" width="10.6640625" style="314" bestFit="1" customWidth="1"/>
    <col min="778" max="778" width="19.109375" style="314" bestFit="1" customWidth="1"/>
    <col min="779" max="779" width="17.5546875" style="314" bestFit="1" customWidth="1"/>
    <col min="780" max="780" width="15" style="314" customWidth="1"/>
    <col min="781" max="781" width="16.44140625" style="314" bestFit="1" customWidth="1"/>
    <col min="782" max="782" width="18" style="314" customWidth="1"/>
    <col min="783" max="1025" width="9.109375" style="314"/>
    <col min="1026" max="1026" width="36.88671875" style="314" customWidth="1"/>
    <col min="1027" max="1027" width="9.109375" style="314"/>
    <col min="1028" max="1028" width="10.109375" style="314" bestFit="1" customWidth="1"/>
    <col min="1029" max="1029" width="10.6640625" style="314" bestFit="1" customWidth="1"/>
    <col min="1030" max="1030" width="11.44140625" style="314" bestFit="1" customWidth="1"/>
    <col min="1031" max="1031" width="12.6640625" style="314" bestFit="1" customWidth="1"/>
    <col min="1032" max="1032" width="12.44140625" style="314" bestFit="1" customWidth="1"/>
    <col min="1033" max="1033" width="10.6640625" style="314" bestFit="1" customWidth="1"/>
    <col min="1034" max="1034" width="19.109375" style="314" bestFit="1" customWidth="1"/>
    <col min="1035" max="1035" width="17.5546875" style="314" bestFit="1" customWidth="1"/>
    <col min="1036" max="1036" width="15" style="314" customWidth="1"/>
    <col min="1037" max="1037" width="16.44140625" style="314" bestFit="1" customWidth="1"/>
    <col min="1038" max="1038" width="18" style="314" customWidth="1"/>
    <col min="1039" max="1281" width="9.109375" style="314"/>
    <col min="1282" max="1282" width="36.88671875" style="314" customWidth="1"/>
    <col min="1283" max="1283" width="9.109375" style="314"/>
    <col min="1284" max="1284" width="10.109375" style="314" bestFit="1" customWidth="1"/>
    <col min="1285" max="1285" width="10.6640625" style="314" bestFit="1" customWidth="1"/>
    <col min="1286" max="1286" width="11.44140625" style="314" bestFit="1" customWidth="1"/>
    <col min="1287" max="1287" width="12.6640625" style="314" bestFit="1" customWidth="1"/>
    <col min="1288" max="1288" width="12.44140625" style="314" bestFit="1" customWidth="1"/>
    <col min="1289" max="1289" width="10.6640625" style="314" bestFit="1" customWidth="1"/>
    <col min="1290" max="1290" width="19.109375" style="314" bestFit="1" customWidth="1"/>
    <col min="1291" max="1291" width="17.5546875" style="314" bestFit="1" customWidth="1"/>
    <col min="1292" max="1292" width="15" style="314" customWidth="1"/>
    <col min="1293" max="1293" width="16.44140625" style="314" bestFit="1" customWidth="1"/>
    <col min="1294" max="1294" width="18" style="314" customWidth="1"/>
    <col min="1295" max="1537" width="9.109375" style="314"/>
    <col min="1538" max="1538" width="36.88671875" style="314" customWidth="1"/>
    <col min="1539" max="1539" width="9.109375" style="314"/>
    <col min="1540" max="1540" width="10.109375" style="314" bestFit="1" customWidth="1"/>
    <col min="1541" max="1541" width="10.6640625" style="314" bestFit="1" customWidth="1"/>
    <col min="1542" max="1542" width="11.44140625" style="314" bestFit="1" customWidth="1"/>
    <col min="1543" max="1543" width="12.6640625" style="314" bestFit="1" customWidth="1"/>
    <col min="1544" max="1544" width="12.44140625" style="314" bestFit="1" customWidth="1"/>
    <col min="1545" max="1545" width="10.6640625" style="314" bestFit="1" customWidth="1"/>
    <col min="1546" max="1546" width="19.109375" style="314" bestFit="1" customWidth="1"/>
    <col min="1547" max="1547" width="17.5546875" style="314" bestFit="1" customWidth="1"/>
    <col min="1548" max="1548" width="15" style="314" customWidth="1"/>
    <col min="1549" max="1549" width="16.44140625" style="314" bestFit="1" customWidth="1"/>
    <col min="1550" max="1550" width="18" style="314" customWidth="1"/>
    <col min="1551" max="1793" width="9.109375" style="314"/>
    <col min="1794" max="1794" width="36.88671875" style="314" customWidth="1"/>
    <col min="1795" max="1795" width="9.109375" style="314"/>
    <col min="1796" max="1796" width="10.109375" style="314" bestFit="1" customWidth="1"/>
    <col min="1797" max="1797" width="10.6640625" style="314" bestFit="1" customWidth="1"/>
    <col min="1798" max="1798" width="11.44140625" style="314" bestFit="1" customWidth="1"/>
    <col min="1799" max="1799" width="12.6640625" style="314" bestFit="1" customWidth="1"/>
    <col min="1800" max="1800" width="12.44140625" style="314" bestFit="1" customWidth="1"/>
    <col min="1801" max="1801" width="10.6640625" style="314" bestFit="1" customWidth="1"/>
    <col min="1802" max="1802" width="19.109375" style="314" bestFit="1" customWidth="1"/>
    <col min="1803" max="1803" width="17.5546875" style="314" bestFit="1" customWidth="1"/>
    <col min="1804" max="1804" width="15" style="314" customWidth="1"/>
    <col min="1805" max="1805" width="16.44140625" style="314" bestFit="1" customWidth="1"/>
    <col min="1806" max="1806" width="18" style="314" customWidth="1"/>
    <col min="1807" max="2049" width="9.109375" style="314"/>
    <col min="2050" max="2050" width="36.88671875" style="314" customWidth="1"/>
    <col min="2051" max="2051" width="9.109375" style="314"/>
    <col min="2052" max="2052" width="10.109375" style="314" bestFit="1" customWidth="1"/>
    <col min="2053" max="2053" width="10.6640625" style="314" bestFit="1" customWidth="1"/>
    <col min="2054" max="2054" width="11.44140625" style="314" bestFit="1" customWidth="1"/>
    <col min="2055" max="2055" width="12.6640625" style="314" bestFit="1" customWidth="1"/>
    <col min="2056" max="2056" width="12.44140625" style="314" bestFit="1" customWidth="1"/>
    <col min="2057" max="2057" width="10.6640625" style="314" bestFit="1" customWidth="1"/>
    <col min="2058" max="2058" width="19.109375" style="314" bestFit="1" customWidth="1"/>
    <col min="2059" max="2059" width="17.5546875" style="314" bestFit="1" customWidth="1"/>
    <col min="2060" max="2060" width="15" style="314" customWidth="1"/>
    <col min="2061" max="2061" width="16.44140625" style="314" bestFit="1" customWidth="1"/>
    <col min="2062" max="2062" width="18" style="314" customWidth="1"/>
    <col min="2063" max="2305" width="9.109375" style="314"/>
    <col min="2306" max="2306" width="36.88671875" style="314" customWidth="1"/>
    <col min="2307" max="2307" width="9.109375" style="314"/>
    <col min="2308" max="2308" width="10.109375" style="314" bestFit="1" customWidth="1"/>
    <col min="2309" max="2309" width="10.6640625" style="314" bestFit="1" customWidth="1"/>
    <col min="2310" max="2310" width="11.44140625" style="314" bestFit="1" customWidth="1"/>
    <col min="2311" max="2311" width="12.6640625" style="314" bestFit="1" customWidth="1"/>
    <col min="2312" max="2312" width="12.44140625" style="314" bestFit="1" customWidth="1"/>
    <col min="2313" max="2313" width="10.6640625" style="314" bestFit="1" customWidth="1"/>
    <col min="2314" max="2314" width="19.109375" style="314" bestFit="1" customWidth="1"/>
    <col min="2315" max="2315" width="17.5546875" style="314" bestFit="1" customWidth="1"/>
    <col min="2316" max="2316" width="15" style="314" customWidth="1"/>
    <col min="2317" max="2317" width="16.44140625" style="314" bestFit="1" customWidth="1"/>
    <col min="2318" max="2318" width="18" style="314" customWidth="1"/>
    <col min="2319" max="2561" width="9.109375" style="314"/>
    <col min="2562" max="2562" width="36.88671875" style="314" customWidth="1"/>
    <col min="2563" max="2563" width="9.109375" style="314"/>
    <col min="2564" max="2564" width="10.109375" style="314" bestFit="1" customWidth="1"/>
    <col min="2565" max="2565" width="10.6640625" style="314" bestFit="1" customWidth="1"/>
    <col min="2566" max="2566" width="11.44140625" style="314" bestFit="1" customWidth="1"/>
    <col min="2567" max="2567" width="12.6640625" style="314" bestFit="1" customWidth="1"/>
    <col min="2568" max="2568" width="12.44140625" style="314" bestFit="1" customWidth="1"/>
    <col min="2569" max="2569" width="10.6640625" style="314" bestFit="1" customWidth="1"/>
    <col min="2570" max="2570" width="19.109375" style="314" bestFit="1" customWidth="1"/>
    <col min="2571" max="2571" width="17.5546875" style="314" bestFit="1" customWidth="1"/>
    <col min="2572" max="2572" width="15" style="314" customWidth="1"/>
    <col min="2573" max="2573" width="16.44140625" style="314" bestFit="1" customWidth="1"/>
    <col min="2574" max="2574" width="18" style="314" customWidth="1"/>
    <col min="2575" max="2817" width="9.109375" style="314"/>
    <col min="2818" max="2818" width="36.88671875" style="314" customWidth="1"/>
    <col min="2819" max="2819" width="9.109375" style="314"/>
    <col min="2820" max="2820" width="10.109375" style="314" bestFit="1" customWidth="1"/>
    <col min="2821" max="2821" width="10.6640625" style="314" bestFit="1" customWidth="1"/>
    <col min="2822" max="2822" width="11.44140625" style="314" bestFit="1" customWidth="1"/>
    <col min="2823" max="2823" width="12.6640625" style="314" bestFit="1" customWidth="1"/>
    <col min="2824" max="2824" width="12.44140625" style="314" bestFit="1" customWidth="1"/>
    <col min="2825" max="2825" width="10.6640625" style="314" bestFit="1" customWidth="1"/>
    <col min="2826" max="2826" width="19.109375" style="314" bestFit="1" customWidth="1"/>
    <col min="2827" max="2827" width="17.5546875" style="314" bestFit="1" customWidth="1"/>
    <col min="2828" max="2828" width="15" style="314" customWidth="1"/>
    <col min="2829" max="2829" width="16.44140625" style="314" bestFit="1" customWidth="1"/>
    <col min="2830" max="2830" width="18" style="314" customWidth="1"/>
    <col min="2831" max="3073" width="9.109375" style="314"/>
    <col min="3074" max="3074" width="36.88671875" style="314" customWidth="1"/>
    <col min="3075" max="3075" width="9.109375" style="314"/>
    <col min="3076" max="3076" width="10.109375" style="314" bestFit="1" customWidth="1"/>
    <col min="3077" max="3077" width="10.6640625" style="314" bestFit="1" customWidth="1"/>
    <col min="3078" max="3078" width="11.44140625" style="314" bestFit="1" customWidth="1"/>
    <col min="3079" max="3079" width="12.6640625" style="314" bestFit="1" customWidth="1"/>
    <col min="3080" max="3080" width="12.44140625" style="314" bestFit="1" customWidth="1"/>
    <col min="3081" max="3081" width="10.6640625" style="314" bestFit="1" customWidth="1"/>
    <col min="3082" max="3082" width="19.109375" style="314" bestFit="1" customWidth="1"/>
    <col min="3083" max="3083" width="17.5546875" style="314" bestFit="1" customWidth="1"/>
    <col min="3084" max="3084" width="15" style="314" customWidth="1"/>
    <col min="3085" max="3085" width="16.44140625" style="314" bestFit="1" customWidth="1"/>
    <col min="3086" max="3086" width="18" style="314" customWidth="1"/>
    <col min="3087" max="3329" width="9.109375" style="314"/>
    <col min="3330" max="3330" width="36.88671875" style="314" customWidth="1"/>
    <col min="3331" max="3331" width="9.109375" style="314"/>
    <col min="3332" max="3332" width="10.109375" style="314" bestFit="1" customWidth="1"/>
    <col min="3333" max="3333" width="10.6640625" style="314" bestFit="1" customWidth="1"/>
    <col min="3334" max="3334" width="11.44140625" style="314" bestFit="1" customWidth="1"/>
    <col min="3335" max="3335" width="12.6640625" style="314" bestFit="1" customWidth="1"/>
    <col min="3336" max="3336" width="12.44140625" style="314" bestFit="1" customWidth="1"/>
    <col min="3337" max="3337" width="10.6640625" style="314" bestFit="1" customWidth="1"/>
    <col min="3338" max="3338" width="19.109375" style="314" bestFit="1" customWidth="1"/>
    <col min="3339" max="3339" width="17.5546875" style="314" bestFit="1" customWidth="1"/>
    <col min="3340" max="3340" width="15" style="314" customWidth="1"/>
    <col min="3341" max="3341" width="16.44140625" style="314" bestFit="1" customWidth="1"/>
    <col min="3342" max="3342" width="18" style="314" customWidth="1"/>
    <col min="3343" max="3585" width="9.109375" style="314"/>
    <col min="3586" max="3586" width="36.88671875" style="314" customWidth="1"/>
    <col min="3587" max="3587" width="9.109375" style="314"/>
    <col min="3588" max="3588" width="10.109375" style="314" bestFit="1" customWidth="1"/>
    <col min="3589" max="3589" width="10.6640625" style="314" bestFit="1" customWidth="1"/>
    <col min="3590" max="3590" width="11.44140625" style="314" bestFit="1" customWidth="1"/>
    <col min="3591" max="3591" width="12.6640625" style="314" bestFit="1" customWidth="1"/>
    <col min="3592" max="3592" width="12.44140625" style="314" bestFit="1" customWidth="1"/>
    <col min="3593" max="3593" width="10.6640625" style="314" bestFit="1" customWidth="1"/>
    <col min="3594" max="3594" width="19.109375" style="314" bestFit="1" customWidth="1"/>
    <col min="3595" max="3595" width="17.5546875" style="314" bestFit="1" customWidth="1"/>
    <col min="3596" max="3596" width="15" style="314" customWidth="1"/>
    <col min="3597" max="3597" width="16.44140625" style="314" bestFit="1" customWidth="1"/>
    <col min="3598" max="3598" width="18" style="314" customWidth="1"/>
    <col min="3599" max="3841" width="9.109375" style="314"/>
    <col min="3842" max="3842" width="36.88671875" style="314" customWidth="1"/>
    <col min="3843" max="3843" width="9.109375" style="314"/>
    <col min="3844" max="3844" width="10.109375" style="314" bestFit="1" customWidth="1"/>
    <col min="3845" max="3845" width="10.6640625" style="314" bestFit="1" customWidth="1"/>
    <col min="3846" max="3846" width="11.44140625" style="314" bestFit="1" customWidth="1"/>
    <col min="3847" max="3847" width="12.6640625" style="314" bestFit="1" customWidth="1"/>
    <col min="3848" max="3848" width="12.44140625" style="314" bestFit="1" customWidth="1"/>
    <col min="3849" max="3849" width="10.6640625" style="314" bestFit="1" customWidth="1"/>
    <col min="3850" max="3850" width="19.109375" style="314" bestFit="1" customWidth="1"/>
    <col min="3851" max="3851" width="17.5546875" style="314" bestFit="1" customWidth="1"/>
    <col min="3852" max="3852" width="15" style="314" customWidth="1"/>
    <col min="3853" max="3853" width="16.44140625" style="314" bestFit="1" customWidth="1"/>
    <col min="3854" max="3854" width="18" style="314" customWidth="1"/>
    <col min="3855" max="4097" width="9.109375" style="314"/>
    <col min="4098" max="4098" width="36.88671875" style="314" customWidth="1"/>
    <col min="4099" max="4099" width="9.109375" style="314"/>
    <col min="4100" max="4100" width="10.109375" style="314" bestFit="1" customWidth="1"/>
    <col min="4101" max="4101" width="10.6640625" style="314" bestFit="1" customWidth="1"/>
    <col min="4102" max="4102" width="11.44140625" style="314" bestFit="1" customWidth="1"/>
    <col min="4103" max="4103" width="12.6640625" style="314" bestFit="1" customWidth="1"/>
    <col min="4104" max="4104" width="12.44140625" style="314" bestFit="1" customWidth="1"/>
    <col min="4105" max="4105" width="10.6640625" style="314" bestFit="1" customWidth="1"/>
    <col min="4106" max="4106" width="19.109375" style="314" bestFit="1" customWidth="1"/>
    <col min="4107" max="4107" width="17.5546875" style="314" bestFit="1" customWidth="1"/>
    <col min="4108" max="4108" width="15" style="314" customWidth="1"/>
    <col min="4109" max="4109" width="16.44140625" style="314" bestFit="1" customWidth="1"/>
    <col min="4110" max="4110" width="18" style="314" customWidth="1"/>
    <col min="4111" max="4353" width="9.109375" style="314"/>
    <col min="4354" max="4354" width="36.88671875" style="314" customWidth="1"/>
    <col min="4355" max="4355" width="9.109375" style="314"/>
    <col min="4356" max="4356" width="10.109375" style="314" bestFit="1" customWidth="1"/>
    <col min="4357" max="4357" width="10.6640625" style="314" bestFit="1" customWidth="1"/>
    <col min="4358" max="4358" width="11.44140625" style="314" bestFit="1" customWidth="1"/>
    <col min="4359" max="4359" width="12.6640625" style="314" bestFit="1" customWidth="1"/>
    <col min="4360" max="4360" width="12.44140625" style="314" bestFit="1" customWidth="1"/>
    <col min="4361" max="4361" width="10.6640625" style="314" bestFit="1" customWidth="1"/>
    <col min="4362" max="4362" width="19.109375" style="314" bestFit="1" customWidth="1"/>
    <col min="4363" max="4363" width="17.5546875" style="314" bestFit="1" customWidth="1"/>
    <col min="4364" max="4364" width="15" style="314" customWidth="1"/>
    <col min="4365" max="4365" width="16.44140625" style="314" bestFit="1" customWidth="1"/>
    <col min="4366" max="4366" width="18" style="314" customWidth="1"/>
    <col min="4367" max="4609" width="9.109375" style="314"/>
    <col min="4610" max="4610" width="36.88671875" style="314" customWidth="1"/>
    <col min="4611" max="4611" width="9.109375" style="314"/>
    <col min="4612" max="4612" width="10.109375" style="314" bestFit="1" customWidth="1"/>
    <col min="4613" max="4613" width="10.6640625" style="314" bestFit="1" customWidth="1"/>
    <col min="4614" max="4614" width="11.44140625" style="314" bestFit="1" customWidth="1"/>
    <col min="4615" max="4615" width="12.6640625" style="314" bestFit="1" customWidth="1"/>
    <col min="4616" max="4616" width="12.44140625" style="314" bestFit="1" customWidth="1"/>
    <col min="4617" max="4617" width="10.6640625" style="314" bestFit="1" customWidth="1"/>
    <col min="4618" max="4618" width="19.109375" style="314" bestFit="1" customWidth="1"/>
    <col min="4619" max="4619" width="17.5546875" style="314" bestFit="1" customWidth="1"/>
    <col min="4620" max="4620" width="15" style="314" customWidth="1"/>
    <col min="4621" max="4621" width="16.44140625" style="314" bestFit="1" customWidth="1"/>
    <col min="4622" max="4622" width="18" style="314" customWidth="1"/>
    <col min="4623" max="4865" width="9.109375" style="314"/>
    <col min="4866" max="4866" width="36.88671875" style="314" customWidth="1"/>
    <col min="4867" max="4867" width="9.109375" style="314"/>
    <col min="4868" max="4868" width="10.109375" style="314" bestFit="1" customWidth="1"/>
    <col min="4869" max="4869" width="10.6640625" style="314" bestFit="1" customWidth="1"/>
    <col min="4870" max="4870" width="11.44140625" style="314" bestFit="1" customWidth="1"/>
    <col min="4871" max="4871" width="12.6640625" style="314" bestFit="1" customWidth="1"/>
    <col min="4872" max="4872" width="12.44140625" style="314" bestFit="1" customWidth="1"/>
    <col min="4873" max="4873" width="10.6640625" style="314" bestFit="1" customWidth="1"/>
    <col min="4874" max="4874" width="19.109375" style="314" bestFit="1" customWidth="1"/>
    <col min="4875" max="4875" width="17.5546875" style="314" bestFit="1" customWidth="1"/>
    <col min="4876" max="4876" width="15" style="314" customWidth="1"/>
    <col min="4877" max="4877" width="16.44140625" style="314" bestFit="1" customWidth="1"/>
    <col min="4878" max="4878" width="18" style="314" customWidth="1"/>
    <col min="4879" max="5121" width="9.109375" style="314"/>
    <col min="5122" max="5122" width="36.88671875" style="314" customWidth="1"/>
    <col min="5123" max="5123" width="9.109375" style="314"/>
    <col min="5124" max="5124" width="10.109375" style="314" bestFit="1" customWidth="1"/>
    <col min="5125" max="5125" width="10.6640625" style="314" bestFit="1" customWidth="1"/>
    <col min="5126" max="5126" width="11.44140625" style="314" bestFit="1" customWidth="1"/>
    <col min="5127" max="5127" width="12.6640625" style="314" bestFit="1" customWidth="1"/>
    <col min="5128" max="5128" width="12.44140625" style="314" bestFit="1" customWidth="1"/>
    <col min="5129" max="5129" width="10.6640625" style="314" bestFit="1" customWidth="1"/>
    <col min="5130" max="5130" width="19.109375" style="314" bestFit="1" customWidth="1"/>
    <col min="5131" max="5131" width="17.5546875" style="314" bestFit="1" customWidth="1"/>
    <col min="5132" max="5132" width="15" style="314" customWidth="1"/>
    <col min="5133" max="5133" width="16.44140625" style="314" bestFit="1" customWidth="1"/>
    <col min="5134" max="5134" width="18" style="314" customWidth="1"/>
    <col min="5135" max="5377" width="9.109375" style="314"/>
    <col min="5378" max="5378" width="36.88671875" style="314" customWidth="1"/>
    <col min="5379" max="5379" width="9.109375" style="314"/>
    <col min="5380" max="5380" width="10.109375" style="314" bestFit="1" customWidth="1"/>
    <col min="5381" max="5381" width="10.6640625" style="314" bestFit="1" customWidth="1"/>
    <col min="5382" max="5382" width="11.44140625" style="314" bestFit="1" customWidth="1"/>
    <col min="5383" max="5383" width="12.6640625" style="314" bestFit="1" customWidth="1"/>
    <col min="5384" max="5384" width="12.44140625" style="314" bestFit="1" customWidth="1"/>
    <col min="5385" max="5385" width="10.6640625" style="314" bestFit="1" customWidth="1"/>
    <col min="5386" max="5386" width="19.109375" style="314" bestFit="1" customWidth="1"/>
    <col min="5387" max="5387" width="17.5546875" style="314" bestFit="1" customWidth="1"/>
    <col min="5388" max="5388" width="15" style="314" customWidth="1"/>
    <col min="5389" max="5389" width="16.44140625" style="314" bestFit="1" customWidth="1"/>
    <col min="5390" max="5390" width="18" style="314" customWidth="1"/>
    <col min="5391" max="5633" width="9.109375" style="314"/>
    <col min="5634" max="5634" width="36.88671875" style="314" customWidth="1"/>
    <col min="5635" max="5635" width="9.109375" style="314"/>
    <col min="5636" max="5636" width="10.109375" style="314" bestFit="1" customWidth="1"/>
    <col min="5637" max="5637" width="10.6640625" style="314" bestFit="1" customWidth="1"/>
    <col min="5638" max="5638" width="11.44140625" style="314" bestFit="1" customWidth="1"/>
    <col min="5639" max="5639" width="12.6640625" style="314" bestFit="1" customWidth="1"/>
    <col min="5640" max="5640" width="12.44140625" style="314" bestFit="1" customWidth="1"/>
    <col min="5641" max="5641" width="10.6640625" style="314" bestFit="1" customWidth="1"/>
    <col min="5642" max="5642" width="19.109375" style="314" bestFit="1" customWidth="1"/>
    <col min="5643" max="5643" width="17.5546875" style="314" bestFit="1" customWidth="1"/>
    <col min="5644" max="5644" width="15" style="314" customWidth="1"/>
    <col min="5645" max="5645" width="16.44140625" style="314" bestFit="1" customWidth="1"/>
    <col min="5646" max="5646" width="18" style="314" customWidth="1"/>
    <col min="5647" max="5889" width="9.109375" style="314"/>
    <col min="5890" max="5890" width="36.88671875" style="314" customWidth="1"/>
    <col min="5891" max="5891" width="9.109375" style="314"/>
    <col min="5892" max="5892" width="10.109375" style="314" bestFit="1" customWidth="1"/>
    <col min="5893" max="5893" width="10.6640625" style="314" bestFit="1" customWidth="1"/>
    <col min="5894" max="5894" width="11.44140625" style="314" bestFit="1" customWidth="1"/>
    <col min="5895" max="5895" width="12.6640625" style="314" bestFit="1" customWidth="1"/>
    <col min="5896" max="5896" width="12.44140625" style="314" bestFit="1" customWidth="1"/>
    <col min="5897" max="5897" width="10.6640625" style="314" bestFit="1" customWidth="1"/>
    <col min="5898" max="5898" width="19.109375" style="314" bestFit="1" customWidth="1"/>
    <col min="5899" max="5899" width="17.5546875" style="314" bestFit="1" customWidth="1"/>
    <col min="5900" max="5900" width="15" style="314" customWidth="1"/>
    <col min="5901" max="5901" width="16.44140625" style="314" bestFit="1" customWidth="1"/>
    <col min="5902" max="5902" width="18" style="314" customWidth="1"/>
    <col min="5903" max="6145" width="9.109375" style="314"/>
    <col min="6146" max="6146" width="36.88671875" style="314" customWidth="1"/>
    <col min="6147" max="6147" width="9.109375" style="314"/>
    <col min="6148" max="6148" width="10.109375" style="314" bestFit="1" customWidth="1"/>
    <col min="6149" max="6149" width="10.6640625" style="314" bestFit="1" customWidth="1"/>
    <col min="6150" max="6150" width="11.44140625" style="314" bestFit="1" customWidth="1"/>
    <col min="6151" max="6151" width="12.6640625" style="314" bestFit="1" customWidth="1"/>
    <col min="6152" max="6152" width="12.44140625" style="314" bestFit="1" customWidth="1"/>
    <col min="6153" max="6153" width="10.6640625" style="314" bestFit="1" customWidth="1"/>
    <col min="6154" max="6154" width="19.109375" style="314" bestFit="1" customWidth="1"/>
    <col min="6155" max="6155" width="17.5546875" style="314" bestFit="1" customWidth="1"/>
    <col min="6156" max="6156" width="15" style="314" customWidth="1"/>
    <col min="6157" max="6157" width="16.44140625" style="314" bestFit="1" customWidth="1"/>
    <col min="6158" max="6158" width="18" style="314" customWidth="1"/>
    <col min="6159" max="6401" width="9.109375" style="314"/>
    <col min="6402" max="6402" width="36.88671875" style="314" customWidth="1"/>
    <col min="6403" max="6403" width="9.109375" style="314"/>
    <col min="6404" max="6404" width="10.109375" style="314" bestFit="1" customWidth="1"/>
    <col min="6405" max="6405" width="10.6640625" style="314" bestFit="1" customWidth="1"/>
    <col min="6406" max="6406" width="11.44140625" style="314" bestFit="1" customWidth="1"/>
    <col min="6407" max="6407" width="12.6640625" style="314" bestFit="1" customWidth="1"/>
    <col min="6408" max="6408" width="12.44140625" style="314" bestFit="1" customWidth="1"/>
    <col min="6409" max="6409" width="10.6640625" style="314" bestFit="1" customWidth="1"/>
    <col min="6410" max="6410" width="19.109375" style="314" bestFit="1" customWidth="1"/>
    <col min="6411" max="6411" width="17.5546875" style="314" bestFit="1" customWidth="1"/>
    <col min="6412" max="6412" width="15" style="314" customWidth="1"/>
    <col min="6413" max="6413" width="16.44140625" style="314" bestFit="1" customWidth="1"/>
    <col min="6414" max="6414" width="18" style="314" customWidth="1"/>
    <col min="6415" max="6657" width="9.109375" style="314"/>
    <col min="6658" max="6658" width="36.88671875" style="314" customWidth="1"/>
    <col min="6659" max="6659" width="9.109375" style="314"/>
    <col min="6660" max="6660" width="10.109375" style="314" bestFit="1" customWidth="1"/>
    <col min="6661" max="6661" width="10.6640625" style="314" bestFit="1" customWidth="1"/>
    <col min="6662" max="6662" width="11.44140625" style="314" bestFit="1" customWidth="1"/>
    <col min="6663" max="6663" width="12.6640625" style="314" bestFit="1" customWidth="1"/>
    <col min="6664" max="6664" width="12.44140625" style="314" bestFit="1" customWidth="1"/>
    <col min="6665" max="6665" width="10.6640625" style="314" bestFit="1" customWidth="1"/>
    <col min="6666" max="6666" width="19.109375" style="314" bestFit="1" customWidth="1"/>
    <col min="6667" max="6667" width="17.5546875" style="314" bestFit="1" customWidth="1"/>
    <col min="6668" max="6668" width="15" style="314" customWidth="1"/>
    <col min="6669" max="6669" width="16.44140625" style="314" bestFit="1" customWidth="1"/>
    <col min="6670" max="6670" width="18" style="314" customWidth="1"/>
    <col min="6671" max="6913" width="9.109375" style="314"/>
    <col min="6914" max="6914" width="36.88671875" style="314" customWidth="1"/>
    <col min="6915" max="6915" width="9.109375" style="314"/>
    <col min="6916" max="6916" width="10.109375" style="314" bestFit="1" customWidth="1"/>
    <col min="6917" max="6917" width="10.6640625" style="314" bestFit="1" customWidth="1"/>
    <col min="6918" max="6918" width="11.44140625" style="314" bestFit="1" customWidth="1"/>
    <col min="6919" max="6919" width="12.6640625" style="314" bestFit="1" customWidth="1"/>
    <col min="6920" max="6920" width="12.44140625" style="314" bestFit="1" customWidth="1"/>
    <col min="6921" max="6921" width="10.6640625" style="314" bestFit="1" customWidth="1"/>
    <col min="6922" max="6922" width="19.109375" style="314" bestFit="1" customWidth="1"/>
    <col min="6923" max="6923" width="17.5546875" style="314" bestFit="1" customWidth="1"/>
    <col min="6924" max="6924" width="15" style="314" customWidth="1"/>
    <col min="6925" max="6925" width="16.44140625" style="314" bestFit="1" customWidth="1"/>
    <col min="6926" max="6926" width="18" style="314" customWidth="1"/>
    <col min="6927" max="7169" width="9.109375" style="314"/>
    <col min="7170" max="7170" width="36.88671875" style="314" customWidth="1"/>
    <col min="7171" max="7171" width="9.109375" style="314"/>
    <col min="7172" max="7172" width="10.109375" style="314" bestFit="1" customWidth="1"/>
    <col min="7173" max="7173" width="10.6640625" style="314" bestFit="1" customWidth="1"/>
    <col min="7174" max="7174" width="11.44140625" style="314" bestFit="1" customWidth="1"/>
    <col min="7175" max="7175" width="12.6640625" style="314" bestFit="1" customWidth="1"/>
    <col min="7176" max="7176" width="12.44140625" style="314" bestFit="1" customWidth="1"/>
    <col min="7177" max="7177" width="10.6640625" style="314" bestFit="1" customWidth="1"/>
    <col min="7178" max="7178" width="19.109375" style="314" bestFit="1" customWidth="1"/>
    <col min="7179" max="7179" width="17.5546875" style="314" bestFit="1" customWidth="1"/>
    <col min="7180" max="7180" width="15" style="314" customWidth="1"/>
    <col min="7181" max="7181" width="16.44140625" style="314" bestFit="1" customWidth="1"/>
    <col min="7182" max="7182" width="18" style="314" customWidth="1"/>
    <col min="7183" max="7425" width="9.109375" style="314"/>
    <col min="7426" max="7426" width="36.88671875" style="314" customWidth="1"/>
    <col min="7427" max="7427" width="9.109375" style="314"/>
    <col min="7428" max="7428" width="10.109375" style="314" bestFit="1" customWidth="1"/>
    <col min="7429" max="7429" width="10.6640625" style="314" bestFit="1" customWidth="1"/>
    <col min="7430" max="7430" width="11.44140625" style="314" bestFit="1" customWidth="1"/>
    <col min="7431" max="7431" width="12.6640625" style="314" bestFit="1" customWidth="1"/>
    <col min="7432" max="7432" width="12.44140625" style="314" bestFit="1" customWidth="1"/>
    <col min="7433" max="7433" width="10.6640625" style="314" bestFit="1" customWidth="1"/>
    <col min="7434" max="7434" width="19.109375" style="314" bestFit="1" customWidth="1"/>
    <col min="7435" max="7435" width="17.5546875" style="314" bestFit="1" customWidth="1"/>
    <col min="7436" max="7436" width="15" style="314" customWidth="1"/>
    <col min="7437" max="7437" width="16.44140625" style="314" bestFit="1" customWidth="1"/>
    <col min="7438" max="7438" width="18" style="314" customWidth="1"/>
    <col min="7439" max="7681" width="9.109375" style="314"/>
    <col min="7682" max="7682" width="36.88671875" style="314" customWidth="1"/>
    <col min="7683" max="7683" width="9.109375" style="314"/>
    <col min="7684" max="7684" width="10.109375" style="314" bestFit="1" customWidth="1"/>
    <col min="7685" max="7685" width="10.6640625" style="314" bestFit="1" customWidth="1"/>
    <col min="7686" max="7686" width="11.44140625" style="314" bestFit="1" customWidth="1"/>
    <col min="7687" max="7687" width="12.6640625" style="314" bestFit="1" customWidth="1"/>
    <col min="7688" max="7688" width="12.44140625" style="314" bestFit="1" customWidth="1"/>
    <col min="7689" max="7689" width="10.6640625" style="314" bestFit="1" customWidth="1"/>
    <col min="7690" max="7690" width="19.109375" style="314" bestFit="1" customWidth="1"/>
    <col min="7691" max="7691" width="17.5546875" style="314" bestFit="1" customWidth="1"/>
    <col min="7692" max="7692" width="15" style="314" customWidth="1"/>
    <col min="7693" max="7693" width="16.44140625" style="314" bestFit="1" customWidth="1"/>
    <col min="7694" max="7694" width="18" style="314" customWidth="1"/>
    <col min="7695" max="7937" width="9.109375" style="314"/>
    <col min="7938" max="7938" width="36.88671875" style="314" customWidth="1"/>
    <col min="7939" max="7939" width="9.109375" style="314"/>
    <col min="7940" max="7940" width="10.109375" style="314" bestFit="1" customWidth="1"/>
    <col min="7941" max="7941" width="10.6640625" style="314" bestFit="1" customWidth="1"/>
    <col min="7942" max="7942" width="11.44140625" style="314" bestFit="1" customWidth="1"/>
    <col min="7943" max="7943" width="12.6640625" style="314" bestFit="1" customWidth="1"/>
    <col min="7944" max="7944" width="12.44140625" style="314" bestFit="1" customWidth="1"/>
    <col min="7945" max="7945" width="10.6640625" style="314" bestFit="1" customWidth="1"/>
    <col min="7946" max="7946" width="19.109375" style="314" bestFit="1" customWidth="1"/>
    <col min="7947" max="7947" width="17.5546875" style="314" bestFit="1" customWidth="1"/>
    <col min="7948" max="7948" width="15" style="314" customWidth="1"/>
    <col min="7949" max="7949" width="16.44140625" style="314" bestFit="1" customWidth="1"/>
    <col min="7950" max="7950" width="18" style="314" customWidth="1"/>
    <col min="7951" max="8193" width="9.109375" style="314"/>
    <col min="8194" max="8194" width="36.88671875" style="314" customWidth="1"/>
    <col min="8195" max="8195" width="9.109375" style="314"/>
    <col min="8196" max="8196" width="10.109375" style="314" bestFit="1" customWidth="1"/>
    <col min="8197" max="8197" width="10.6640625" style="314" bestFit="1" customWidth="1"/>
    <col min="8198" max="8198" width="11.44140625" style="314" bestFit="1" customWidth="1"/>
    <col min="8199" max="8199" width="12.6640625" style="314" bestFit="1" customWidth="1"/>
    <col min="8200" max="8200" width="12.44140625" style="314" bestFit="1" customWidth="1"/>
    <col min="8201" max="8201" width="10.6640625" style="314" bestFit="1" customWidth="1"/>
    <col min="8202" max="8202" width="19.109375" style="314" bestFit="1" customWidth="1"/>
    <col min="8203" max="8203" width="17.5546875" style="314" bestFit="1" customWidth="1"/>
    <col min="8204" max="8204" width="15" style="314" customWidth="1"/>
    <col min="8205" max="8205" width="16.44140625" style="314" bestFit="1" customWidth="1"/>
    <col min="8206" max="8206" width="18" style="314" customWidth="1"/>
    <col min="8207" max="8449" width="9.109375" style="314"/>
    <col min="8450" max="8450" width="36.88671875" style="314" customWidth="1"/>
    <col min="8451" max="8451" width="9.109375" style="314"/>
    <col min="8452" max="8452" width="10.109375" style="314" bestFit="1" customWidth="1"/>
    <col min="8453" max="8453" width="10.6640625" style="314" bestFit="1" customWidth="1"/>
    <col min="8454" max="8454" width="11.44140625" style="314" bestFit="1" customWidth="1"/>
    <col min="8455" max="8455" width="12.6640625" style="314" bestFit="1" customWidth="1"/>
    <col min="8456" max="8456" width="12.44140625" style="314" bestFit="1" customWidth="1"/>
    <col min="8457" max="8457" width="10.6640625" style="314" bestFit="1" customWidth="1"/>
    <col min="8458" max="8458" width="19.109375" style="314" bestFit="1" customWidth="1"/>
    <col min="8459" max="8459" width="17.5546875" style="314" bestFit="1" customWidth="1"/>
    <col min="8460" max="8460" width="15" style="314" customWidth="1"/>
    <col min="8461" max="8461" width="16.44140625" style="314" bestFit="1" customWidth="1"/>
    <col min="8462" max="8462" width="18" style="314" customWidth="1"/>
    <col min="8463" max="8705" width="9.109375" style="314"/>
    <col min="8706" max="8706" width="36.88671875" style="314" customWidth="1"/>
    <col min="8707" max="8707" width="9.109375" style="314"/>
    <col min="8708" max="8708" width="10.109375" style="314" bestFit="1" customWidth="1"/>
    <col min="8709" max="8709" width="10.6640625" style="314" bestFit="1" customWidth="1"/>
    <col min="8710" max="8710" width="11.44140625" style="314" bestFit="1" customWidth="1"/>
    <col min="8711" max="8711" width="12.6640625" style="314" bestFit="1" customWidth="1"/>
    <col min="8712" max="8712" width="12.44140625" style="314" bestFit="1" customWidth="1"/>
    <col min="8713" max="8713" width="10.6640625" style="314" bestFit="1" customWidth="1"/>
    <col min="8714" max="8714" width="19.109375" style="314" bestFit="1" customWidth="1"/>
    <col min="8715" max="8715" width="17.5546875" style="314" bestFit="1" customWidth="1"/>
    <col min="8716" max="8716" width="15" style="314" customWidth="1"/>
    <col min="8717" max="8717" width="16.44140625" style="314" bestFit="1" customWidth="1"/>
    <col min="8718" max="8718" width="18" style="314" customWidth="1"/>
    <col min="8719" max="8961" width="9.109375" style="314"/>
    <col min="8962" max="8962" width="36.88671875" style="314" customWidth="1"/>
    <col min="8963" max="8963" width="9.109375" style="314"/>
    <col min="8964" max="8964" width="10.109375" style="314" bestFit="1" customWidth="1"/>
    <col min="8965" max="8965" width="10.6640625" style="314" bestFit="1" customWidth="1"/>
    <col min="8966" max="8966" width="11.44140625" style="314" bestFit="1" customWidth="1"/>
    <col min="8967" max="8967" width="12.6640625" style="314" bestFit="1" customWidth="1"/>
    <col min="8968" max="8968" width="12.44140625" style="314" bestFit="1" customWidth="1"/>
    <col min="8969" max="8969" width="10.6640625" style="314" bestFit="1" customWidth="1"/>
    <col min="8970" max="8970" width="19.109375" style="314" bestFit="1" customWidth="1"/>
    <col min="8971" max="8971" width="17.5546875" style="314" bestFit="1" customWidth="1"/>
    <col min="8972" max="8972" width="15" style="314" customWidth="1"/>
    <col min="8973" max="8973" width="16.44140625" style="314" bestFit="1" customWidth="1"/>
    <col min="8974" max="8974" width="18" style="314" customWidth="1"/>
    <col min="8975" max="9217" width="9.109375" style="314"/>
    <col min="9218" max="9218" width="36.88671875" style="314" customWidth="1"/>
    <col min="9219" max="9219" width="9.109375" style="314"/>
    <col min="9220" max="9220" width="10.109375" style="314" bestFit="1" customWidth="1"/>
    <col min="9221" max="9221" width="10.6640625" style="314" bestFit="1" customWidth="1"/>
    <col min="9222" max="9222" width="11.44140625" style="314" bestFit="1" customWidth="1"/>
    <col min="9223" max="9223" width="12.6640625" style="314" bestFit="1" customWidth="1"/>
    <col min="9224" max="9224" width="12.44140625" style="314" bestFit="1" customWidth="1"/>
    <col min="9225" max="9225" width="10.6640625" style="314" bestFit="1" customWidth="1"/>
    <col min="9226" max="9226" width="19.109375" style="314" bestFit="1" customWidth="1"/>
    <col min="9227" max="9227" width="17.5546875" style="314" bestFit="1" customWidth="1"/>
    <col min="9228" max="9228" width="15" style="314" customWidth="1"/>
    <col min="9229" max="9229" width="16.44140625" style="314" bestFit="1" customWidth="1"/>
    <col min="9230" max="9230" width="18" style="314" customWidth="1"/>
    <col min="9231" max="9473" width="9.109375" style="314"/>
    <col min="9474" max="9474" width="36.88671875" style="314" customWidth="1"/>
    <col min="9475" max="9475" width="9.109375" style="314"/>
    <col min="9476" max="9476" width="10.109375" style="314" bestFit="1" customWidth="1"/>
    <col min="9477" max="9477" width="10.6640625" style="314" bestFit="1" customWidth="1"/>
    <col min="9478" max="9478" width="11.44140625" style="314" bestFit="1" customWidth="1"/>
    <col min="9479" max="9479" width="12.6640625" style="314" bestFit="1" customWidth="1"/>
    <col min="9480" max="9480" width="12.44140625" style="314" bestFit="1" customWidth="1"/>
    <col min="9481" max="9481" width="10.6640625" style="314" bestFit="1" customWidth="1"/>
    <col min="9482" max="9482" width="19.109375" style="314" bestFit="1" customWidth="1"/>
    <col min="9483" max="9483" width="17.5546875" style="314" bestFit="1" customWidth="1"/>
    <col min="9484" max="9484" width="15" style="314" customWidth="1"/>
    <col min="9485" max="9485" width="16.44140625" style="314" bestFit="1" customWidth="1"/>
    <col min="9486" max="9486" width="18" style="314" customWidth="1"/>
    <col min="9487" max="9729" width="9.109375" style="314"/>
    <col min="9730" max="9730" width="36.88671875" style="314" customWidth="1"/>
    <col min="9731" max="9731" width="9.109375" style="314"/>
    <col min="9732" max="9732" width="10.109375" style="314" bestFit="1" customWidth="1"/>
    <col min="9733" max="9733" width="10.6640625" style="314" bestFit="1" customWidth="1"/>
    <col min="9734" max="9734" width="11.44140625" style="314" bestFit="1" customWidth="1"/>
    <col min="9735" max="9735" width="12.6640625" style="314" bestFit="1" customWidth="1"/>
    <col min="9736" max="9736" width="12.44140625" style="314" bestFit="1" customWidth="1"/>
    <col min="9737" max="9737" width="10.6640625" style="314" bestFit="1" customWidth="1"/>
    <col min="9738" max="9738" width="19.109375" style="314" bestFit="1" customWidth="1"/>
    <col min="9739" max="9739" width="17.5546875" style="314" bestFit="1" customWidth="1"/>
    <col min="9740" max="9740" width="15" style="314" customWidth="1"/>
    <col min="9741" max="9741" width="16.44140625" style="314" bestFit="1" customWidth="1"/>
    <col min="9742" max="9742" width="18" style="314" customWidth="1"/>
    <col min="9743" max="9985" width="9.109375" style="314"/>
    <col min="9986" max="9986" width="36.88671875" style="314" customWidth="1"/>
    <col min="9987" max="9987" width="9.109375" style="314"/>
    <col min="9988" max="9988" width="10.109375" style="314" bestFit="1" customWidth="1"/>
    <col min="9989" max="9989" width="10.6640625" style="314" bestFit="1" customWidth="1"/>
    <col min="9990" max="9990" width="11.44140625" style="314" bestFit="1" customWidth="1"/>
    <col min="9991" max="9991" width="12.6640625" style="314" bestFit="1" customWidth="1"/>
    <col min="9992" max="9992" width="12.44140625" style="314" bestFit="1" customWidth="1"/>
    <col min="9993" max="9993" width="10.6640625" style="314" bestFit="1" customWidth="1"/>
    <col min="9994" max="9994" width="19.109375" style="314" bestFit="1" customWidth="1"/>
    <col min="9995" max="9995" width="17.5546875" style="314" bestFit="1" customWidth="1"/>
    <col min="9996" max="9996" width="15" style="314" customWidth="1"/>
    <col min="9997" max="9997" width="16.44140625" style="314" bestFit="1" customWidth="1"/>
    <col min="9998" max="9998" width="18" style="314" customWidth="1"/>
    <col min="9999" max="10241" width="9.109375" style="314"/>
    <col min="10242" max="10242" width="36.88671875" style="314" customWidth="1"/>
    <col min="10243" max="10243" width="9.109375" style="314"/>
    <col min="10244" max="10244" width="10.109375" style="314" bestFit="1" customWidth="1"/>
    <col min="10245" max="10245" width="10.6640625" style="314" bestFit="1" customWidth="1"/>
    <col min="10246" max="10246" width="11.44140625" style="314" bestFit="1" customWidth="1"/>
    <col min="10247" max="10247" width="12.6640625" style="314" bestFit="1" customWidth="1"/>
    <col min="10248" max="10248" width="12.44140625" style="314" bestFit="1" customWidth="1"/>
    <col min="10249" max="10249" width="10.6640625" style="314" bestFit="1" customWidth="1"/>
    <col min="10250" max="10250" width="19.109375" style="314" bestFit="1" customWidth="1"/>
    <col min="10251" max="10251" width="17.5546875" style="314" bestFit="1" customWidth="1"/>
    <col min="10252" max="10252" width="15" style="314" customWidth="1"/>
    <col min="10253" max="10253" width="16.44140625" style="314" bestFit="1" customWidth="1"/>
    <col min="10254" max="10254" width="18" style="314" customWidth="1"/>
    <col min="10255" max="10497" width="9.109375" style="314"/>
    <col min="10498" max="10498" width="36.88671875" style="314" customWidth="1"/>
    <col min="10499" max="10499" width="9.109375" style="314"/>
    <col min="10500" max="10500" width="10.109375" style="314" bestFit="1" customWidth="1"/>
    <col min="10501" max="10501" width="10.6640625" style="314" bestFit="1" customWidth="1"/>
    <col min="10502" max="10502" width="11.44140625" style="314" bestFit="1" customWidth="1"/>
    <col min="10503" max="10503" width="12.6640625" style="314" bestFit="1" customWidth="1"/>
    <col min="10504" max="10504" width="12.44140625" style="314" bestFit="1" customWidth="1"/>
    <col min="10505" max="10505" width="10.6640625" style="314" bestFit="1" customWidth="1"/>
    <col min="10506" max="10506" width="19.109375" style="314" bestFit="1" customWidth="1"/>
    <col min="10507" max="10507" width="17.5546875" style="314" bestFit="1" customWidth="1"/>
    <col min="10508" max="10508" width="15" style="314" customWidth="1"/>
    <col min="10509" max="10509" width="16.44140625" style="314" bestFit="1" customWidth="1"/>
    <col min="10510" max="10510" width="18" style="314" customWidth="1"/>
    <col min="10511" max="10753" width="9.109375" style="314"/>
    <col min="10754" max="10754" width="36.88671875" style="314" customWidth="1"/>
    <col min="10755" max="10755" width="9.109375" style="314"/>
    <col min="10756" max="10756" width="10.109375" style="314" bestFit="1" customWidth="1"/>
    <col min="10757" max="10757" width="10.6640625" style="314" bestFit="1" customWidth="1"/>
    <col min="10758" max="10758" width="11.44140625" style="314" bestFit="1" customWidth="1"/>
    <col min="10759" max="10759" width="12.6640625" style="314" bestFit="1" customWidth="1"/>
    <col min="10760" max="10760" width="12.44140625" style="314" bestFit="1" customWidth="1"/>
    <col min="10761" max="10761" width="10.6640625" style="314" bestFit="1" customWidth="1"/>
    <col min="10762" max="10762" width="19.109375" style="314" bestFit="1" customWidth="1"/>
    <col min="10763" max="10763" width="17.5546875" style="314" bestFit="1" customWidth="1"/>
    <col min="10764" max="10764" width="15" style="314" customWidth="1"/>
    <col min="10765" max="10765" width="16.44140625" style="314" bestFit="1" customWidth="1"/>
    <col min="10766" max="10766" width="18" style="314" customWidth="1"/>
    <col min="10767" max="11009" width="9.109375" style="314"/>
    <col min="11010" max="11010" width="36.88671875" style="314" customWidth="1"/>
    <col min="11011" max="11011" width="9.109375" style="314"/>
    <col min="11012" max="11012" width="10.109375" style="314" bestFit="1" customWidth="1"/>
    <col min="11013" max="11013" width="10.6640625" style="314" bestFit="1" customWidth="1"/>
    <col min="11014" max="11014" width="11.44140625" style="314" bestFit="1" customWidth="1"/>
    <col min="11015" max="11015" width="12.6640625" style="314" bestFit="1" customWidth="1"/>
    <col min="11016" max="11016" width="12.44140625" style="314" bestFit="1" customWidth="1"/>
    <col min="11017" max="11017" width="10.6640625" style="314" bestFit="1" customWidth="1"/>
    <col min="11018" max="11018" width="19.109375" style="314" bestFit="1" customWidth="1"/>
    <col min="11019" max="11019" width="17.5546875" style="314" bestFit="1" customWidth="1"/>
    <col min="11020" max="11020" width="15" style="314" customWidth="1"/>
    <col min="11021" max="11021" width="16.44140625" style="314" bestFit="1" customWidth="1"/>
    <col min="11022" max="11022" width="18" style="314" customWidth="1"/>
    <col min="11023" max="11265" width="9.109375" style="314"/>
    <col min="11266" max="11266" width="36.88671875" style="314" customWidth="1"/>
    <col min="11267" max="11267" width="9.109375" style="314"/>
    <col min="11268" max="11268" width="10.109375" style="314" bestFit="1" customWidth="1"/>
    <col min="11269" max="11269" width="10.6640625" style="314" bestFit="1" customWidth="1"/>
    <col min="11270" max="11270" width="11.44140625" style="314" bestFit="1" customWidth="1"/>
    <col min="11271" max="11271" width="12.6640625" style="314" bestFit="1" customWidth="1"/>
    <col min="11272" max="11272" width="12.44140625" style="314" bestFit="1" customWidth="1"/>
    <col min="11273" max="11273" width="10.6640625" style="314" bestFit="1" customWidth="1"/>
    <col min="11274" max="11274" width="19.109375" style="314" bestFit="1" customWidth="1"/>
    <col min="11275" max="11275" width="17.5546875" style="314" bestFit="1" customWidth="1"/>
    <col min="11276" max="11276" width="15" style="314" customWidth="1"/>
    <col min="11277" max="11277" width="16.44140625" style="314" bestFit="1" customWidth="1"/>
    <col min="11278" max="11278" width="18" style="314" customWidth="1"/>
    <col min="11279" max="11521" width="9.109375" style="314"/>
    <col min="11522" max="11522" width="36.88671875" style="314" customWidth="1"/>
    <col min="11523" max="11523" width="9.109375" style="314"/>
    <col min="11524" max="11524" width="10.109375" style="314" bestFit="1" customWidth="1"/>
    <col min="11525" max="11525" width="10.6640625" style="314" bestFit="1" customWidth="1"/>
    <col min="11526" max="11526" width="11.44140625" style="314" bestFit="1" customWidth="1"/>
    <col min="11527" max="11527" width="12.6640625" style="314" bestFit="1" customWidth="1"/>
    <col min="11528" max="11528" width="12.44140625" style="314" bestFit="1" customWidth="1"/>
    <col min="11529" max="11529" width="10.6640625" style="314" bestFit="1" customWidth="1"/>
    <col min="11530" max="11530" width="19.109375" style="314" bestFit="1" customWidth="1"/>
    <col min="11531" max="11531" width="17.5546875" style="314" bestFit="1" customWidth="1"/>
    <col min="11532" max="11532" width="15" style="314" customWidth="1"/>
    <col min="11533" max="11533" width="16.44140625" style="314" bestFit="1" customWidth="1"/>
    <col min="11534" max="11534" width="18" style="314" customWidth="1"/>
    <col min="11535" max="11777" width="9.109375" style="314"/>
    <col min="11778" max="11778" width="36.88671875" style="314" customWidth="1"/>
    <col min="11779" max="11779" width="9.109375" style="314"/>
    <col min="11780" max="11780" width="10.109375" style="314" bestFit="1" customWidth="1"/>
    <col min="11781" max="11781" width="10.6640625" style="314" bestFit="1" customWidth="1"/>
    <col min="11782" max="11782" width="11.44140625" style="314" bestFit="1" customWidth="1"/>
    <col min="11783" max="11783" width="12.6640625" style="314" bestFit="1" customWidth="1"/>
    <col min="11784" max="11784" width="12.44140625" style="314" bestFit="1" customWidth="1"/>
    <col min="11785" max="11785" width="10.6640625" style="314" bestFit="1" customWidth="1"/>
    <col min="11786" max="11786" width="19.109375" style="314" bestFit="1" customWidth="1"/>
    <col min="11787" max="11787" width="17.5546875" style="314" bestFit="1" customWidth="1"/>
    <col min="11788" max="11788" width="15" style="314" customWidth="1"/>
    <col min="11789" max="11789" width="16.44140625" style="314" bestFit="1" customWidth="1"/>
    <col min="11790" max="11790" width="18" style="314" customWidth="1"/>
    <col min="11791" max="12033" width="9.109375" style="314"/>
    <col min="12034" max="12034" width="36.88671875" style="314" customWidth="1"/>
    <col min="12035" max="12035" width="9.109375" style="314"/>
    <col min="12036" max="12036" width="10.109375" style="314" bestFit="1" customWidth="1"/>
    <col min="12037" max="12037" width="10.6640625" style="314" bestFit="1" customWidth="1"/>
    <col min="12038" max="12038" width="11.44140625" style="314" bestFit="1" customWidth="1"/>
    <col min="12039" max="12039" width="12.6640625" style="314" bestFit="1" customWidth="1"/>
    <col min="12040" max="12040" width="12.44140625" style="314" bestFit="1" customWidth="1"/>
    <col min="12041" max="12041" width="10.6640625" style="314" bestFit="1" customWidth="1"/>
    <col min="12042" max="12042" width="19.109375" style="314" bestFit="1" customWidth="1"/>
    <col min="12043" max="12043" width="17.5546875" style="314" bestFit="1" customWidth="1"/>
    <col min="12044" max="12044" width="15" style="314" customWidth="1"/>
    <col min="12045" max="12045" width="16.44140625" style="314" bestFit="1" customWidth="1"/>
    <col min="12046" max="12046" width="18" style="314" customWidth="1"/>
    <col min="12047" max="12289" width="9.109375" style="314"/>
    <col min="12290" max="12290" width="36.88671875" style="314" customWidth="1"/>
    <col min="12291" max="12291" width="9.109375" style="314"/>
    <col min="12292" max="12292" width="10.109375" style="314" bestFit="1" customWidth="1"/>
    <col min="12293" max="12293" width="10.6640625" style="314" bestFit="1" customWidth="1"/>
    <col min="12294" max="12294" width="11.44140625" style="314" bestFit="1" customWidth="1"/>
    <col min="12295" max="12295" width="12.6640625" style="314" bestFit="1" customWidth="1"/>
    <col min="12296" max="12296" width="12.44140625" style="314" bestFit="1" customWidth="1"/>
    <col min="12297" max="12297" width="10.6640625" style="314" bestFit="1" customWidth="1"/>
    <col min="12298" max="12298" width="19.109375" style="314" bestFit="1" customWidth="1"/>
    <col min="12299" max="12299" width="17.5546875" style="314" bestFit="1" customWidth="1"/>
    <col min="12300" max="12300" width="15" style="314" customWidth="1"/>
    <col min="12301" max="12301" width="16.44140625" style="314" bestFit="1" customWidth="1"/>
    <col min="12302" max="12302" width="18" style="314" customWidth="1"/>
    <col min="12303" max="12545" width="9.109375" style="314"/>
    <col min="12546" max="12546" width="36.88671875" style="314" customWidth="1"/>
    <col min="12547" max="12547" width="9.109375" style="314"/>
    <col min="12548" max="12548" width="10.109375" style="314" bestFit="1" customWidth="1"/>
    <col min="12549" max="12549" width="10.6640625" style="314" bestFit="1" customWidth="1"/>
    <col min="12550" max="12550" width="11.44140625" style="314" bestFit="1" customWidth="1"/>
    <col min="12551" max="12551" width="12.6640625" style="314" bestFit="1" customWidth="1"/>
    <col min="12552" max="12552" width="12.44140625" style="314" bestFit="1" customWidth="1"/>
    <col min="12553" max="12553" width="10.6640625" style="314" bestFit="1" customWidth="1"/>
    <col min="12554" max="12554" width="19.109375" style="314" bestFit="1" customWidth="1"/>
    <col min="12555" max="12555" width="17.5546875" style="314" bestFit="1" customWidth="1"/>
    <col min="12556" max="12556" width="15" style="314" customWidth="1"/>
    <col min="12557" max="12557" width="16.44140625" style="314" bestFit="1" customWidth="1"/>
    <col min="12558" max="12558" width="18" style="314" customWidth="1"/>
    <col min="12559" max="12801" width="9.109375" style="314"/>
    <col min="12802" max="12802" width="36.88671875" style="314" customWidth="1"/>
    <col min="12803" max="12803" width="9.109375" style="314"/>
    <col min="12804" max="12804" width="10.109375" style="314" bestFit="1" customWidth="1"/>
    <col min="12805" max="12805" width="10.6640625" style="314" bestFit="1" customWidth="1"/>
    <col min="12806" max="12806" width="11.44140625" style="314" bestFit="1" customWidth="1"/>
    <col min="12807" max="12807" width="12.6640625" style="314" bestFit="1" customWidth="1"/>
    <col min="12808" max="12808" width="12.44140625" style="314" bestFit="1" customWidth="1"/>
    <col min="12809" max="12809" width="10.6640625" style="314" bestFit="1" customWidth="1"/>
    <col min="12810" max="12810" width="19.109375" style="314" bestFit="1" customWidth="1"/>
    <col min="12811" max="12811" width="17.5546875" style="314" bestFit="1" customWidth="1"/>
    <col min="12812" max="12812" width="15" style="314" customWidth="1"/>
    <col min="12813" max="12813" width="16.44140625" style="314" bestFit="1" customWidth="1"/>
    <col min="12814" max="12814" width="18" style="314" customWidth="1"/>
    <col min="12815" max="13057" width="9.109375" style="314"/>
    <col min="13058" max="13058" width="36.88671875" style="314" customWidth="1"/>
    <col min="13059" max="13059" width="9.109375" style="314"/>
    <col min="13060" max="13060" width="10.109375" style="314" bestFit="1" customWidth="1"/>
    <col min="13061" max="13061" width="10.6640625" style="314" bestFit="1" customWidth="1"/>
    <col min="13062" max="13062" width="11.44140625" style="314" bestFit="1" customWidth="1"/>
    <col min="13063" max="13063" width="12.6640625" style="314" bestFit="1" customWidth="1"/>
    <col min="13064" max="13064" width="12.44140625" style="314" bestFit="1" customWidth="1"/>
    <col min="13065" max="13065" width="10.6640625" style="314" bestFit="1" customWidth="1"/>
    <col min="13066" max="13066" width="19.109375" style="314" bestFit="1" customWidth="1"/>
    <col min="13067" max="13067" width="17.5546875" style="314" bestFit="1" customWidth="1"/>
    <col min="13068" max="13068" width="15" style="314" customWidth="1"/>
    <col min="13069" max="13069" width="16.44140625" style="314" bestFit="1" customWidth="1"/>
    <col min="13070" max="13070" width="18" style="314" customWidth="1"/>
    <col min="13071" max="13313" width="9.109375" style="314"/>
    <col min="13314" max="13314" width="36.88671875" style="314" customWidth="1"/>
    <col min="13315" max="13315" width="9.109375" style="314"/>
    <col min="13316" max="13316" width="10.109375" style="314" bestFit="1" customWidth="1"/>
    <col min="13317" max="13317" width="10.6640625" style="314" bestFit="1" customWidth="1"/>
    <col min="13318" max="13318" width="11.44140625" style="314" bestFit="1" customWidth="1"/>
    <col min="13319" max="13319" width="12.6640625" style="314" bestFit="1" customWidth="1"/>
    <col min="13320" max="13320" width="12.44140625" style="314" bestFit="1" customWidth="1"/>
    <col min="13321" max="13321" width="10.6640625" style="314" bestFit="1" customWidth="1"/>
    <col min="13322" max="13322" width="19.109375" style="314" bestFit="1" customWidth="1"/>
    <col min="13323" max="13323" width="17.5546875" style="314" bestFit="1" customWidth="1"/>
    <col min="13324" max="13324" width="15" style="314" customWidth="1"/>
    <col min="13325" max="13325" width="16.44140625" style="314" bestFit="1" customWidth="1"/>
    <col min="13326" max="13326" width="18" style="314" customWidth="1"/>
    <col min="13327" max="13569" width="9.109375" style="314"/>
    <col min="13570" max="13570" width="36.88671875" style="314" customWidth="1"/>
    <col min="13571" max="13571" width="9.109375" style="314"/>
    <col min="13572" max="13572" width="10.109375" style="314" bestFit="1" customWidth="1"/>
    <col min="13573" max="13573" width="10.6640625" style="314" bestFit="1" customWidth="1"/>
    <col min="13574" max="13574" width="11.44140625" style="314" bestFit="1" customWidth="1"/>
    <col min="13575" max="13575" width="12.6640625" style="314" bestFit="1" customWidth="1"/>
    <col min="13576" max="13576" width="12.44140625" style="314" bestFit="1" customWidth="1"/>
    <col min="13577" max="13577" width="10.6640625" style="314" bestFit="1" customWidth="1"/>
    <col min="13578" max="13578" width="19.109375" style="314" bestFit="1" customWidth="1"/>
    <col min="13579" max="13579" width="17.5546875" style="314" bestFit="1" customWidth="1"/>
    <col min="13580" max="13580" width="15" style="314" customWidth="1"/>
    <col min="13581" max="13581" width="16.44140625" style="314" bestFit="1" customWidth="1"/>
    <col min="13582" max="13582" width="18" style="314" customWidth="1"/>
    <col min="13583" max="13825" width="9.109375" style="314"/>
    <col min="13826" max="13826" width="36.88671875" style="314" customWidth="1"/>
    <col min="13827" max="13827" width="9.109375" style="314"/>
    <col min="13828" max="13828" width="10.109375" style="314" bestFit="1" customWidth="1"/>
    <col min="13829" max="13829" width="10.6640625" style="314" bestFit="1" customWidth="1"/>
    <col min="13830" max="13830" width="11.44140625" style="314" bestFit="1" customWidth="1"/>
    <col min="13831" max="13831" width="12.6640625" style="314" bestFit="1" customWidth="1"/>
    <col min="13832" max="13832" width="12.44140625" style="314" bestFit="1" customWidth="1"/>
    <col min="13833" max="13833" width="10.6640625" style="314" bestFit="1" customWidth="1"/>
    <col min="13834" max="13834" width="19.109375" style="314" bestFit="1" customWidth="1"/>
    <col min="13835" max="13835" width="17.5546875" style="314" bestFit="1" customWidth="1"/>
    <col min="13836" max="13836" width="15" style="314" customWidth="1"/>
    <col min="13837" max="13837" width="16.44140625" style="314" bestFit="1" customWidth="1"/>
    <col min="13838" max="13838" width="18" style="314" customWidth="1"/>
    <col min="13839" max="14081" width="9.109375" style="314"/>
    <col min="14082" max="14082" width="36.88671875" style="314" customWidth="1"/>
    <col min="14083" max="14083" width="9.109375" style="314"/>
    <col min="14084" max="14084" width="10.109375" style="314" bestFit="1" customWidth="1"/>
    <col min="14085" max="14085" width="10.6640625" style="314" bestFit="1" customWidth="1"/>
    <col min="14086" max="14086" width="11.44140625" style="314" bestFit="1" customWidth="1"/>
    <col min="14087" max="14087" width="12.6640625" style="314" bestFit="1" customWidth="1"/>
    <col min="14088" max="14088" width="12.44140625" style="314" bestFit="1" customWidth="1"/>
    <col min="14089" max="14089" width="10.6640625" style="314" bestFit="1" customWidth="1"/>
    <col min="14090" max="14090" width="19.109375" style="314" bestFit="1" customWidth="1"/>
    <col min="14091" max="14091" width="17.5546875" style="314" bestFit="1" customWidth="1"/>
    <col min="14092" max="14092" width="15" style="314" customWidth="1"/>
    <col min="14093" max="14093" width="16.44140625" style="314" bestFit="1" customWidth="1"/>
    <col min="14094" max="14094" width="18" style="314" customWidth="1"/>
    <col min="14095" max="14337" width="9.109375" style="314"/>
    <col min="14338" max="14338" width="36.88671875" style="314" customWidth="1"/>
    <col min="14339" max="14339" width="9.109375" style="314"/>
    <col min="14340" max="14340" width="10.109375" style="314" bestFit="1" customWidth="1"/>
    <col min="14341" max="14341" width="10.6640625" style="314" bestFit="1" customWidth="1"/>
    <col min="14342" max="14342" width="11.44140625" style="314" bestFit="1" customWidth="1"/>
    <col min="14343" max="14343" width="12.6640625" style="314" bestFit="1" customWidth="1"/>
    <col min="14344" max="14344" width="12.44140625" style="314" bestFit="1" customWidth="1"/>
    <col min="14345" max="14345" width="10.6640625" style="314" bestFit="1" customWidth="1"/>
    <col min="14346" max="14346" width="19.109375" style="314" bestFit="1" customWidth="1"/>
    <col min="14347" max="14347" width="17.5546875" style="314" bestFit="1" customWidth="1"/>
    <col min="14348" max="14348" width="15" style="314" customWidth="1"/>
    <col min="14349" max="14349" width="16.44140625" style="314" bestFit="1" customWidth="1"/>
    <col min="14350" max="14350" width="18" style="314" customWidth="1"/>
    <col min="14351" max="14593" width="9.109375" style="314"/>
    <col min="14594" max="14594" width="36.88671875" style="314" customWidth="1"/>
    <col min="14595" max="14595" width="9.109375" style="314"/>
    <col min="14596" max="14596" width="10.109375" style="314" bestFit="1" customWidth="1"/>
    <col min="14597" max="14597" width="10.6640625" style="314" bestFit="1" customWidth="1"/>
    <col min="14598" max="14598" width="11.44140625" style="314" bestFit="1" customWidth="1"/>
    <col min="14599" max="14599" width="12.6640625" style="314" bestFit="1" customWidth="1"/>
    <col min="14600" max="14600" width="12.44140625" style="314" bestFit="1" customWidth="1"/>
    <col min="14601" max="14601" width="10.6640625" style="314" bestFit="1" customWidth="1"/>
    <col min="14602" max="14602" width="19.109375" style="314" bestFit="1" customWidth="1"/>
    <col min="14603" max="14603" width="17.5546875" style="314" bestFit="1" customWidth="1"/>
    <col min="14604" max="14604" width="15" style="314" customWidth="1"/>
    <col min="14605" max="14605" width="16.44140625" style="314" bestFit="1" customWidth="1"/>
    <col min="14606" max="14606" width="18" style="314" customWidth="1"/>
    <col min="14607" max="14849" width="9.109375" style="314"/>
    <col min="14850" max="14850" width="36.88671875" style="314" customWidth="1"/>
    <col min="14851" max="14851" width="9.109375" style="314"/>
    <col min="14852" max="14852" width="10.109375" style="314" bestFit="1" customWidth="1"/>
    <col min="14853" max="14853" width="10.6640625" style="314" bestFit="1" customWidth="1"/>
    <col min="14854" max="14854" width="11.44140625" style="314" bestFit="1" customWidth="1"/>
    <col min="14855" max="14855" width="12.6640625" style="314" bestFit="1" customWidth="1"/>
    <col min="14856" max="14856" width="12.44140625" style="314" bestFit="1" customWidth="1"/>
    <col min="14857" max="14857" width="10.6640625" style="314" bestFit="1" customWidth="1"/>
    <col min="14858" max="14858" width="19.109375" style="314" bestFit="1" customWidth="1"/>
    <col min="14859" max="14859" width="17.5546875" style="314" bestFit="1" customWidth="1"/>
    <col min="14860" max="14860" width="15" style="314" customWidth="1"/>
    <col min="14861" max="14861" width="16.44140625" style="314" bestFit="1" customWidth="1"/>
    <col min="14862" max="14862" width="18" style="314" customWidth="1"/>
    <col min="14863" max="15105" width="9.109375" style="314"/>
    <col min="15106" max="15106" width="36.88671875" style="314" customWidth="1"/>
    <col min="15107" max="15107" width="9.109375" style="314"/>
    <col min="15108" max="15108" width="10.109375" style="314" bestFit="1" customWidth="1"/>
    <col min="15109" max="15109" width="10.6640625" style="314" bestFit="1" customWidth="1"/>
    <col min="15110" max="15110" width="11.44140625" style="314" bestFit="1" customWidth="1"/>
    <col min="15111" max="15111" width="12.6640625" style="314" bestFit="1" customWidth="1"/>
    <col min="15112" max="15112" width="12.44140625" style="314" bestFit="1" customWidth="1"/>
    <col min="15113" max="15113" width="10.6640625" style="314" bestFit="1" customWidth="1"/>
    <col min="15114" max="15114" width="19.109375" style="314" bestFit="1" customWidth="1"/>
    <col min="15115" max="15115" width="17.5546875" style="314" bestFit="1" customWidth="1"/>
    <col min="15116" max="15116" width="15" style="314" customWidth="1"/>
    <col min="15117" max="15117" width="16.44140625" style="314" bestFit="1" customWidth="1"/>
    <col min="15118" max="15118" width="18" style="314" customWidth="1"/>
    <col min="15119" max="15361" width="9.109375" style="314"/>
    <col min="15362" max="15362" width="36.88671875" style="314" customWidth="1"/>
    <col min="15363" max="15363" width="9.109375" style="314"/>
    <col min="15364" max="15364" width="10.109375" style="314" bestFit="1" customWidth="1"/>
    <col min="15365" max="15365" width="10.6640625" style="314" bestFit="1" customWidth="1"/>
    <col min="15366" max="15366" width="11.44140625" style="314" bestFit="1" customWidth="1"/>
    <col min="15367" max="15367" width="12.6640625" style="314" bestFit="1" customWidth="1"/>
    <col min="15368" max="15368" width="12.44140625" style="314" bestFit="1" customWidth="1"/>
    <col min="15369" max="15369" width="10.6640625" style="314" bestFit="1" customWidth="1"/>
    <col min="15370" max="15370" width="19.109375" style="314" bestFit="1" customWidth="1"/>
    <col min="15371" max="15371" width="17.5546875" style="314" bestFit="1" customWidth="1"/>
    <col min="15372" max="15372" width="15" style="314" customWidth="1"/>
    <col min="15373" max="15373" width="16.44140625" style="314" bestFit="1" customWidth="1"/>
    <col min="15374" max="15374" width="18" style="314" customWidth="1"/>
    <col min="15375" max="15617" width="9.109375" style="314"/>
    <col min="15618" max="15618" width="36.88671875" style="314" customWidth="1"/>
    <col min="15619" max="15619" width="9.109375" style="314"/>
    <col min="15620" max="15620" width="10.109375" style="314" bestFit="1" customWidth="1"/>
    <col min="15621" max="15621" width="10.6640625" style="314" bestFit="1" customWidth="1"/>
    <col min="15622" max="15622" width="11.44140625" style="314" bestFit="1" customWidth="1"/>
    <col min="15623" max="15623" width="12.6640625" style="314" bestFit="1" customWidth="1"/>
    <col min="15624" max="15624" width="12.44140625" style="314" bestFit="1" customWidth="1"/>
    <col min="15625" max="15625" width="10.6640625" style="314" bestFit="1" customWidth="1"/>
    <col min="15626" max="15626" width="19.109375" style="314" bestFit="1" customWidth="1"/>
    <col min="15627" max="15627" width="17.5546875" style="314" bestFit="1" customWidth="1"/>
    <col min="15628" max="15628" width="15" style="314" customWidth="1"/>
    <col min="15629" max="15629" width="16.44140625" style="314" bestFit="1" customWidth="1"/>
    <col min="15630" max="15630" width="18" style="314" customWidth="1"/>
    <col min="15631" max="15873" width="9.109375" style="314"/>
    <col min="15874" max="15874" width="36.88671875" style="314" customWidth="1"/>
    <col min="15875" max="15875" width="9.109375" style="314"/>
    <col min="15876" max="15876" width="10.109375" style="314" bestFit="1" customWidth="1"/>
    <col min="15877" max="15877" width="10.6640625" style="314" bestFit="1" customWidth="1"/>
    <col min="15878" max="15878" width="11.44140625" style="314" bestFit="1" customWidth="1"/>
    <col min="15879" max="15879" width="12.6640625" style="314" bestFit="1" customWidth="1"/>
    <col min="15880" max="15880" width="12.44140625" style="314" bestFit="1" customWidth="1"/>
    <col min="15881" max="15881" width="10.6640625" style="314" bestFit="1" customWidth="1"/>
    <col min="15882" max="15882" width="19.109375" style="314" bestFit="1" customWidth="1"/>
    <col min="15883" max="15883" width="17.5546875" style="314" bestFit="1" customWidth="1"/>
    <col min="15884" max="15884" width="15" style="314" customWidth="1"/>
    <col min="15885" max="15885" width="16.44140625" style="314" bestFit="1" customWidth="1"/>
    <col min="15886" max="15886" width="18" style="314" customWidth="1"/>
    <col min="15887" max="16129" width="9.109375" style="314"/>
    <col min="16130" max="16130" width="36.88671875" style="314" customWidth="1"/>
    <col min="16131" max="16131" width="9.109375" style="314"/>
    <col min="16132" max="16132" width="10.109375" style="314" bestFit="1" customWidth="1"/>
    <col min="16133" max="16133" width="10.6640625" style="314" bestFit="1" customWidth="1"/>
    <col min="16134" max="16134" width="11.44140625" style="314" bestFit="1" customWidth="1"/>
    <col min="16135" max="16135" width="12.6640625" style="314" bestFit="1" customWidth="1"/>
    <col min="16136" max="16136" width="12.44140625" style="314" bestFit="1" customWidth="1"/>
    <col min="16137" max="16137" width="10.6640625" style="314" bestFit="1" customWidth="1"/>
    <col min="16138" max="16138" width="19.109375" style="314" bestFit="1" customWidth="1"/>
    <col min="16139" max="16139" width="17.5546875" style="314" bestFit="1" customWidth="1"/>
    <col min="16140" max="16140" width="15" style="314" customWidth="1"/>
    <col min="16141" max="16141" width="16.44140625" style="314" bestFit="1" customWidth="1"/>
    <col min="16142" max="16142" width="18" style="314" customWidth="1"/>
    <col min="16143" max="16384" width="9.109375" style="314"/>
  </cols>
  <sheetData>
    <row r="1" spans="1:14" ht="12.75" customHeight="1">
      <c r="A1" s="1567" t="s">
        <v>491</v>
      </c>
      <c r="B1" s="1215"/>
      <c r="C1" s="1215"/>
      <c r="D1" s="1215"/>
      <c r="E1" s="1215"/>
      <c r="F1" s="1215"/>
      <c r="G1" s="1215"/>
      <c r="H1" s="1568"/>
      <c r="I1" s="1569" t="s">
        <v>492</v>
      </c>
      <c r="J1" s="1569"/>
      <c r="K1" s="1569"/>
      <c r="L1" s="1569"/>
      <c r="M1" s="1570"/>
      <c r="N1" s="1573" t="s">
        <v>326</v>
      </c>
    </row>
    <row r="2" spans="1:14">
      <c r="A2" s="1361"/>
      <c r="B2" s="1350"/>
      <c r="C2" s="1350"/>
      <c r="D2" s="1350"/>
      <c r="E2" s="1350"/>
      <c r="F2" s="1350"/>
      <c r="G2" s="1350"/>
      <c r="H2" s="1575"/>
      <c r="I2" s="1571"/>
      <c r="J2" s="1571"/>
      <c r="K2" s="1571"/>
      <c r="L2" s="1571"/>
      <c r="M2" s="1572"/>
      <c r="N2" s="1574"/>
    </row>
    <row r="3" spans="1:14">
      <c r="A3" s="749" t="s">
        <v>746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76" t="s">
        <v>493</v>
      </c>
      <c r="J3" s="1577"/>
      <c r="K3" s="1578">
        <f>'F1  Cover'!K8</f>
        <v>1</v>
      </c>
      <c r="L3" s="1579"/>
      <c r="M3" s="1579"/>
      <c r="N3" s="1580"/>
    </row>
    <row r="4" spans="1:14" ht="13.8" thickBot="1">
      <c r="A4" s="1372"/>
      <c r="B4" s="1373"/>
      <c r="C4" s="1373"/>
      <c r="D4" s="1373"/>
      <c r="E4" s="1373"/>
      <c r="F4" s="1373"/>
      <c r="G4" s="1373"/>
      <c r="H4" s="1562"/>
      <c r="I4" s="1563" t="s">
        <v>494</v>
      </c>
      <c r="J4" s="1564"/>
      <c r="K4" s="1565" t="str">
        <f>'F1 Forecast Combined'!E3</f>
        <v>NRA.N.007-040-2024/1F</v>
      </c>
      <c r="L4" s="1565"/>
      <c r="M4" s="1565"/>
      <c r="N4" s="1566"/>
    </row>
    <row r="5" spans="1:14" ht="13.8" thickBot="1">
      <c r="A5" s="599" t="s">
        <v>495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40.200000000000003" thickBot="1">
      <c r="A6" s="638" t="s">
        <v>98</v>
      </c>
      <c r="B6" s="639" t="s">
        <v>0</v>
      </c>
      <c r="C6" s="641" t="s">
        <v>1</v>
      </c>
      <c r="D6" s="647" t="s">
        <v>496</v>
      </c>
      <c r="E6" s="648" t="s">
        <v>497</v>
      </c>
      <c r="F6" s="648" t="s">
        <v>498</v>
      </c>
      <c r="G6" s="648" t="s">
        <v>499</v>
      </c>
      <c r="H6" s="640" t="s">
        <v>500</v>
      </c>
      <c r="I6" s="647" t="s">
        <v>3</v>
      </c>
      <c r="J6" s="648" t="s">
        <v>501</v>
      </c>
      <c r="K6" s="648" t="s">
        <v>502</v>
      </c>
      <c r="L6" s="648" t="s">
        <v>503</v>
      </c>
      <c r="M6" s="648" t="s">
        <v>504</v>
      </c>
      <c r="N6" s="640" t="s">
        <v>505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8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8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8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8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8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8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60" t="s">
        <v>506</v>
      </c>
      <c r="B17" s="1560"/>
      <c r="C17" s="1561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" customHeight="1">
      <c r="A20" s="817" t="s">
        <v>651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" customHeight="1">
      <c r="A21" s="622" t="s">
        <v>653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" customHeight="1" thickBot="1">
      <c r="A22" s="622" t="s">
        <v>652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8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96" priority="2">
      <formula>H9&gt;E9</formula>
    </cfRule>
  </conditionalFormatting>
  <conditionalFormatting sqref="H10">
    <cfRule type="expression" dxfId="2395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735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31.33203125" style="622" customWidth="1"/>
    <col min="259" max="259" width="12.109375" style="622" customWidth="1"/>
    <col min="260" max="262" width="10.109375" style="622" bestFit="1" customWidth="1"/>
    <col min="263" max="263" width="9.6640625" style="622" bestFit="1" customWidth="1"/>
    <col min="264" max="264" width="10.33203125" style="622" bestFit="1" customWidth="1"/>
    <col min="265" max="265" width="11.6640625" style="622" bestFit="1" customWidth="1"/>
    <col min="266" max="267" width="12.88671875" style="622" bestFit="1" customWidth="1"/>
    <col min="268" max="268" width="12.44140625" style="622" customWidth="1"/>
    <col min="269" max="269" width="11.33203125" style="622" bestFit="1" customWidth="1"/>
    <col min="270" max="270" width="11.6640625" style="622" bestFit="1" customWidth="1"/>
    <col min="271" max="513" width="9.109375" style="622"/>
    <col min="514" max="514" width="31.33203125" style="622" customWidth="1"/>
    <col min="515" max="515" width="12.109375" style="622" customWidth="1"/>
    <col min="516" max="518" width="10.109375" style="622" bestFit="1" customWidth="1"/>
    <col min="519" max="519" width="9.6640625" style="622" bestFit="1" customWidth="1"/>
    <col min="520" max="520" width="10.33203125" style="622" bestFit="1" customWidth="1"/>
    <col min="521" max="521" width="11.6640625" style="622" bestFit="1" customWidth="1"/>
    <col min="522" max="523" width="12.88671875" style="622" bestFit="1" customWidth="1"/>
    <col min="524" max="524" width="12.44140625" style="622" customWidth="1"/>
    <col min="525" max="525" width="11.33203125" style="622" bestFit="1" customWidth="1"/>
    <col min="526" max="526" width="11.6640625" style="622" bestFit="1" customWidth="1"/>
    <col min="527" max="769" width="9.109375" style="622"/>
    <col min="770" max="770" width="31.33203125" style="622" customWidth="1"/>
    <col min="771" max="771" width="12.109375" style="622" customWidth="1"/>
    <col min="772" max="774" width="10.109375" style="622" bestFit="1" customWidth="1"/>
    <col min="775" max="775" width="9.6640625" style="622" bestFit="1" customWidth="1"/>
    <col min="776" max="776" width="10.33203125" style="622" bestFit="1" customWidth="1"/>
    <col min="777" max="777" width="11.6640625" style="622" bestFit="1" customWidth="1"/>
    <col min="778" max="779" width="12.88671875" style="622" bestFit="1" customWidth="1"/>
    <col min="780" max="780" width="12.44140625" style="622" customWidth="1"/>
    <col min="781" max="781" width="11.33203125" style="622" bestFit="1" customWidth="1"/>
    <col min="782" max="782" width="11.6640625" style="622" bestFit="1" customWidth="1"/>
    <col min="783" max="1025" width="9.109375" style="622"/>
    <col min="1026" max="1026" width="31.33203125" style="622" customWidth="1"/>
    <col min="1027" max="1027" width="12.109375" style="622" customWidth="1"/>
    <col min="1028" max="1030" width="10.109375" style="622" bestFit="1" customWidth="1"/>
    <col min="1031" max="1031" width="9.6640625" style="622" bestFit="1" customWidth="1"/>
    <col min="1032" max="1032" width="10.33203125" style="622" bestFit="1" customWidth="1"/>
    <col min="1033" max="1033" width="11.6640625" style="622" bestFit="1" customWidth="1"/>
    <col min="1034" max="1035" width="12.88671875" style="622" bestFit="1" customWidth="1"/>
    <col min="1036" max="1036" width="12.44140625" style="622" customWidth="1"/>
    <col min="1037" max="1037" width="11.33203125" style="622" bestFit="1" customWidth="1"/>
    <col min="1038" max="1038" width="11.6640625" style="622" bestFit="1" customWidth="1"/>
    <col min="1039" max="1281" width="9.109375" style="622"/>
    <col min="1282" max="1282" width="31.33203125" style="622" customWidth="1"/>
    <col min="1283" max="1283" width="12.109375" style="622" customWidth="1"/>
    <col min="1284" max="1286" width="10.109375" style="622" bestFit="1" customWidth="1"/>
    <col min="1287" max="1287" width="9.6640625" style="622" bestFit="1" customWidth="1"/>
    <col min="1288" max="1288" width="10.33203125" style="622" bestFit="1" customWidth="1"/>
    <col min="1289" max="1289" width="11.6640625" style="622" bestFit="1" customWidth="1"/>
    <col min="1290" max="1291" width="12.88671875" style="622" bestFit="1" customWidth="1"/>
    <col min="1292" max="1292" width="12.44140625" style="622" customWidth="1"/>
    <col min="1293" max="1293" width="11.33203125" style="622" bestFit="1" customWidth="1"/>
    <col min="1294" max="1294" width="11.6640625" style="622" bestFit="1" customWidth="1"/>
    <col min="1295" max="1537" width="9.109375" style="622"/>
    <col min="1538" max="1538" width="31.33203125" style="622" customWidth="1"/>
    <col min="1539" max="1539" width="12.109375" style="622" customWidth="1"/>
    <col min="1540" max="1542" width="10.109375" style="622" bestFit="1" customWidth="1"/>
    <col min="1543" max="1543" width="9.6640625" style="622" bestFit="1" customWidth="1"/>
    <col min="1544" max="1544" width="10.33203125" style="622" bestFit="1" customWidth="1"/>
    <col min="1545" max="1545" width="11.6640625" style="622" bestFit="1" customWidth="1"/>
    <col min="1546" max="1547" width="12.88671875" style="622" bestFit="1" customWidth="1"/>
    <col min="1548" max="1548" width="12.44140625" style="622" customWidth="1"/>
    <col min="1549" max="1549" width="11.33203125" style="622" bestFit="1" customWidth="1"/>
    <col min="1550" max="1550" width="11.6640625" style="622" bestFit="1" customWidth="1"/>
    <col min="1551" max="1793" width="9.109375" style="622"/>
    <col min="1794" max="1794" width="31.33203125" style="622" customWidth="1"/>
    <col min="1795" max="1795" width="12.109375" style="622" customWidth="1"/>
    <col min="1796" max="1798" width="10.109375" style="622" bestFit="1" customWidth="1"/>
    <col min="1799" max="1799" width="9.6640625" style="622" bestFit="1" customWidth="1"/>
    <col min="1800" max="1800" width="10.33203125" style="622" bestFit="1" customWidth="1"/>
    <col min="1801" max="1801" width="11.6640625" style="622" bestFit="1" customWidth="1"/>
    <col min="1802" max="1803" width="12.88671875" style="622" bestFit="1" customWidth="1"/>
    <col min="1804" max="1804" width="12.44140625" style="622" customWidth="1"/>
    <col min="1805" max="1805" width="11.33203125" style="622" bestFit="1" customWidth="1"/>
    <col min="1806" max="1806" width="11.6640625" style="622" bestFit="1" customWidth="1"/>
    <col min="1807" max="2049" width="9.109375" style="622"/>
    <col min="2050" max="2050" width="31.33203125" style="622" customWidth="1"/>
    <col min="2051" max="2051" width="12.109375" style="622" customWidth="1"/>
    <col min="2052" max="2054" width="10.109375" style="622" bestFit="1" customWidth="1"/>
    <col min="2055" max="2055" width="9.6640625" style="622" bestFit="1" customWidth="1"/>
    <col min="2056" max="2056" width="10.33203125" style="622" bestFit="1" customWidth="1"/>
    <col min="2057" max="2057" width="11.6640625" style="622" bestFit="1" customWidth="1"/>
    <col min="2058" max="2059" width="12.88671875" style="622" bestFit="1" customWidth="1"/>
    <col min="2060" max="2060" width="12.44140625" style="622" customWidth="1"/>
    <col min="2061" max="2061" width="11.33203125" style="622" bestFit="1" customWidth="1"/>
    <col min="2062" max="2062" width="11.6640625" style="622" bestFit="1" customWidth="1"/>
    <col min="2063" max="2305" width="9.109375" style="622"/>
    <col min="2306" max="2306" width="31.33203125" style="622" customWidth="1"/>
    <col min="2307" max="2307" width="12.109375" style="622" customWidth="1"/>
    <col min="2308" max="2310" width="10.109375" style="622" bestFit="1" customWidth="1"/>
    <col min="2311" max="2311" width="9.6640625" style="622" bestFit="1" customWidth="1"/>
    <col min="2312" max="2312" width="10.33203125" style="622" bestFit="1" customWidth="1"/>
    <col min="2313" max="2313" width="11.6640625" style="622" bestFit="1" customWidth="1"/>
    <col min="2314" max="2315" width="12.88671875" style="622" bestFit="1" customWidth="1"/>
    <col min="2316" max="2316" width="12.44140625" style="622" customWidth="1"/>
    <col min="2317" max="2317" width="11.33203125" style="622" bestFit="1" customWidth="1"/>
    <col min="2318" max="2318" width="11.6640625" style="622" bestFit="1" customWidth="1"/>
    <col min="2319" max="2561" width="9.109375" style="622"/>
    <col min="2562" max="2562" width="31.33203125" style="622" customWidth="1"/>
    <col min="2563" max="2563" width="12.109375" style="622" customWidth="1"/>
    <col min="2564" max="2566" width="10.109375" style="622" bestFit="1" customWidth="1"/>
    <col min="2567" max="2567" width="9.6640625" style="622" bestFit="1" customWidth="1"/>
    <col min="2568" max="2568" width="10.33203125" style="622" bestFit="1" customWidth="1"/>
    <col min="2569" max="2569" width="11.6640625" style="622" bestFit="1" customWidth="1"/>
    <col min="2570" max="2571" width="12.88671875" style="622" bestFit="1" customWidth="1"/>
    <col min="2572" max="2572" width="12.44140625" style="622" customWidth="1"/>
    <col min="2573" max="2573" width="11.33203125" style="622" bestFit="1" customWidth="1"/>
    <col min="2574" max="2574" width="11.6640625" style="622" bestFit="1" customWidth="1"/>
    <col min="2575" max="2817" width="9.109375" style="622"/>
    <col min="2818" max="2818" width="31.33203125" style="622" customWidth="1"/>
    <col min="2819" max="2819" width="12.109375" style="622" customWidth="1"/>
    <col min="2820" max="2822" width="10.109375" style="622" bestFit="1" customWidth="1"/>
    <col min="2823" max="2823" width="9.6640625" style="622" bestFit="1" customWidth="1"/>
    <col min="2824" max="2824" width="10.33203125" style="622" bestFit="1" customWidth="1"/>
    <col min="2825" max="2825" width="11.6640625" style="622" bestFit="1" customWidth="1"/>
    <col min="2826" max="2827" width="12.88671875" style="622" bestFit="1" customWidth="1"/>
    <col min="2828" max="2828" width="12.44140625" style="622" customWidth="1"/>
    <col min="2829" max="2829" width="11.33203125" style="622" bestFit="1" customWidth="1"/>
    <col min="2830" max="2830" width="11.6640625" style="622" bestFit="1" customWidth="1"/>
    <col min="2831" max="3073" width="9.109375" style="622"/>
    <col min="3074" max="3074" width="31.33203125" style="622" customWidth="1"/>
    <col min="3075" max="3075" width="12.109375" style="622" customWidth="1"/>
    <col min="3076" max="3078" width="10.109375" style="622" bestFit="1" customWidth="1"/>
    <col min="3079" max="3079" width="9.6640625" style="622" bestFit="1" customWidth="1"/>
    <col min="3080" max="3080" width="10.33203125" style="622" bestFit="1" customWidth="1"/>
    <col min="3081" max="3081" width="11.6640625" style="622" bestFit="1" customWidth="1"/>
    <col min="3082" max="3083" width="12.88671875" style="622" bestFit="1" customWidth="1"/>
    <col min="3084" max="3084" width="12.44140625" style="622" customWidth="1"/>
    <col min="3085" max="3085" width="11.33203125" style="622" bestFit="1" customWidth="1"/>
    <col min="3086" max="3086" width="11.6640625" style="622" bestFit="1" customWidth="1"/>
    <col min="3087" max="3329" width="9.109375" style="622"/>
    <col min="3330" max="3330" width="31.33203125" style="622" customWidth="1"/>
    <col min="3331" max="3331" width="12.109375" style="622" customWidth="1"/>
    <col min="3332" max="3334" width="10.109375" style="622" bestFit="1" customWidth="1"/>
    <col min="3335" max="3335" width="9.6640625" style="622" bestFit="1" customWidth="1"/>
    <col min="3336" max="3336" width="10.33203125" style="622" bestFit="1" customWidth="1"/>
    <col min="3337" max="3337" width="11.6640625" style="622" bestFit="1" customWidth="1"/>
    <col min="3338" max="3339" width="12.88671875" style="622" bestFit="1" customWidth="1"/>
    <col min="3340" max="3340" width="12.44140625" style="622" customWidth="1"/>
    <col min="3341" max="3341" width="11.33203125" style="622" bestFit="1" customWidth="1"/>
    <col min="3342" max="3342" width="11.6640625" style="622" bestFit="1" customWidth="1"/>
    <col min="3343" max="3585" width="9.109375" style="622"/>
    <col min="3586" max="3586" width="31.33203125" style="622" customWidth="1"/>
    <col min="3587" max="3587" width="12.109375" style="622" customWidth="1"/>
    <col min="3588" max="3590" width="10.109375" style="622" bestFit="1" customWidth="1"/>
    <col min="3591" max="3591" width="9.6640625" style="622" bestFit="1" customWidth="1"/>
    <col min="3592" max="3592" width="10.33203125" style="622" bestFit="1" customWidth="1"/>
    <col min="3593" max="3593" width="11.6640625" style="622" bestFit="1" customWidth="1"/>
    <col min="3594" max="3595" width="12.88671875" style="622" bestFit="1" customWidth="1"/>
    <col min="3596" max="3596" width="12.44140625" style="622" customWidth="1"/>
    <col min="3597" max="3597" width="11.33203125" style="622" bestFit="1" customWidth="1"/>
    <col min="3598" max="3598" width="11.6640625" style="622" bestFit="1" customWidth="1"/>
    <col min="3599" max="3841" width="9.109375" style="622"/>
    <col min="3842" max="3842" width="31.33203125" style="622" customWidth="1"/>
    <col min="3843" max="3843" width="12.109375" style="622" customWidth="1"/>
    <col min="3844" max="3846" width="10.109375" style="622" bestFit="1" customWidth="1"/>
    <col min="3847" max="3847" width="9.6640625" style="622" bestFit="1" customWidth="1"/>
    <col min="3848" max="3848" width="10.33203125" style="622" bestFit="1" customWidth="1"/>
    <col min="3849" max="3849" width="11.6640625" style="622" bestFit="1" customWidth="1"/>
    <col min="3850" max="3851" width="12.88671875" style="622" bestFit="1" customWidth="1"/>
    <col min="3852" max="3852" width="12.44140625" style="622" customWidth="1"/>
    <col min="3853" max="3853" width="11.33203125" style="622" bestFit="1" customWidth="1"/>
    <col min="3854" max="3854" width="11.6640625" style="622" bestFit="1" customWidth="1"/>
    <col min="3855" max="4097" width="9.109375" style="622"/>
    <col min="4098" max="4098" width="31.33203125" style="622" customWidth="1"/>
    <col min="4099" max="4099" width="12.109375" style="622" customWidth="1"/>
    <col min="4100" max="4102" width="10.109375" style="622" bestFit="1" customWidth="1"/>
    <col min="4103" max="4103" width="9.6640625" style="622" bestFit="1" customWidth="1"/>
    <col min="4104" max="4104" width="10.33203125" style="622" bestFit="1" customWidth="1"/>
    <col min="4105" max="4105" width="11.6640625" style="622" bestFit="1" customWidth="1"/>
    <col min="4106" max="4107" width="12.88671875" style="622" bestFit="1" customWidth="1"/>
    <col min="4108" max="4108" width="12.44140625" style="622" customWidth="1"/>
    <col min="4109" max="4109" width="11.33203125" style="622" bestFit="1" customWidth="1"/>
    <col min="4110" max="4110" width="11.6640625" style="622" bestFit="1" customWidth="1"/>
    <col min="4111" max="4353" width="9.109375" style="622"/>
    <col min="4354" max="4354" width="31.33203125" style="622" customWidth="1"/>
    <col min="4355" max="4355" width="12.109375" style="622" customWidth="1"/>
    <col min="4356" max="4358" width="10.109375" style="622" bestFit="1" customWidth="1"/>
    <col min="4359" max="4359" width="9.6640625" style="622" bestFit="1" customWidth="1"/>
    <col min="4360" max="4360" width="10.33203125" style="622" bestFit="1" customWidth="1"/>
    <col min="4361" max="4361" width="11.6640625" style="622" bestFit="1" customWidth="1"/>
    <col min="4362" max="4363" width="12.88671875" style="622" bestFit="1" customWidth="1"/>
    <col min="4364" max="4364" width="12.44140625" style="622" customWidth="1"/>
    <col min="4365" max="4365" width="11.33203125" style="622" bestFit="1" customWidth="1"/>
    <col min="4366" max="4366" width="11.6640625" style="622" bestFit="1" customWidth="1"/>
    <col min="4367" max="4609" width="9.109375" style="622"/>
    <col min="4610" max="4610" width="31.33203125" style="622" customWidth="1"/>
    <col min="4611" max="4611" width="12.109375" style="622" customWidth="1"/>
    <col min="4612" max="4614" width="10.109375" style="622" bestFit="1" customWidth="1"/>
    <col min="4615" max="4615" width="9.6640625" style="622" bestFit="1" customWidth="1"/>
    <col min="4616" max="4616" width="10.33203125" style="622" bestFit="1" customWidth="1"/>
    <col min="4617" max="4617" width="11.6640625" style="622" bestFit="1" customWidth="1"/>
    <col min="4618" max="4619" width="12.88671875" style="622" bestFit="1" customWidth="1"/>
    <col min="4620" max="4620" width="12.44140625" style="622" customWidth="1"/>
    <col min="4621" max="4621" width="11.33203125" style="622" bestFit="1" customWidth="1"/>
    <col min="4622" max="4622" width="11.6640625" style="622" bestFit="1" customWidth="1"/>
    <col min="4623" max="4865" width="9.109375" style="622"/>
    <col min="4866" max="4866" width="31.33203125" style="622" customWidth="1"/>
    <col min="4867" max="4867" width="12.109375" style="622" customWidth="1"/>
    <col min="4868" max="4870" width="10.109375" style="622" bestFit="1" customWidth="1"/>
    <col min="4871" max="4871" width="9.6640625" style="622" bestFit="1" customWidth="1"/>
    <col min="4872" max="4872" width="10.33203125" style="622" bestFit="1" customWidth="1"/>
    <col min="4873" max="4873" width="11.6640625" style="622" bestFit="1" customWidth="1"/>
    <col min="4874" max="4875" width="12.88671875" style="622" bestFit="1" customWidth="1"/>
    <col min="4876" max="4876" width="12.44140625" style="622" customWidth="1"/>
    <col min="4877" max="4877" width="11.33203125" style="622" bestFit="1" customWidth="1"/>
    <col min="4878" max="4878" width="11.6640625" style="622" bestFit="1" customWidth="1"/>
    <col min="4879" max="5121" width="9.109375" style="622"/>
    <col min="5122" max="5122" width="31.33203125" style="622" customWidth="1"/>
    <col min="5123" max="5123" width="12.109375" style="622" customWidth="1"/>
    <col min="5124" max="5126" width="10.109375" style="622" bestFit="1" customWidth="1"/>
    <col min="5127" max="5127" width="9.6640625" style="622" bestFit="1" customWidth="1"/>
    <col min="5128" max="5128" width="10.33203125" style="622" bestFit="1" customWidth="1"/>
    <col min="5129" max="5129" width="11.6640625" style="622" bestFit="1" customWidth="1"/>
    <col min="5130" max="5131" width="12.88671875" style="622" bestFit="1" customWidth="1"/>
    <col min="5132" max="5132" width="12.44140625" style="622" customWidth="1"/>
    <col min="5133" max="5133" width="11.33203125" style="622" bestFit="1" customWidth="1"/>
    <col min="5134" max="5134" width="11.6640625" style="622" bestFit="1" customWidth="1"/>
    <col min="5135" max="5377" width="9.109375" style="622"/>
    <col min="5378" max="5378" width="31.33203125" style="622" customWidth="1"/>
    <col min="5379" max="5379" width="12.109375" style="622" customWidth="1"/>
    <col min="5380" max="5382" width="10.109375" style="622" bestFit="1" customWidth="1"/>
    <col min="5383" max="5383" width="9.6640625" style="622" bestFit="1" customWidth="1"/>
    <col min="5384" max="5384" width="10.33203125" style="622" bestFit="1" customWidth="1"/>
    <col min="5385" max="5385" width="11.6640625" style="622" bestFit="1" customWidth="1"/>
    <col min="5386" max="5387" width="12.88671875" style="622" bestFit="1" customWidth="1"/>
    <col min="5388" max="5388" width="12.44140625" style="622" customWidth="1"/>
    <col min="5389" max="5389" width="11.33203125" style="622" bestFit="1" customWidth="1"/>
    <col min="5390" max="5390" width="11.6640625" style="622" bestFit="1" customWidth="1"/>
    <col min="5391" max="5633" width="9.109375" style="622"/>
    <col min="5634" max="5634" width="31.33203125" style="622" customWidth="1"/>
    <col min="5635" max="5635" width="12.109375" style="622" customWidth="1"/>
    <col min="5636" max="5638" width="10.109375" style="622" bestFit="1" customWidth="1"/>
    <col min="5639" max="5639" width="9.6640625" style="622" bestFit="1" customWidth="1"/>
    <col min="5640" max="5640" width="10.33203125" style="622" bestFit="1" customWidth="1"/>
    <col min="5641" max="5641" width="11.6640625" style="622" bestFit="1" customWidth="1"/>
    <col min="5642" max="5643" width="12.88671875" style="622" bestFit="1" customWidth="1"/>
    <col min="5644" max="5644" width="12.44140625" style="622" customWidth="1"/>
    <col min="5645" max="5645" width="11.33203125" style="622" bestFit="1" customWidth="1"/>
    <col min="5646" max="5646" width="11.6640625" style="622" bestFit="1" customWidth="1"/>
    <col min="5647" max="5889" width="9.109375" style="622"/>
    <col min="5890" max="5890" width="31.33203125" style="622" customWidth="1"/>
    <col min="5891" max="5891" width="12.109375" style="622" customWidth="1"/>
    <col min="5892" max="5894" width="10.109375" style="622" bestFit="1" customWidth="1"/>
    <col min="5895" max="5895" width="9.6640625" style="622" bestFit="1" customWidth="1"/>
    <col min="5896" max="5896" width="10.33203125" style="622" bestFit="1" customWidth="1"/>
    <col min="5897" max="5897" width="11.6640625" style="622" bestFit="1" customWidth="1"/>
    <col min="5898" max="5899" width="12.88671875" style="622" bestFit="1" customWidth="1"/>
    <col min="5900" max="5900" width="12.44140625" style="622" customWidth="1"/>
    <col min="5901" max="5901" width="11.33203125" style="622" bestFit="1" customWidth="1"/>
    <col min="5902" max="5902" width="11.6640625" style="622" bestFit="1" customWidth="1"/>
    <col min="5903" max="6145" width="9.109375" style="622"/>
    <col min="6146" max="6146" width="31.33203125" style="622" customWidth="1"/>
    <col min="6147" max="6147" width="12.109375" style="622" customWidth="1"/>
    <col min="6148" max="6150" width="10.109375" style="622" bestFit="1" customWidth="1"/>
    <col min="6151" max="6151" width="9.6640625" style="622" bestFit="1" customWidth="1"/>
    <col min="6152" max="6152" width="10.33203125" style="622" bestFit="1" customWidth="1"/>
    <col min="6153" max="6153" width="11.6640625" style="622" bestFit="1" customWidth="1"/>
    <col min="6154" max="6155" width="12.88671875" style="622" bestFit="1" customWidth="1"/>
    <col min="6156" max="6156" width="12.44140625" style="622" customWidth="1"/>
    <col min="6157" max="6157" width="11.33203125" style="622" bestFit="1" customWidth="1"/>
    <col min="6158" max="6158" width="11.6640625" style="622" bestFit="1" customWidth="1"/>
    <col min="6159" max="6401" width="9.109375" style="622"/>
    <col min="6402" max="6402" width="31.33203125" style="622" customWidth="1"/>
    <col min="6403" max="6403" width="12.109375" style="622" customWidth="1"/>
    <col min="6404" max="6406" width="10.109375" style="622" bestFit="1" customWidth="1"/>
    <col min="6407" max="6407" width="9.6640625" style="622" bestFit="1" customWidth="1"/>
    <col min="6408" max="6408" width="10.33203125" style="622" bestFit="1" customWidth="1"/>
    <col min="6409" max="6409" width="11.6640625" style="622" bestFit="1" customWidth="1"/>
    <col min="6410" max="6411" width="12.88671875" style="622" bestFit="1" customWidth="1"/>
    <col min="6412" max="6412" width="12.44140625" style="622" customWidth="1"/>
    <col min="6413" max="6413" width="11.33203125" style="622" bestFit="1" customWidth="1"/>
    <col min="6414" max="6414" width="11.6640625" style="622" bestFit="1" customWidth="1"/>
    <col min="6415" max="6657" width="9.109375" style="622"/>
    <col min="6658" max="6658" width="31.33203125" style="622" customWidth="1"/>
    <col min="6659" max="6659" width="12.109375" style="622" customWidth="1"/>
    <col min="6660" max="6662" width="10.109375" style="622" bestFit="1" customWidth="1"/>
    <col min="6663" max="6663" width="9.6640625" style="622" bestFit="1" customWidth="1"/>
    <col min="6664" max="6664" width="10.33203125" style="622" bestFit="1" customWidth="1"/>
    <col min="6665" max="6665" width="11.6640625" style="622" bestFit="1" customWidth="1"/>
    <col min="6666" max="6667" width="12.88671875" style="622" bestFit="1" customWidth="1"/>
    <col min="6668" max="6668" width="12.44140625" style="622" customWidth="1"/>
    <col min="6669" max="6669" width="11.33203125" style="622" bestFit="1" customWidth="1"/>
    <col min="6670" max="6670" width="11.6640625" style="622" bestFit="1" customWidth="1"/>
    <col min="6671" max="6913" width="9.109375" style="622"/>
    <col min="6914" max="6914" width="31.33203125" style="622" customWidth="1"/>
    <col min="6915" max="6915" width="12.109375" style="622" customWidth="1"/>
    <col min="6916" max="6918" width="10.109375" style="622" bestFit="1" customWidth="1"/>
    <col min="6919" max="6919" width="9.6640625" style="622" bestFit="1" customWidth="1"/>
    <col min="6920" max="6920" width="10.33203125" style="622" bestFit="1" customWidth="1"/>
    <col min="6921" max="6921" width="11.6640625" style="622" bestFit="1" customWidth="1"/>
    <col min="6922" max="6923" width="12.88671875" style="622" bestFit="1" customWidth="1"/>
    <col min="6924" max="6924" width="12.44140625" style="622" customWidth="1"/>
    <col min="6925" max="6925" width="11.33203125" style="622" bestFit="1" customWidth="1"/>
    <col min="6926" max="6926" width="11.6640625" style="622" bestFit="1" customWidth="1"/>
    <col min="6927" max="7169" width="9.109375" style="622"/>
    <col min="7170" max="7170" width="31.33203125" style="622" customWidth="1"/>
    <col min="7171" max="7171" width="12.109375" style="622" customWidth="1"/>
    <col min="7172" max="7174" width="10.109375" style="622" bestFit="1" customWidth="1"/>
    <col min="7175" max="7175" width="9.6640625" style="622" bestFit="1" customWidth="1"/>
    <col min="7176" max="7176" width="10.33203125" style="622" bestFit="1" customWidth="1"/>
    <col min="7177" max="7177" width="11.6640625" style="622" bestFit="1" customWidth="1"/>
    <col min="7178" max="7179" width="12.88671875" style="622" bestFit="1" customWidth="1"/>
    <col min="7180" max="7180" width="12.44140625" style="622" customWidth="1"/>
    <col min="7181" max="7181" width="11.33203125" style="622" bestFit="1" customWidth="1"/>
    <col min="7182" max="7182" width="11.6640625" style="622" bestFit="1" customWidth="1"/>
    <col min="7183" max="7425" width="9.109375" style="622"/>
    <col min="7426" max="7426" width="31.33203125" style="622" customWidth="1"/>
    <col min="7427" max="7427" width="12.109375" style="622" customWidth="1"/>
    <col min="7428" max="7430" width="10.109375" style="622" bestFit="1" customWidth="1"/>
    <col min="7431" max="7431" width="9.6640625" style="622" bestFit="1" customWidth="1"/>
    <col min="7432" max="7432" width="10.33203125" style="622" bestFit="1" customWidth="1"/>
    <col min="7433" max="7433" width="11.6640625" style="622" bestFit="1" customWidth="1"/>
    <col min="7434" max="7435" width="12.88671875" style="622" bestFit="1" customWidth="1"/>
    <col min="7436" max="7436" width="12.44140625" style="622" customWidth="1"/>
    <col min="7437" max="7437" width="11.33203125" style="622" bestFit="1" customWidth="1"/>
    <col min="7438" max="7438" width="11.6640625" style="622" bestFit="1" customWidth="1"/>
    <col min="7439" max="7681" width="9.109375" style="622"/>
    <col min="7682" max="7682" width="31.33203125" style="622" customWidth="1"/>
    <col min="7683" max="7683" width="12.109375" style="622" customWidth="1"/>
    <col min="7684" max="7686" width="10.109375" style="622" bestFit="1" customWidth="1"/>
    <col min="7687" max="7687" width="9.6640625" style="622" bestFit="1" customWidth="1"/>
    <col min="7688" max="7688" width="10.33203125" style="622" bestFit="1" customWidth="1"/>
    <col min="7689" max="7689" width="11.6640625" style="622" bestFit="1" customWidth="1"/>
    <col min="7690" max="7691" width="12.88671875" style="622" bestFit="1" customWidth="1"/>
    <col min="7692" max="7692" width="12.44140625" style="622" customWidth="1"/>
    <col min="7693" max="7693" width="11.33203125" style="622" bestFit="1" customWidth="1"/>
    <col min="7694" max="7694" width="11.6640625" style="622" bestFit="1" customWidth="1"/>
    <col min="7695" max="7937" width="9.109375" style="622"/>
    <col min="7938" max="7938" width="31.33203125" style="622" customWidth="1"/>
    <col min="7939" max="7939" width="12.109375" style="622" customWidth="1"/>
    <col min="7940" max="7942" width="10.109375" style="622" bestFit="1" customWidth="1"/>
    <col min="7943" max="7943" width="9.6640625" style="622" bestFit="1" customWidth="1"/>
    <col min="7944" max="7944" width="10.33203125" style="622" bestFit="1" customWidth="1"/>
    <col min="7945" max="7945" width="11.6640625" style="622" bestFit="1" customWidth="1"/>
    <col min="7946" max="7947" width="12.88671875" style="622" bestFit="1" customWidth="1"/>
    <col min="7948" max="7948" width="12.44140625" style="622" customWidth="1"/>
    <col min="7949" max="7949" width="11.33203125" style="622" bestFit="1" customWidth="1"/>
    <col min="7950" max="7950" width="11.6640625" style="622" bestFit="1" customWidth="1"/>
    <col min="7951" max="8193" width="9.109375" style="622"/>
    <col min="8194" max="8194" width="31.33203125" style="622" customWidth="1"/>
    <col min="8195" max="8195" width="12.109375" style="622" customWidth="1"/>
    <col min="8196" max="8198" width="10.109375" style="622" bestFit="1" customWidth="1"/>
    <col min="8199" max="8199" width="9.6640625" style="622" bestFit="1" customWidth="1"/>
    <col min="8200" max="8200" width="10.33203125" style="622" bestFit="1" customWidth="1"/>
    <col min="8201" max="8201" width="11.6640625" style="622" bestFit="1" customWidth="1"/>
    <col min="8202" max="8203" width="12.88671875" style="622" bestFit="1" customWidth="1"/>
    <col min="8204" max="8204" width="12.44140625" style="622" customWidth="1"/>
    <col min="8205" max="8205" width="11.33203125" style="622" bestFit="1" customWidth="1"/>
    <col min="8206" max="8206" width="11.6640625" style="622" bestFit="1" customWidth="1"/>
    <col min="8207" max="8449" width="9.109375" style="622"/>
    <col min="8450" max="8450" width="31.33203125" style="622" customWidth="1"/>
    <col min="8451" max="8451" width="12.109375" style="622" customWidth="1"/>
    <col min="8452" max="8454" width="10.109375" style="622" bestFit="1" customWidth="1"/>
    <col min="8455" max="8455" width="9.6640625" style="622" bestFit="1" customWidth="1"/>
    <col min="8456" max="8456" width="10.33203125" style="622" bestFit="1" customWidth="1"/>
    <col min="8457" max="8457" width="11.6640625" style="622" bestFit="1" customWidth="1"/>
    <col min="8458" max="8459" width="12.88671875" style="622" bestFit="1" customWidth="1"/>
    <col min="8460" max="8460" width="12.44140625" style="622" customWidth="1"/>
    <col min="8461" max="8461" width="11.33203125" style="622" bestFit="1" customWidth="1"/>
    <col min="8462" max="8462" width="11.6640625" style="622" bestFit="1" customWidth="1"/>
    <col min="8463" max="8705" width="9.109375" style="622"/>
    <col min="8706" max="8706" width="31.33203125" style="622" customWidth="1"/>
    <col min="8707" max="8707" width="12.109375" style="622" customWidth="1"/>
    <col min="8708" max="8710" width="10.109375" style="622" bestFit="1" customWidth="1"/>
    <col min="8711" max="8711" width="9.6640625" style="622" bestFit="1" customWidth="1"/>
    <col min="8712" max="8712" width="10.33203125" style="622" bestFit="1" customWidth="1"/>
    <col min="8713" max="8713" width="11.6640625" style="622" bestFit="1" customWidth="1"/>
    <col min="8714" max="8715" width="12.88671875" style="622" bestFit="1" customWidth="1"/>
    <col min="8716" max="8716" width="12.44140625" style="622" customWidth="1"/>
    <col min="8717" max="8717" width="11.33203125" style="622" bestFit="1" customWidth="1"/>
    <col min="8718" max="8718" width="11.6640625" style="622" bestFit="1" customWidth="1"/>
    <col min="8719" max="8961" width="9.109375" style="622"/>
    <col min="8962" max="8962" width="31.33203125" style="622" customWidth="1"/>
    <col min="8963" max="8963" width="12.109375" style="622" customWidth="1"/>
    <col min="8964" max="8966" width="10.109375" style="622" bestFit="1" customWidth="1"/>
    <col min="8967" max="8967" width="9.6640625" style="622" bestFit="1" customWidth="1"/>
    <col min="8968" max="8968" width="10.33203125" style="622" bestFit="1" customWidth="1"/>
    <col min="8969" max="8969" width="11.6640625" style="622" bestFit="1" customWidth="1"/>
    <col min="8970" max="8971" width="12.88671875" style="622" bestFit="1" customWidth="1"/>
    <col min="8972" max="8972" width="12.44140625" style="622" customWidth="1"/>
    <col min="8973" max="8973" width="11.33203125" style="622" bestFit="1" customWidth="1"/>
    <col min="8974" max="8974" width="11.6640625" style="622" bestFit="1" customWidth="1"/>
    <col min="8975" max="9217" width="9.109375" style="622"/>
    <col min="9218" max="9218" width="31.33203125" style="622" customWidth="1"/>
    <col min="9219" max="9219" width="12.109375" style="622" customWidth="1"/>
    <col min="9220" max="9222" width="10.109375" style="622" bestFit="1" customWidth="1"/>
    <col min="9223" max="9223" width="9.6640625" style="622" bestFit="1" customWidth="1"/>
    <col min="9224" max="9224" width="10.33203125" style="622" bestFit="1" customWidth="1"/>
    <col min="9225" max="9225" width="11.6640625" style="622" bestFit="1" customWidth="1"/>
    <col min="9226" max="9227" width="12.88671875" style="622" bestFit="1" customWidth="1"/>
    <col min="9228" max="9228" width="12.44140625" style="622" customWidth="1"/>
    <col min="9229" max="9229" width="11.33203125" style="622" bestFit="1" customWidth="1"/>
    <col min="9230" max="9230" width="11.6640625" style="622" bestFit="1" customWidth="1"/>
    <col min="9231" max="9473" width="9.109375" style="622"/>
    <col min="9474" max="9474" width="31.33203125" style="622" customWidth="1"/>
    <col min="9475" max="9475" width="12.109375" style="622" customWidth="1"/>
    <col min="9476" max="9478" width="10.109375" style="622" bestFit="1" customWidth="1"/>
    <col min="9479" max="9479" width="9.6640625" style="622" bestFit="1" customWidth="1"/>
    <col min="9480" max="9480" width="10.33203125" style="622" bestFit="1" customWidth="1"/>
    <col min="9481" max="9481" width="11.6640625" style="622" bestFit="1" customWidth="1"/>
    <col min="9482" max="9483" width="12.88671875" style="622" bestFit="1" customWidth="1"/>
    <col min="9484" max="9484" width="12.44140625" style="622" customWidth="1"/>
    <col min="9485" max="9485" width="11.33203125" style="622" bestFit="1" customWidth="1"/>
    <col min="9486" max="9486" width="11.6640625" style="622" bestFit="1" customWidth="1"/>
    <col min="9487" max="9729" width="9.109375" style="622"/>
    <col min="9730" max="9730" width="31.33203125" style="622" customWidth="1"/>
    <col min="9731" max="9731" width="12.109375" style="622" customWidth="1"/>
    <col min="9732" max="9734" width="10.109375" style="622" bestFit="1" customWidth="1"/>
    <col min="9735" max="9735" width="9.6640625" style="622" bestFit="1" customWidth="1"/>
    <col min="9736" max="9736" width="10.33203125" style="622" bestFit="1" customWidth="1"/>
    <col min="9737" max="9737" width="11.6640625" style="622" bestFit="1" customWidth="1"/>
    <col min="9738" max="9739" width="12.88671875" style="622" bestFit="1" customWidth="1"/>
    <col min="9740" max="9740" width="12.44140625" style="622" customWidth="1"/>
    <col min="9741" max="9741" width="11.33203125" style="622" bestFit="1" customWidth="1"/>
    <col min="9742" max="9742" width="11.6640625" style="622" bestFit="1" customWidth="1"/>
    <col min="9743" max="9985" width="9.109375" style="622"/>
    <col min="9986" max="9986" width="31.33203125" style="622" customWidth="1"/>
    <col min="9987" max="9987" width="12.109375" style="622" customWidth="1"/>
    <col min="9988" max="9990" width="10.109375" style="622" bestFit="1" customWidth="1"/>
    <col min="9991" max="9991" width="9.6640625" style="622" bestFit="1" customWidth="1"/>
    <col min="9992" max="9992" width="10.33203125" style="622" bestFit="1" customWidth="1"/>
    <col min="9993" max="9993" width="11.6640625" style="622" bestFit="1" customWidth="1"/>
    <col min="9994" max="9995" width="12.88671875" style="622" bestFit="1" customWidth="1"/>
    <col min="9996" max="9996" width="12.44140625" style="622" customWidth="1"/>
    <col min="9997" max="9997" width="11.33203125" style="622" bestFit="1" customWidth="1"/>
    <col min="9998" max="9998" width="11.6640625" style="622" bestFit="1" customWidth="1"/>
    <col min="9999" max="10241" width="9.109375" style="622"/>
    <col min="10242" max="10242" width="31.33203125" style="622" customWidth="1"/>
    <col min="10243" max="10243" width="12.109375" style="622" customWidth="1"/>
    <col min="10244" max="10246" width="10.109375" style="622" bestFit="1" customWidth="1"/>
    <col min="10247" max="10247" width="9.6640625" style="622" bestFit="1" customWidth="1"/>
    <col min="10248" max="10248" width="10.33203125" style="622" bestFit="1" customWidth="1"/>
    <col min="10249" max="10249" width="11.6640625" style="622" bestFit="1" customWidth="1"/>
    <col min="10250" max="10251" width="12.88671875" style="622" bestFit="1" customWidth="1"/>
    <col min="10252" max="10252" width="12.44140625" style="622" customWidth="1"/>
    <col min="10253" max="10253" width="11.33203125" style="622" bestFit="1" customWidth="1"/>
    <col min="10254" max="10254" width="11.6640625" style="622" bestFit="1" customWidth="1"/>
    <col min="10255" max="10497" width="9.109375" style="622"/>
    <col min="10498" max="10498" width="31.33203125" style="622" customWidth="1"/>
    <col min="10499" max="10499" width="12.109375" style="622" customWidth="1"/>
    <col min="10500" max="10502" width="10.109375" style="622" bestFit="1" customWidth="1"/>
    <col min="10503" max="10503" width="9.6640625" style="622" bestFit="1" customWidth="1"/>
    <col min="10504" max="10504" width="10.33203125" style="622" bestFit="1" customWidth="1"/>
    <col min="10505" max="10505" width="11.6640625" style="622" bestFit="1" customWidth="1"/>
    <col min="10506" max="10507" width="12.88671875" style="622" bestFit="1" customWidth="1"/>
    <col min="10508" max="10508" width="12.44140625" style="622" customWidth="1"/>
    <col min="10509" max="10509" width="11.33203125" style="622" bestFit="1" customWidth="1"/>
    <col min="10510" max="10510" width="11.6640625" style="622" bestFit="1" customWidth="1"/>
    <col min="10511" max="10753" width="9.109375" style="622"/>
    <col min="10754" max="10754" width="31.33203125" style="622" customWidth="1"/>
    <col min="10755" max="10755" width="12.109375" style="622" customWidth="1"/>
    <col min="10756" max="10758" width="10.109375" style="622" bestFit="1" customWidth="1"/>
    <col min="10759" max="10759" width="9.6640625" style="622" bestFit="1" customWidth="1"/>
    <col min="10760" max="10760" width="10.33203125" style="622" bestFit="1" customWidth="1"/>
    <col min="10761" max="10761" width="11.6640625" style="622" bestFit="1" customWidth="1"/>
    <col min="10762" max="10763" width="12.88671875" style="622" bestFit="1" customWidth="1"/>
    <col min="10764" max="10764" width="12.44140625" style="622" customWidth="1"/>
    <col min="10765" max="10765" width="11.33203125" style="622" bestFit="1" customWidth="1"/>
    <col min="10766" max="10766" width="11.6640625" style="622" bestFit="1" customWidth="1"/>
    <col min="10767" max="11009" width="9.109375" style="622"/>
    <col min="11010" max="11010" width="31.33203125" style="622" customWidth="1"/>
    <col min="11011" max="11011" width="12.109375" style="622" customWidth="1"/>
    <col min="11012" max="11014" width="10.109375" style="622" bestFit="1" customWidth="1"/>
    <col min="11015" max="11015" width="9.6640625" style="622" bestFit="1" customWidth="1"/>
    <col min="11016" max="11016" width="10.33203125" style="622" bestFit="1" customWidth="1"/>
    <col min="11017" max="11017" width="11.6640625" style="622" bestFit="1" customWidth="1"/>
    <col min="11018" max="11019" width="12.88671875" style="622" bestFit="1" customWidth="1"/>
    <col min="11020" max="11020" width="12.44140625" style="622" customWidth="1"/>
    <col min="11021" max="11021" width="11.33203125" style="622" bestFit="1" customWidth="1"/>
    <col min="11022" max="11022" width="11.6640625" style="622" bestFit="1" customWidth="1"/>
    <col min="11023" max="11265" width="9.109375" style="622"/>
    <col min="11266" max="11266" width="31.33203125" style="622" customWidth="1"/>
    <col min="11267" max="11267" width="12.109375" style="622" customWidth="1"/>
    <col min="11268" max="11270" width="10.109375" style="622" bestFit="1" customWidth="1"/>
    <col min="11271" max="11271" width="9.6640625" style="622" bestFit="1" customWidth="1"/>
    <col min="11272" max="11272" width="10.33203125" style="622" bestFit="1" customWidth="1"/>
    <col min="11273" max="11273" width="11.6640625" style="622" bestFit="1" customWidth="1"/>
    <col min="11274" max="11275" width="12.88671875" style="622" bestFit="1" customWidth="1"/>
    <col min="11276" max="11276" width="12.44140625" style="622" customWidth="1"/>
    <col min="11277" max="11277" width="11.33203125" style="622" bestFit="1" customWidth="1"/>
    <col min="11278" max="11278" width="11.6640625" style="622" bestFit="1" customWidth="1"/>
    <col min="11279" max="11521" width="9.109375" style="622"/>
    <col min="11522" max="11522" width="31.33203125" style="622" customWidth="1"/>
    <col min="11523" max="11523" width="12.109375" style="622" customWidth="1"/>
    <col min="11524" max="11526" width="10.109375" style="622" bestFit="1" customWidth="1"/>
    <col min="11527" max="11527" width="9.6640625" style="622" bestFit="1" customWidth="1"/>
    <col min="11528" max="11528" width="10.33203125" style="622" bestFit="1" customWidth="1"/>
    <col min="11529" max="11529" width="11.6640625" style="622" bestFit="1" customWidth="1"/>
    <col min="11530" max="11531" width="12.88671875" style="622" bestFit="1" customWidth="1"/>
    <col min="11532" max="11532" width="12.44140625" style="622" customWidth="1"/>
    <col min="11533" max="11533" width="11.33203125" style="622" bestFit="1" customWidth="1"/>
    <col min="11534" max="11534" width="11.6640625" style="622" bestFit="1" customWidth="1"/>
    <col min="11535" max="11777" width="9.109375" style="622"/>
    <col min="11778" max="11778" width="31.33203125" style="622" customWidth="1"/>
    <col min="11779" max="11779" width="12.109375" style="622" customWidth="1"/>
    <col min="11780" max="11782" width="10.109375" style="622" bestFit="1" customWidth="1"/>
    <col min="11783" max="11783" width="9.6640625" style="622" bestFit="1" customWidth="1"/>
    <col min="11784" max="11784" width="10.33203125" style="622" bestFit="1" customWidth="1"/>
    <col min="11785" max="11785" width="11.6640625" style="622" bestFit="1" customWidth="1"/>
    <col min="11786" max="11787" width="12.88671875" style="622" bestFit="1" customWidth="1"/>
    <col min="11788" max="11788" width="12.44140625" style="622" customWidth="1"/>
    <col min="11789" max="11789" width="11.33203125" style="622" bestFit="1" customWidth="1"/>
    <col min="11790" max="11790" width="11.6640625" style="622" bestFit="1" customWidth="1"/>
    <col min="11791" max="12033" width="9.109375" style="622"/>
    <col min="12034" max="12034" width="31.33203125" style="622" customWidth="1"/>
    <col min="12035" max="12035" width="12.109375" style="622" customWidth="1"/>
    <col min="12036" max="12038" width="10.109375" style="622" bestFit="1" customWidth="1"/>
    <col min="12039" max="12039" width="9.6640625" style="622" bestFit="1" customWidth="1"/>
    <col min="12040" max="12040" width="10.33203125" style="622" bestFit="1" customWidth="1"/>
    <col min="12041" max="12041" width="11.6640625" style="622" bestFit="1" customWidth="1"/>
    <col min="12042" max="12043" width="12.88671875" style="622" bestFit="1" customWidth="1"/>
    <col min="12044" max="12044" width="12.44140625" style="622" customWidth="1"/>
    <col min="12045" max="12045" width="11.33203125" style="622" bestFit="1" customWidth="1"/>
    <col min="12046" max="12046" width="11.6640625" style="622" bestFit="1" customWidth="1"/>
    <col min="12047" max="12289" width="9.109375" style="622"/>
    <col min="12290" max="12290" width="31.33203125" style="622" customWidth="1"/>
    <col min="12291" max="12291" width="12.109375" style="622" customWidth="1"/>
    <col min="12292" max="12294" width="10.109375" style="622" bestFit="1" customWidth="1"/>
    <col min="12295" max="12295" width="9.6640625" style="622" bestFit="1" customWidth="1"/>
    <col min="12296" max="12296" width="10.33203125" style="622" bestFit="1" customWidth="1"/>
    <col min="12297" max="12297" width="11.6640625" style="622" bestFit="1" customWidth="1"/>
    <col min="12298" max="12299" width="12.88671875" style="622" bestFit="1" customWidth="1"/>
    <col min="12300" max="12300" width="12.44140625" style="622" customWidth="1"/>
    <col min="12301" max="12301" width="11.33203125" style="622" bestFit="1" customWidth="1"/>
    <col min="12302" max="12302" width="11.6640625" style="622" bestFit="1" customWidth="1"/>
    <col min="12303" max="12545" width="9.109375" style="622"/>
    <col min="12546" max="12546" width="31.33203125" style="622" customWidth="1"/>
    <col min="12547" max="12547" width="12.109375" style="622" customWidth="1"/>
    <col min="12548" max="12550" width="10.109375" style="622" bestFit="1" customWidth="1"/>
    <col min="12551" max="12551" width="9.6640625" style="622" bestFit="1" customWidth="1"/>
    <col min="12552" max="12552" width="10.33203125" style="622" bestFit="1" customWidth="1"/>
    <col min="12553" max="12553" width="11.6640625" style="622" bestFit="1" customWidth="1"/>
    <col min="12554" max="12555" width="12.88671875" style="622" bestFit="1" customWidth="1"/>
    <col min="12556" max="12556" width="12.44140625" style="622" customWidth="1"/>
    <col min="12557" max="12557" width="11.33203125" style="622" bestFit="1" customWidth="1"/>
    <col min="12558" max="12558" width="11.6640625" style="622" bestFit="1" customWidth="1"/>
    <col min="12559" max="12801" width="9.109375" style="622"/>
    <col min="12802" max="12802" width="31.33203125" style="622" customWidth="1"/>
    <col min="12803" max="12803" width="12.109375" style="622" customWidth="1"/>
    <col min="12804" max="12806" width="10.109375" style="622" bestFit="1" customWidth="1"/>
    <col min="12807" max="12807" width="9.6640625" style="622" bestFit="1" customWidth="1"/>
    <col min="12808" max="12808" width="10.33203125" style="622" bestFit="1" customWidth="1"/>
    <col min="12809" max="12809" width="11.6640625" style="622" bestFit="1" customWidth="1"/>
    <col min="12810" max="12811" width="12.88671875" style="622" bestFit="1" customWidth="1"/>
    <col min="12812" max="12812" width="12.44140625" style="622" customWidth="1"/>
    <col min="12813" max="12813" width="11.33203125" style="622" bestFit="1" customWidth="1"/>
    <col min="12814" max="12814" width="11.6640625" style="622" bestFit="1" customWidth="1"/>
    <col min="12815" max="13057" width="9.109375" style="622"/>
    <col min="13058" max="13058" width="31.33203125" style="622" customWidth="1"/>
    <col min="13059" max="13059" width="12.109375" style="622" customWidth="1"/>
    <col min="13060" max="13062" width="10.109375" style="622" bestFit="1" customWidth="1"/>
    <col min="13063" max="13063" width="9.6640625" style="622" bestFit="1" customWidth="1"/>
    <col min="13064" max="13064" width="10.33203125" style="622" bestFit="1" customWidth="1"/>
    <col min="13065" max="13065" width="11.6640625" style="622" bestFit="1" customWidth="1"/>
    <col min="13066" max="13067" width="12.88671875" style="622" bestFit="1" customWidth="1"/>
    <col min="13068" max="13068" width="12.44140625" style="622" customWidth="1"/>
    <col min="13069" max="13069" width="11.33203125" style="622" bestFit="1" customWidth="1"/>
    <col min="13070" max="13070" width="11.6640625" style="622" bestFit="1" customWidth="1"/>
    <col min="13071" max="13313" width="9.109375" style="622"/>
    <col min="13314" max="13314" width="31.33203125" style="622" customWidth="1"/>
    <col min="13315" max="13315" width="12.109375" style="622" customWidth="1"/>
    <col min="13316" max="13318" width="10.109375" style="622" bestFit="1" customWidth="1"/>
    <col min="13319" max="13319" width="9.6640625" style="622" bestFit="1" customWidth="1"/>
    <col min="13320" max="13320" width="10.33203125" style="622" bestFit="1" customWidth="1"/>
    <col min="13321" max="13321" width="11.6640625" style="622" bestFit="1" customWidth="1"/>
    <col min="13322" max="13323" width="12.88671875" style="622" bestFit="1" customWidth="1"/>
    <col min="13324" max="13324" width="12.44140625" style="622" customWidth="1"/>
    <col min="13325" max="13325" width="11.33203125" style="622" bestFit="1" customWidth="1"/>
    <col min="13326" max="13326" width="11.6640625" style="622" bestFit="1" customWidth="1"/>
    <col min="13327" max="13569" width="9.109375" style="622"/>
    <col min="13570" max="13570" width="31.33203125" style="622" customWidth="1"/>
    <col min="13571" max="13571" width="12.109375" style="622" customWidth="1"/>
    <col min="13572" max="13574" width="10.109375" style="622" bestFit="1" customWidth="1"/>
    <col min="13575" max="13575" width="9.6640625" style="622" bestFit="1" customWidth="1"/>
    <col min="13576" max="13576" width="10.33203125" style="622" bestFit="1" customWidth="1"/>
    <col min="13577" max="13577" width="11.6640625" style="622" bestFit="1" customWidth="1"/>
    <col min="13578" max="13579" width="12.88671875" style="622" bestFit="1" customWidth="1"/>
    <col min="13580" max="13580" width="12.44140625" style="622" customWidth="1"/>
    <col min="13581" max="13581" width="11.33203125" style="622" bestFit="1" customWidth="1"/>
    <col min="13582" max="13582" width="11.6640625" style="622" bestFit="1" customWidth="1"/>
    <col min="13583" max="13825" width="9.109375" style="622"/>
    <col min="13826" max="13826" width="31.33203125" style="622" customWidth="1"/>
    <col min="13827" max="13827" width="12.109375" style="622" customWidth="1"/>
    <col min="13828" max="13830" width="10.109375" style="622" bestFit="1" customWidth="1"/>
    <col min="13831" max="13831" width="9.6640625" style="622" bestFit="1" customWidth="1"/>
    <col min="13832" max="13832" width="10.33203125" style="622" bestFit="1" customWidth="1"/>
    <col min="13833" max="13833" width="11.6640625" style="622" bestFit="1" customWidth="1"/>
    <col min="13834" max="13835" width="12.88671875" style="622" bestFit="1" customWidth="1"/>
    <col min="13836" max="13836" width="12.44140625" style="622" customWidth="1"/>
    <col min="13837" max="13837" width="11.33203125" style="622" bestFit="1" customWidth="1"/>
    <col min="13838" max="13838" width="11.6640625" style="622" bestFit="1" customWidth="1"/>
    <col min="13839" max="14081" width="9.109375" style="622"/>
    <col min="14082" max="14082" width="31.33203125" style="622" customWidth="1"/>
    <col min="14083" max="14083" width="12.109375" style="622" customWidth="1"/>
    <col min="14084" max="14086" width="10.109375" style="622" bestFit="1" customWidth="1"/>
    <col min="14087" max="14087" width="9.6640625" style="622" bestFit="1" customWidth="1"/>
    <col min="14088" max="14088" width="10.33203125" style="622" bestFit="1" customWidth="1"/>
    <col min="14089" max="14089" width="11.6640625" style="622" bestFit="1" customWidth="1"/>
    <col min="14090" max="14091" width="12.88671875" style="622" bestFit="1" customWidth="1"/>
    <col min="14092" max="14092" width="12.44140625" style="622" customWidth="1"/>
    <col min="14093" max="14093" width="11.33203125" style="622" bestFit="1" customWidth="1"/>
    <col min="14094" max="14094" width="11.6640625" style="622" bestFit="1" customWidth="1"/>
    <col min="14095" max="14337" width="9.109375" style="622"/>
    <col min="14338" max="14338" width="31.33203125" style="622" customWidth="1"/>
    <col min="14339" max="14339" width="12.109375" style="622" customWidth="1"/>
    <col min="14340" max="14342" width="10.109375" style="622" bestFit="1" customWidth="1"/>
    <col min="14343" max="14343" width="9.6640625" style="622" bestFit="1" customWidth="1"/>
    <col min="14344" max="14344" width="10.33203125" style="622" bestFit="1" customWidth="1"/>
    <col min="14345" max="14345" width="11.6640625" style="622" bestFit="1" customWidth="1"/>
    <col min="14346" max="14347" width="12.88671875" style="622" bestFit="1" customWidth="1"/>
    <col min="14348" max="14348" width="12.44140625" style="622" customWidth="1"/>
    <col min="14349" max="14349" width="11.33203125" style="622" bestFit="1" customWidth="1"/>
    <col min="14350" max="14350" width="11.6640625" style="622" bestFit="1" customWidth="1"/>
    <col min="14351" max="14593" width="9.109375" style="622"/>
    <col min="14594" max="14594" width="31.33203125" style="622" customWidth="1"/>
    <col min="14595" max="14595" width="12.109375" style="622" customWidth="1"/>
    <col min="14596" max="14598" width="10.109375" style="622" bestFit="1" customWidth="1"/>
    <col min="14599" max="14599" width="9.6640625" style="622" bestFit="1" customWidth="1"/>
    <col min="14600" max="14600" width="10.33203125" style="622" bestFit="1" customWidth="1"/>
    <col min="14601" max="14601" width="11.6640625" style="622" bestFit="1" customWidth="1"/>
    <col min="14602" max="14603" width="12.88671875" style="622" bestFit="1" customWidth="1"/>
    <col min="14604" max="14604" width="12.44140625" style="622" customWidth="1"/>
    <col min="14605" max="14605" width="11.33203125" style="622" bestFit="1" customWidth="1"/>
    <col min="14606" max="14606" width="11.6640625" style="622" bestFit="1" customWidth="1"/>
    <col min="14607" max="14849" width="9.109375" style="622"/>
    <col min="14850" max="14850" width="31.33203125" style="622" customWidth="1"/>
    <col min="14851" max="14851" width="12.109375" style="622" customWidth="1"/>
    <col min="14852" max="14854" width="10.109375" style="622" bestFit="1" customWidth="1"/>
    <col min="14855" max="14855" width="9.6640625" style="622" bestFit="1" customWidth="1"/>
    <col min="14856" max="14856" width="10.33203125" style="622" bestFit="1" customWidth="1"/>
    <col min="14857" max="14857" width="11.6640625" style="622" bestFit="1" customWidth="1"/>
    <col min="14858" max="14859" width="12.88671875" style="622" bestFit="1" customWidth="1"/>
    <col min="14860" max="14860" width="12.44140625" style="622" customWidth="1"/>
    <col min="14861" max="14861" width="11.33203125" style="622" bestFit="1" customWidth="1"/>
    <col min="14862" max="14862" width="11.6640625" style="622" bestFit="1" customWidth="1"/>
    <col min="14863" max="15105" width="9.109375" style="622"/>
    <col min="15106" max="15106" width="31.33203125" style="622" customWidth="1"/>
    <col min="15107" max="15107" width="12.109375" style="622" customWidth="1"/>
    <col min="15108" max="15110" width="10.109375" style="622" bestFit="1" customWidth="1"/>
    <col min="15111" max="15111" width="9.6640625" style="622" bestFit="1" customWidth="1"/>
    <col min="15112" max="15112" width="10.33203125" style="622" bestFit="1" customWidth="1"/>
    <col min="15113" max="15113" width="11.6640625" style="622" bestFit="1" customWidth="1"/>
    <col min="15114" max="15115" width="12.88671875" style="622" bestFit="1" customWidth="1"/>
    <col min="15116" max="15116" width="12.44140625" style="622" customWidth="1"/>
    <col min="15117" max="15117" width="11.33203125" style="622" bestFit="1" customWidth="1"/>
    <col min="15118" max="15118" width="11.6640625" style="622" bestFit="1" customWidth="1"/>
    <col min="15119" max="15361" width="9.109375" style="622"/>
    <col min="15362" max="15362" width="31.33203125" style="622" customWidth="1"/>
    <col min="15363" max="15363" width="12.109375" style="622" customWidth="1"/>
    <col min="15364" max="15366" width="10.109375" style="622" bestFit="1" customWidth="1"/>
    <col min="15367" max="15367" width="9.6640625" style="622" bestFit="1" customWidth="1"/>
    <col min="15368" max="15368" width="10.33203125" style="622" bestFit="1" customWidth="1"/>
    <col min="15369" max="15369" width="11.6640625" style="622" bestFit="1" customWidth="1"/>
    <col min="15370" max="15371" width="12.88671875" style="622" bestFit="1" customWidth="1"/>
    <col min="15372" max="15372" width="12.44140625" style="622" customWidth="1"/>
    <col min="15373" max="15373" width="11.33203125" style="622" bestFit="1" customWidth="1"/>
    <col min="15374" max="15374" width="11.6640625" style="622" bestFit="1" customWidth="1"/>
    <col min="15375" max="15617" width="9.109375" style="622"/>
    <col min="15618" max="15618" width="31.33203125" style="622" customWidth="1"/>
    <col min="15619" max="15619" width="12.109375" style="622" customWidth="1"/>
    <col min="15620" max="15622" width="10.109375" style="622" bestFit="1" customWidth="1"/>
    <col min="15623" max="15623" width="9.6640625" style="622" bestFit="1" customWidth="1"/>
    <col min="15624" max="15624" width="10.33203125" style="622" bestFit="1" customWidth="1"/>
    <col min="15625" max="15625" width="11.6640625" style="622" bestFit="1" customWidth="1"/>
    <col min="15626" max="15627" width="12.88671875" style="622" bestFit="1" customWidth="1"/>
    <col min="15628" max="15628" width="12.44140625" style="622" customWidth="1"/>
    <col min="15629" max="15629" width="11.33203125" style="622" bestFit="1" customWidth="1"/>
    <col min="15630" max="15630" width="11.6640625" style="622" bestFit="1" customWidth="1"/>
    <col min="15631" max="15873" width="9.109375" style="622"/>
    <col min="15874" max="15874" width="31.33203125" style="622" customWidth="1"/>
    <col min="15875" max="15875" width="12.109375" style="622" customWidth="1"/>
    <col min="15876" max="15878" width="10.109375" style="622" bestFit="1" customWidth="1"/>
    <col min="15879" max="15879" width="9.6640625" style="622" bestFit="1" customWidth="1"/>
    <col min="15880" max="15880" width="10.33203125" style="622" bestFit="1" customWidth="1"/>
    <col min="15881" max="15881" width="11.6640625" style="622" bestFit="1" customWidth="1"/>
    <col min="15882" max="15883" width="12.88671875" style="622" bestFit="1" customWidth="1"/>
    <col min="15884" max="15884" width="12.44140625" style="622" customWidth="1"/>
    <col min="15885" max="15885" width="11.33203125" style="622" bestFit="1" customWidth="1"/>
    <col min="15886" max="15886" width="11.6640625" style="622" bestFit="1" customWidth="1"/>
    <col min="15887" max="16129" width="9.109375" style="622"/>
    <col min="16130" max="16130" width="31.33203125" style="622" customWidth="1"/>
    <col min="16131" max="16131" width="12.109375" style="622" customWidth="1"/>
    <col min="16132" max="16134" width="10.109375" style="622" bestFit="1" customWidth="1"/>
    <col min="16135" max="16135" width="9.6640625" style="622" bestFit="1" customWidth="1"/>
    <col min="16136" max="16136" width="10.33203125" style="622" bestFit="1" customWidth="1"/>
    <col min="16137" max="16137" width="11.6640625" style="622" bestFit="1" customWidth="1"/>
    <col min="16138" max="16139" width="12.88671875" style="622" bestFit="1" customWidth="1"/>
    <col min="16140" max="16140" width="12.44140625" style="622" customWidth="1"/>
    <col min="16141" max="16141" width="11.33203125" style="622" bestFit="1" customWidth="1"/>
    <col min="16142" max="16142" width="11.6640625" style="622" bestFit="1" customWidth="1"/>
    <col min="16143" max="16384" width="9.109375" style="622"/>
  </cols>
  <sheetData>
    <row r="1" spans="1:14" ht="12.75" customHeight="1">
      <c r="A1" s="1584" t="s">
        <v>507</v>
      </c>
      <c r="B1" s="1585"/>
      <c r="C1" s="1585"/>
      <c r="D1" s="1585"/>
      <c r="E1" s="1585"/>
      <c r="F1" s="1585"/>
      <c r="G1" s="1585"/>
      <c r="H1" s="1586"/>
      <c r="I1" s="1587" t="s">
        <v>492</v>
      </c>
      <c r="J1" s="1588"/>
      <c r="K1" s="1588"/>
      <c r="L1" s="1588"/>
      <c r="M1" s="1588"/>
      <c r="N1" s="1591" t="s">
        <v>328</v>
      </c>
    </row>
    <row r="2" spans="1:14">
      <c r="A2" s="1593"/>
      <c r="B2" s="1594"/>
      <c r="C2" s="1594"/>
      <c r="D2" s="1594"/>
      <c r="E2" s="1594"/>
      <c r="F2" s="1594"/>
      <c r="G2" s="1594"/>
      <c r="H2" s="1594"/>
      <c r="I2" s="1589"/>
      <c r="J2" s="1590"/>
      <c r="K2" s="1590"/>
      <c r="L2" s="1590"/>
      <c r="M2" s="1590"/>
      <c r="N2" s="1592"/>
    </row>
    <row r="3" spans="1:14">
      <c r="A3" s="749" t="s">
        <v>745</v>
      </c>
      <c r="B3" s="748" t="str">
        <f>'F1 Forecast Consultant'!C3</f>
        <v>Western</v>
      </c>
      <c r="H3" s="527"/>
      <c r="I3" s="1595" t="s">
        <v>493</v>
      </c>
      <c r="J3" s="1596"/>
      <c r="K3" s="1578">
        <f>'F1  Cover'!K8</f>
        <v>1</v>
      </c>
      <c r="L3" s="1579"/>
      <c r="M3" s="1579"/>
      <c r="N3" s="1580"/>
    </row>
    <row r="4" spans="1:14" ht="13.8" thickBot="1">
      <c r="A4" s="1597"/>
      <c r="B4" s="1598"/>
      <c r="C4" s="1598"/>
      <c r="D4" s="1598"/>
      <c r="E4" s="1598"/>
      <c r="F4" s="1598"/>
      <c r="G4" s="1598"/>
      <c r="H4" s="1598"/>
      <c r="I4" s="1599" t="s">
        <v>494</v>
      </c>
      <c r="J4" s="1600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98</v>
      </c>
      <c r="B6" s="725" t="s">
        <v>0</v>
      </c>
      <c r="C6" s="730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31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200000</v>
      </c>
      <c r="J9" s="631">
        <f>D9*I9</f>
        <v>200000</v>
      </c>
      <c r="K9" s="631">
        <f>E9*I9</f>
        <v>200000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8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8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8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8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500000</v>
      </c>
      <c r="J17" s="631">
        <f>D17*I17</f>
        <v>500000</v>
      </c>
      <c r="K17" s="631">
        <f>E17*I17</f>
        <v>500000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8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7500000</v>
      </c>
      <c r="J20" s="631">
        <f>D20*I20</f>
        <v>7500000</v>
      </c>
      <c r="K20" s="631">
        <f>E20*I20</f>
        <v>7500000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2.8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8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9.6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2</v>
      </c>
      <c r="E22" s="722">
        <f t="shared" si="1"/>
        <v>2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200000</v>
      </c>
      <c r="J24" s="631">
        <f>D24*I24</f>
        <v>200000</v>
      </c>
      <c r="K24" s="631">
        <f>E24*I24</f>
        <v>200000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784"/>
      <c r="B25" s="953" t="str">
        <f>'Pricing Schedule'!B40</f>
        <v>(ii)  Engineering Geologist for logging of cores and Profiling of test pits</v>
      </c>
      <c r="C25" s="643" t="str">
        <f>'Pricing Schedule'!C40</f>
        <v>month</v>
      </c>
      <c r="D25" s="651">
        <v>1</v>
      </c>
      <c r="E25" s="722">
        <f t="shared" si="1"/>
        <v>1</v>
      </c>
      <c r="F25" s="855">
        <f>DATA!AH52</f>
        <v>0</v>
      </c>
      <c r="G25" s="722"/>
      <c r="H25" s="632">
        <f>F25+G25</f>
        <v>0</v>
      </c>
      <c r="I25" s="733">
        <f>'Pricing Schedule'!E40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Sums'!K55-'C3.3'!F26</f>
        <v>0</v>
      </c>
      <c r="H26" s="632">
        <f>F26+G26</f>
        <v>0</v>
      </c>
      <c r="I26" s="733">
        <f>'Pricing Schedule'!F41</f>
        <v>50000</v>
      </c>
      <c r="J26" s="631">
        <f>D26*I26</f>
        <v>50000</v>
      </c>
      <c r="K26" s="631">
        <f>E26*I26</f>
        <v>50000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9.6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2</v>
      </c>
      <c r="E27" s="722">
        <f>D27</f>
        <v>2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Sums'!K64-'C3.3'!F29</f>
        <v>0</v>
      </c>
      <c r="H29" s="632">
        <f>F29+G29</f>
        <v>0</v>
      </c>
      <c r="I29" s="733">
        <f>'Pricing Schedule'!F44</f>
        <v>500000</v>
      </c>
      <c r="J29" s="631">
        <f>D29*I29</f>
        <v>500000</v>
      </c>
      <c r="K29" s="631">
        <f>E29*I29</f>
        <v>500000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9.6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8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8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0</v>
      </c>
      <c r="E33" s="722">
        <f t="shared" ref="E33:E36" si="8">D33</f>
        <v>0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0</v>
      </c>
      <c r="E34" s="722">
        <f t="shared" si="8"/>
        <v>0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0</v>
      </c>
      <c r="E35" s="722">
        <f t="shared" si="8"/>
        <v>0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0</v>
      </c>
      <c r="E36" s="722">
        <f t="shared" si="8"/>
        <v>0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0</v>
      </c>
      <c r="E38" s="722">
        <f>D38</f>
        <v>0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0</v>
      </c>
      <c r="E39" s="722">
        <f>D39</f>
        <v>0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0</v>
      </c>
      <c r="E42" s="722">
        <f>D42</f>
        <v>0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0</v>
      </c>
      <c r="E43" s="722">
        <f t="shared" ref="E43:E70" si="15">D43</f>
        <v>0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0</v>
      </c>
      <c r="E44" s="722">
        <f t="shared" si="15"/>
        <v>0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0</v>
      </c>
      <c r="E45" s="722">
        <f t="shared" si="15"/>
        <v>0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0</v>
      </c>
      <c r="E46" s="722">
        <f t="shared" si="15"/>
        <v>0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0</v>
      </c>
      <c r="E47" s="722">
        <f t="shared" si="15"/>
        <v>0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0</v>
      </c>
      <c r="E48" s="722">
        <f t="shared" si="15"/>
        <v>0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0</v>
      </c>
      <c r="E49" s="722">
        <f t="shared" si="15"/>
        <v>0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0</v>
      </c>
      <c r="E50" s="722">
        <f t="shared" si="15"/>
        <v>0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0</v>
      </c>
      <c r="E51" s="722">
        <f t="shared" si="15"/>
        <v>0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0</v>
      </c>
      <c r="E52" s="722">
        <f t="shared" si="15"/>
        <v>0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0</v>
      </c>
      <c r="E53" s="722">
        <f t="shared" si="15"/>
        <v>0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0</v>
      </c>
      <c r="E54" s="722">
        <f t="shared" si="15"/>
        <v>0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0</v>
      </c>
      <c r="E55" s="722">
        <f t="shared" si="15"/>
        <v>0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0</v>
      </c>
      <c r="E56" s="722">
        <f t="shared" si="15"/>
        <v>0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0</v>
      </c>
      <c r="E57" s="722">
        <f t="shared" si="15"/>
        <v>0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0</v>
      </c>
      <c r="E58" s="722">
        <f t="shared" si="15"/>
        <v>0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0</v>
      </c>
      <c r="E59" s="722">
        <f t="shared" si="15"/>
        <v>0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0</v>
      </c>
      <c r="E60" s="722">
        <f t="shared" si="15"/>
        <v>0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0</v>
      </c>
      <c r="E61" s="722">
        <f t="shared" si="15"/>
        <v>0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0</v>
      </c>
      <c r="E62" s="722">
        <f t="shared" si="15"/>
        <v>0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0</v>
      </c>
      <c r="E63" s="722">
        <f t="shared" si="15"/>
        <v>0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0</v>
      </c>
      <c r="E64" s="722">
        <f t="shared" si="15"/>
        <v>0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0</v>
      </c>
      <c r="E65" s="722">
        <f t="shared" si="15"/>
        <v>0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0</v>
      </c>
      <c r="E66" s="722">
        <f t="shared" si="15"/>
        <v>0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0</v>
      </c>
      <c r="E67" s="722">
        <f t="shared" si="15"/>
        <v>0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0</v>
      </c>
      <c r="E68" s="722">
        <f t="shared" si="15"/>
        <v>0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0</v>
      </c>
      <c r="E69" s="722">
        <f t="shared" si="15"/>
        <v>0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Sums'!K73-'C3.3'!F70</f>
        <v>0</v>
      </c>
      <c r="H70" s="632">
        <f>F70+G70</f>
        <v>0</v>
      </c>
      <c r="I70" s="733">
        <f>'Pricing Schedule'!F85</f>
        <v>0</v>
      </c>
      <c r="J70" s="631">
        <f>D70*I70</f>
        <v>0</v>
      </c>
      <c r="K70" s="631">
        <f>E70*I70</f>
        <v>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0</v>
      </c>
      <c r="E71" s="631">
        <f>K70</f>
        <v>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81" t="s">
        <v>506</v>
      </c>
      <c r="B72" s="1582"/>
      <c r="C72" s="1583"/>
      <c r="D72" s="716"/>
      <c r="E72" s="717"/>
      <c r="F72" s="717"/>
      <c r="G72" s="717"/>
      <c r="H72" s="718"/>
      <c r="I72" s="734"/>
      <c r="J72" s="720">
        <f>SUM(J8:J71)</f>
        <v>8950000</v>
      </c>
      <c r="K72" s="720">
        <f>SUM(K8:K71)</f>
        <v>8950000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" customHeight="1">
      <c r="A75" s="817" t="s">
        <v>651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J10+J11+J14+J15+J18+J21+J22+J27+J30+J32+J33+J34+J35+J36+J38+J39+J42+J43+J44+J45+J46+J47+J48+J49+J50+J51+J52+J53+J54+J55+J56+J57+J58+J59+J60+J61+J62+J63+J64+J65+J66+J67+J68+J69+J25</f>
        <v>0</v>
      </c>
      <c r="K75" s="735">
        <f t="shared" ref="K75:N75" si="16">K10+K11+K14+K15+K18+K21+K22+K27+K30+K32+K33+K34+K35+K36+K38+K39+K42+K43+K44+K45+K46+K47+K48+K49+K50+K51+K52+K53+K54+K55+K56+K57+K58+K59+K60+K61+K62+K63+K64+K65+K66+K67+K68+K69+K25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" customHeight="1">
      <c r="A76" s="622" t="s">
        <v>653</v>
      </c>
      <c r="I76" s="622"/>
      <c r="J76" s="735">
        <f>J9+J13+J17+J20+J24+J26+J29+J70+J71</f>
        <v>8950000</v>
      </c>
      <c r="K76" s="735">
        <f t="shared" ref="K76:N76" si="17">K9+K13+K17+K20+K24+K26+K29+K70+K71</f>
        <v>8950000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" customHeight="1" thickBot="1">
      <c r="A77" s="622" t="s">
        <v>652</v>
      </c>
      <c r="I77" s="622"/>
      <c r="J77" s="785">
        <f>SUM(J75:J76)</f>
        <v>8950000</v>
      </c>
      <c r="K77" s="785">
        <f t="shared" ref="K77:N77" si="18">SUM(K75:K76)</f>
        <v>8950000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8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8.3320312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4.5546875" style="622" customWidth="1"/>
    <col min="259" max="265" width="9.109375" style="622"/>
    <col min="266" max="266" width="15.44140625" style="622" bestFit="1" customWidth="1"/>
    <col min="267" max="268" width="12.6640625" style="622" bestFit="1" customWidth="1"/>
    <col min="269" max="269" width="10.109375" style="622" bestFit="1" customWidth="1"/>
    <col min="270" max="270" width="12.109375" style="622" customWidth="1"/>
    <col min="271" max="513" width="9.109375" style="622"/>
    <col min="514" max="514" width="24.5546875" style="622" customWidth="1"/>
    <col min="515" max="521" width="9.109375" style="622"/>
    <col min="522" max="522" width="15.44140625" style="622" bestFit="1" customWidth="1"/>
    <col min="523" max="524" width="12.6640625" style="622" bestFit="1" customWidth="1"/>
    <col min="525" max="525" width="10.109375" style="622" bestFit="1" customWidth="1"/>
    <col min="526" max="526" width="12.109375" style="622" customWidth="1"/>
    <col min="527" max="769" width="9.109375" style="622"/>
    <col min="770" max="770" width="24.5546875" style="622" customWidth="1"/>
    <col min="771" max="777" width="9.109375" style="622"/>
    <col min="778" max="778" width="15.44140625" style="622" bestFit="1" customWidth="1"/>
    <col min="779" max="780" width="12.6640625" style="622" bestFit="1" customWidth="1"/>
    <col min="781" max="781" width="10.109375" style="622" bestFit="1" customWidth="1"/>
    <col min="782" max="782" width="12.109375" style="622" customWidth="1"/>
    <col min="783" max="1025" width="9.109375" style="622"/>
    <col min="1026" max="1026" width="24.5546875" style="622" customWidth="1"/>
    <col min="1027" max="1033" width="9.109375" style="622"/>
    <col min="1034" max="1034" width="15.44140625" style="622" bestFit="1" customWidth="1"/>
    <col min="1035" max="1036" width="12.6640625" style="622" bestFit="1" customWidth="1"/>
    <col min="1037" max="1037" width="10.109375" style="622" bestFit="1" customWidth="1"/>
    <col min="1038" max="1038" width="12.109375" style="622" customWidth="1"/>
    <col min="1039" max="1281" width="9.109375" style="622"/>
    <col min="1282" max="1282" width="24.5546875" style="622" customWidth="1"/>
    <col min="1283" max="1289" width="9.109375" style="622"/>
    <col min="1290" max="1290" width="15.44140625" style="622" bestFit="1" customWidth="1"/>
    <col min="1291" max="1292" width="12.6640625" style="622" bestFit="1" customWidth="1"/>
    <col min="1293" max="1293" width="10.109375" style="622" bestFit="1" customWidth="1"/>
    <col min="1294" max="1294" width="12.109375" style="622" customWidth="1"/>
    <col min="1295" max="1537" width="9.109375" style="622"/>
    <col min="1538" max="1538" width="24.5546875" style="622" customWidth="1"/>
    <col min="1539" max="1545" width="9.109375" style="622"/>
    <col min="1546" max="1546" width="15.44140625" style="622" bestFit="1" customWidth="1"/>
    <col min="1547" max="1548" width="12.6640625" style="622" bestFit="1" customWidth="1"/>
    <col min="1549" max="1549" width="10.109375" style="622" bestFit="1" customWidth="1"/>
    <col min="1550" max="1550" width="12.109375" style="622" customWidth="1"/>
    <col min="1551" max="1793" width="9.109375" style="622"/>
    <col min="1794" max="1794" width="24.5546875" style="622" customWidth="1"/>
    <col min="1795" max="1801" width="9.109375" style="622"/>
    <col min="1802" max="1802" width="15.44140625" style="622" bestFit="1" customWidth="1"/>
    <col min="1803" max="1804" width="12.6640625" style="622" bestFit="1" customWidth="1"/>
    <col min="1805" max="1805" width="10.109375" style="622" bestFit="1" customWidth="1"/>
    <col min="1806" max="1806" width="12.109375" style="622" customWidth="1"/>
    <col min="1807" max="2049" width="9.109375" style="622"/>
    <col min="2050" max="2050" width="24.5546875" style="622" customWidth="1"/>
    <col min="2051" max="2057" width="9.109375" style="622"/>
    <col min="2058" max="2058" width="15.44140625" style="622" bestFit="1" customWidth="1"/>
    <col min="2059" max="2060" width="12.6640625" style="622" bestFit="1" customWidth="1"/>
    <col min="2061" max="2061" width="10.109375" style="622" bestFit="1" customWidth="1"/>
    <col min="2062" max="2062" width="12.109375" style="622" customWidth="1"/>
    <col min="2063" max="2305" width="9.109375" style="622"/>
    <col min="2306" max="2306" width="24.5546875" style="622" customWidth="1"/>
    <col min="2307" max="2313" width="9.109375" style="622"/>
    <col min="2314" max="2314" width="15.44140625" style="622" bestFit="1" customWidth="1"/>
    <col min="2315" max="2316" width="12.6640625" style="622" bestFit="1" customWidth="1"/>
    <col min="2317" max="2317" width="10.109375" style="622" bestFit="1" customWidth="1"/>
    <col min="2318" max="2318" width="12.109375" style="622" customWidth="1"/>
    <col min="2319" max="2561" width="9.109375" style="622"/>
    <col min="2562" max="2562" width="24.5546875" style="622" customWidth="1"/>
    <col min="2563" max="2569" width="9.109375" style="622"/>
    <col min="2570" max="2570" width="15.44140625" style="622" bestFit="1" customWidth="1"/>
    <col min="2571" max="2572" width="12.6640625" style="622" bestFit="1" customWidth="1"/>
    <col min="2573" max="2573" width="10.109375" style="622" bestFit="1" customWidth="1"/>
    <col min="2574" max="2574" width="12.109375" style="622" customWidth="1"/>
    <col min="2575" max="2817" width="9.109375" style="622"/>
    <col min="2818" max="2818" width="24.5546875" style="622" customWidth="1"/>
    <col min="2819" max="2825" width="9.109375" style="622"/>
    <col min="2826" max="2826" width="15.44140625" style="622" bestFit="1" customWidth="1"/>
    <col min="2827" max="2828" width="12.6640625" style="622" bestFit="1" customWidth="1"/>
    <col min="2829" max="2829" width="10.109375" style="622" bestFit="1" customWidth="1"/>
    <col min="2830" max="2830" width="12.109375" style="622" customWidth="1"/>
    <col min="2831" max="3073" width="9.109375" style="622"/>
    <col min="3074" max="3074" width="24.5546875" style="622" customWidth="1"/>
    <col min="3075" max="3081" width="9.109375" style="622"/>
    <col min="3082" max="3082" width="15.44140625" style="622" bestFit="1" customWidth="1"/>
    <col min="3083" max="3084" width="12.6640625" style="622" bestFit="1" customWidth="1"/>
    <col min="3085" max="3085" width="10.109375" style="622" bestFit="1" customWidth="1"/>
    <col min="3086" max="3086" width="12.109375" style="622" customWidth="1"/>
    <col min="3087" max="3329" width="9.109375" style="622"/>
    <col min="3330" max="3330" width="24.5546875" style="622" customWidth="1"/>
    <col min="3331" max="3337" width="9.109375" style="622"/>
    <col min="3338" max="3338" width="15.44140625" style="622" bestFit="1" customWidth="1"/>
    <col min="3339" max="3340" width="12.6640625" style="622" bestFit="1" customWidth="1"/>
    <col min="3341" max="3341" width="10.109375" style="622" bestFit="1" customWidth="1"/>
    <col min="3342" max="3342" width="12.109375" style="622" customWidth="1"/>
    <col min="3343" max="3585" width="9.109375" style="622"/>
    <col min="3586" max="3586" width="24.5546875" style="622" customWidth="1"/>
    <col min="3587" max="3593" width="9.109375" style="622"/>
    <col min="3594" max="3594" width="15.44140625" style="622" bestFit="1" customWidth="1"/>
    <col min="3595" max="3596" width="12.6640625" style="622" bestFit="1" customWidth="1"/>
    <col min="3597" max="3597" width="10.109375" style="622" bestFit="1" customWidth="1"/>
    <col min="3598" max="3598" width="12.109375" style="622" customWidth="1"/>
    <col min="3599" max="3841" width="9.109375" style="622"/>
    <col min="3842" max="3842" width="24.5546875" style="622" customWidth="1"/>
    <col min="3843" max="3849" width="9.109375" style="622"/>
    <col min="3850" max="3850" width="15.44140625" style="622" bestFit="1" customWidth="1"/>
    <col min="3851" max="3852" width="12.6640625" style="622" bestFit="1" customWidth="1"/>
    <col min="3853" max="3853" width="10.109375" style="622" bestFit="1" customWidth="1"/>
    <col min="3854" max="3854" width="12.109375" style="622" customWidth="1"/>
    <col min="3855" max="4097" width="9.109375" style="622"/>
    <col min="4098" max="4098" width="24.5546875" style="622" customWidth="1"/>
    <col min="4099" max="4105" width="9.109375" style="622"/>
    <col min="4106" max="4106" width="15.44140625" style="622" bestFit="1" customWidth="1"/>
    <col min="4107" max="4108" width="12.6640625" style="622" bestFit="1" customWidth="1"/>
    <col min="4109" max="4109" width="10.109375" style="622" bestFit="1" customWidth="1"/>
    <col min="4110" max="4110" width="12.109375" style="622" customWidth="1"/>
    <col min="4111" max="4353" width="9.109375" style="622"/>
    <col min="4354" max="4354" width="24.5546875" style="622" customWidth="1"/>
    <col min="4355" max="4361" width="9.109375" style="622"/>
    <col min="4362" max="4362" width="15.44140625" style="622" bestFit="1" customWidth="1"/>
    <col min="4363" max="4364" width="12.6640625" style="622" bestFit="1" customWidth="1"/>
    <col min="4365" max="4365" width="10.109375" style="622" bestFit="1" customWidth="1"/>
    <col min="4366" max="4366" width="12.109375" style="622" customWidth="1"/>
    <col min="4367" max="4609" width="9.109375" style="622"/>
    <col min="4610" max="4610" width="24.5546875" style="622" customWidth="1"/>
    <col min="4611" max="4617" width="9.109375" style="622"/>
    <col min="4618" max="4618" width="15.44140625" style="622" bestFit="1" customWidth="1"/>
    <col min="4619" max="4620" width="12.6640625" style="622" bestFit="1" customWidth="1"/>
    <col min="4621" max="4621" width="10.109375" style="622" bestFit="1" customWidth="1"/>
    <col min="4622" max="4622" width="12.109375" style="622" customWidth="1"/>
    <col min="4623" max="4865" width="9.109375" style="622"/>
    <col min="4866" max="4866" width="24.5546875" style="622" customWidth="1"/>
    <col min="4867" max="4873" width="9.109375" style="622"/>
    <col min="4874" max="4874" width="15.44140625" style="622" bestFit="1" customWidth="1"/>
    <col min="4875" max="4876" width="12.6640625" style="622" bestFit="1" customWidth="1"/>
    <col min="4877" max="4877" width="10.109375" style="622" bestFit="1" customWidth="1"/>
    <col min="4878" max="4878" width="12.109375" style="622" customWidth="1"/>
    <col min="4879" max="5121" width="9.109375" style="622"/>
    <col min="5122" max="5122" width="24.5546875" style="622" customWidth="1"/>
    <col min="5123" max="5129" width="9.109375" style="622"/>
    <col min="5130" max="5130" width="15.44140625" style="622" bestFit="1" customWidth="1"/>
    <col min="5131" max="5132" width="12.6640625" style="622" bestFit="1" customWidth="1"/>
    <col min="5133" max="5133" width="10.109375" style="622" bestFit="1" customWidth="1"/>
    <col min="5134" max="5134" width="12.109375" style="622" customWidth="1"/>
    <col min="5135" max="5377" width="9.109375" style="622"/>
    <col min="5378" max="5378" width="24.5546875" style="622" customWidth="1"/>
    <col min="5379" max="5385" width="9.109375" style="622"/>
    <col min="5386" max="5386" width="15.44140625" style="622" bestFit="1" customWidth="1"/>
    <col min="5387" max="5388" width="12.6640625" style="622" bestFit="1" customWidth="1"/>
    <col min="5389" max="5389" width="10.109375" style="622" bestFit="1" customWidth="1"/>
    <col min="5390" max="5390" width="12.109375" style="622" customWidth="1"/>
    <col min="5391" max="5633" width="9.109375" style="622"/>
    <col min="5634" max="5634" width="24.5546875" style="622" customWidth="1"/>
    <col min="5635" max="5641" width="9.109375" style="622"/>
    <col min="5642" max="5642" width="15.44140625" style="622" bestFit="1" customWidth="1"/>
    <col min="5643" max="5644" width="12.6640625" style="622" bestFit="1" customWidth="1"/>
    <col min="5645" max="5645" width="10.109375" style="622" bestFit="1" customWidth="1"/>
    <col min="5646" max="5646" width="12.109375" style="622" customWidth="1"/>
    <col min="5647" max="5889" width="9.109375" style="622"/>
    <col min="5890" max="5890" width="24.5546875" style="622" customWidth="1"/>
    <col min="5891" max="5897" width="9.109375" style="622"/>
    <col min="5898" max="5898" width="15.44140625" style="622" bestFit="1" customWidth="1"/>
    <col min="5899" max="5900" width="12.6640625" style="622" bestFit="1" customWidth="1"/>
    <col min="5901" max="5901" width="10.109375" style="622" bestFit="1" customWidth="1"/>
    <col min="5902" max="5902" width="12.109375" style="622" customWidth="1"/>
    <col min="5903" max="6145" width="9.109375" style="622"/>
    <col min="6146" max="6146" width="24.5546875" style="622" customWidth="1"/>
    <col min="6147" max="6153" width="9.109375" style="622"/>
    <col min="6154" max="6154" width="15.44140625" style="622" bestFit="1" customWidth="1"/>
    <col min="6155" max="6156" width="12.6640625" style="622" bestFit="1" customWidth="1"/>
    <col min="6157" max="6157" width="10.109375" style="622" bestFit="1" customWidth="1"/>
    <col min="6158" max="6158" width="12.109375" style="622" customWidth="1"/>
    <col min="6159" max="6401" width="9.109375" style="622"/>
    <col min="6402" max="6402" width="24.5546875" style="622" customWidth="1"/>
    <col min="6403" max="6409" width="9.109375" style="622"/>
    <col min="6410" max="6410" width="15.44140625" style="622" bestFit="1" customWidth="1"/>
    <col min="6411" max="6412" width="12.6640625" style="622" bestFit="1" customWidth="1"/>
    <col min="6413" max="6413" width="10.109375" style="622" bestFit="1" customWidth="1"/>
    <col min="6414" max="6414" width="12.109375" style="622" customWidth="1"/>
    <col min="6415" max="6657" width="9.109375" style="622"/>
    <col min="6658" max="6658" width="24.5546875" style="622" customWidth="1"/>
    <col min="6659" max="6665" width="9.109375" style="622"/>
    <col min="6666" max="6666" width="15.44140625" style="622" bestFit="1" customWidth="1"/>
    <col min="6667" max="6668" width="12.6640625" style="622" bestFit="1" customWidth="1"/>
    <col min="6669" max="6669" width="10.109375" style="622" bestFit="1" customWidth="1"/>
    <col min="6670" max="6670" width="12.109375" style="622" customWidth="1"/>
    <col min="6671" max="6913" width="9.109375" style="622"/>
    <col min="6914" max="6914" width="24.5546875" style="622" customWidth="1"/>
    <col min="6915" max="6921" width="9.109375" style="622"/>
    <col min="6922" max="6922" width="15.44140625" style="622" bestFit="1" customWidth="1"/>
    <col min="6923" max="6924" width="12.6640625" style="622" bestFit="1" customWidth="1"/>
    <col min="6925" max="6925" width="10.109375" style="622" bestFit="1" customWidth="1"/>
    <col min="6926" max="6926" width="12.109375" style="622" customWidth="1"/>
    <col min="6927" max="7169" width="9.109375" style="622"/>
    <col min="7170" max="7170" width="24.5546875" style="622" customWidth="1"/>
    <col min="7171" max="7177" width="9.109375" style="622"/>
    <col min="7178" max="7178" width="15.44140625" style="622" bestFit="1" customWidth="1"/>
    <col min="7179" max="7180" width="12.6640625" style="622" bestFit="1" customWidth="1"/>
    <col min="7181" max="7181" width="10.109375" style="622" bestFit="1" customWidth="1"/>
    <col min="7182" max="7182" width="12.109375" style="622" customWidth="1"/>
    <col min="7183" max="7425" width="9.109375" style="622"/>
    <col min="7426" max="7426" width="24.5546875" style="622" customWidth="1"/>
    <col min="7427" max="7433" width="9.109375" style="622"/>
    <col min="7434" max="7434" width="15.44140625" style="622" bestFit="1" customWidth="1"/>
    <col min="7435" max="7436" width="12.6640625" style="622" bestFit="1" customWidth="1"/>
    <col min="7437" max="7437" width="10.109375" style="622" bestFit="1" customWidth="1"/>
    <col min="7438" max="7438" width="12.109375" style="622" customWidth="1"/>
    <col min="7439" max="7681" width="9.109375" style="622"/>
    <col min="7682" max="7682" width="24.5546875" style="622" customWidth="1"/>
    <col min="7683" max="7689" width="9.109375" style="622"/>
    <col min="7690" max="7690" width="15.44140625" style="622" bestFit="1" customWidth="1"/>
    <col min="7691" max="7692" width="12.6640625" style="622" bestFit="1" customWidth="1"/>
    <col min="7693" max="7693" width="10.109375" style="622" bestFit="1" customWidth="1"/>
    <col min="7694" max="7694" width="12.109375" style="622" customWidth="1"/>
    <col min="7695" max="7937" width="9.109375" style="622"/>
    <col min="7938" max="7938" width="24.5546875" style="622" customWidth="1"/>
    <col min="7939" max="7945" width="9.109375" style="622"/>
    <col min="7946" max="7946" width="15.44140625" style="622" bestFit="1" customWidth="1"/>
    <col min="7947" max="7948" width="12.6640625" style="622" bestFit="1" customWidth="1"/>
    <col min="7949" max="7949" width="10.109375" style="622" bestFit="1" customWidth="1"/>
    <col min="7950" max="7950" width="12.109375" style="622" customWidth="1"/>
    <col min="7951" max="8193" width="9.109375" style="622"/>
    <col min="8194" max="8194" width="24.5546875" style="622" customWidth="1"/>
    <col min="8195" max="8201" width="9.109375" style="622"/>
    <col min="8202" max="8202" width="15.44140625" style="622" bestFit="1" customWidth="1"/>
    <col min="8203" max="8204" width="12.6640625" style="622" bestFit="1" customWidth="1"/>
    <col min="8205" max="8205" width="10.109375" style="622" bestFit="1" customWidth="1"/>
    <col min="8206" max="8206" width="12.109375" style="622" customWidth="1"/>
    <col min="8207" max="8449" width="9.109375" style="622"/>
    <col min="8450" max="8450" width="24.5546875" style="622" customWidth="1"/>
    <col min="8451" max="8457" width="9.109375" style="622"/>
    <col min="8458" max="8458" width="15.44140625" style="622" bestFit="1" customWidth="1"/>
    <col min="8459" max="8460" width="12.6640625" style="622" bestFit="1" customWidth="1"/>
    <col min="8461" max="8461" width="10.109375" style="622" bestFit="1" customWidth="1"/>
    <col min="8462" max="8462" width="12.109375" style="622" customWidth="1"/>
    <col min="8463" max="8705" width="9.109375" style="622"/>
    <col min="8706" max="8706" width="24.5546875" style="622" customWidth="1"/>
    <col min="8707" max="8713" width="9.109375" style="622"/>
    <col min="8714" max="8714" width="15.44140625" style="622" bestFit="1" customWidth="1"/>
    <col min="8715" max="8716" width="12.6640625" style="622" bestFit="1" customWidth="1"/>
    <col min="8717" max="8717" width="10.109375" style="622" bestFit="1" customWidth="1"/>
    <col min="8718" max="8718" width="12.109375" style="622" customWidth="1"/>
    <col min="8719" max="8961" width="9.109375" style="622"/>
    <col min="8962" max="8962" width="24.5546875" style="622" customWidth="1"/>
    <col min="8963" max="8969" width="9.109375" style="622"/>
    <col min="8970" max="8970" width="15.44140625" style="622" bestFit="1" customWidth="1"/>
    <col min="8971" max="8972" width="12.6640625" style="622" bestFit="1" customWidth="1"/>
    <col min="8973" max="8973" width="10.109375" style="622" bestFit="1" customWidth="1"/>
    <col min="8974" max="8974" width="12.109375" style="622" customWidth="1"/>
    <col min="8975" max="9217" width="9.109375" style="622"/>
    <col min="9218" max="9218" width="24.5546875" style="622" customWidth="1"/>
    <col min="9219" max="9225" width="9.109375" style="622"/>
    <col min="9226" max="9226" width="15.44140625" style="622" bestFit="1" customWidth="1"/>
    <col min="9227" max="9228" width="12.6640625" style="622" bestFit="1" customWidth="1"/>
    <col min="9229" max="9229" width="10.109375" style="622" bestFit="1" customWidth="1"/>
    <col min="9230" max="9230" width="12.109375" style="622" customWidth="1"/>
    <col min="9231" max="9473" width="9.109375" style="622"/>
    <col min="9474" max="9474" width="24.5546875" style="622" customWidth="1"/>
    <col min="9475" max="9481" width="9.109375" style="622"/>
    <col min="9482" max="9482" width="15.44140625" style="622" bestFit="1" customWidth="1"/>
    <col min="9483" max="9484" width="12.6640625" style="622" bestFit="1" customWidth="1"/>
    <col min="9485" max="9485" width="10.109375" style="622" bestFit="1" customWidth="1"/>
    <col min="9486" max="9486" width="12.109375" style="622" customWidth="1"/>
    <col min="9487" max="9729" width="9.109375" style="622"/>
    <col min="9730" max="9730" width="24.5546875" style="622" customWidth="1"/>
    <col min="9731" max="9737" width="9.109375" style="622"/>
    <col min="9738" max="9738" width="15.44140625" style="622" bestFit="1" customWidth="1"/>
    <col min="9739" max="9740" width="12.6640625" style="622" bestFit="1" customWidth="1"/>
    <col min="9741" max="9741" width="10.109375" style="622" bestFit="1" customWidth="1"/>
    <col min="9742" max="9742" width="12.109375" style="622" customWidth="1"/>
    <col min="9743" max="9985" width="9.109375" style="622"/>
    <col min="9986" max="9986" width="24.5546875" style="622" customWidth="1"/>
    <col min="9987" max="9993" width="9.109375" style="622"/>
    <col min="9994" max="9994" width="15.44140625" style="622" bestFit="1" customWidth="1"/>
    <col min="9995" max="9996" width="12.6640625" style="622" bestFit="1" customWidth="1"/>
    <col min="9997" max="9997" width="10.109375" style="622" bestFit="1" customWidth="1"/>
    <col min="9998" max="9998" width="12.109375" style="622" customWidth="1"/>
    <col min="9999" max="10241" width="9.109375" style="622"/>
    <col min="10242" max="10242" width="24.5546875" style="622" customWidth="1"/>
    <col min="10243" max="10249" width="9.109375" style="622"/>
    <col min="10250" max="10250" width="15.44140625" style="622" bestFit="1" customWidth="1"/>
    <col min="10251" max="10252" width="12.6640625" style="622" bestFit="1" customWidth="1"/>
    <col min="10253" max="10253" width="10.109375" style="622" bestFit="1" customWidth="1"/>
    <col min="10254" max="10254" width="12.109375" style="622" customWidth="1"/>
    <col min="10255" max="10497" width="9.109375" style="622"/>
    <col min="10498" max="10498" width="24.5546875" style="622" customWidth="1"/>
    <col min="10499" max="10505" width="9.109375" style="622"/>
    <col min="10506" max="10506" width="15.44140625" style="622" bestFit="1" customWidth="1"/>
    <col min="10507" max="10508" width="12.6640625" style="622" bestFit="1" customWidth="1"/>
    <col min="10509" max="10509" width="10.109375" style="622" bestFit="1" customWidth="1"/>
    <col min="10510" max="10510" width="12.109375" style="622" customWidth="1"/>
    <col min="10511" max="10753" width="9.109375" style="622"/>
    <col min="10754" max="10754" width="24.5546875" style="622" customWidth="1"/>
    <col min="10755" max="10761" width="9.109375" style="622"/>
    <col min="10762" max="10762" width="15.44140625" style="622" bestFit="1" customWidth="1"/>
    <col min="10763" max="10764" width="12.6640625" style="622" bestFit="1" customWidth="1"/>
    <col min="10765" max="10765" width="10.109375" style="622" bestFit="1" customWidth="1"/>
    <col min="10766" max="10766" width="12.109375" style="622" customWidth="1"/>
    <col min="10767" max="11009" width="9.109375" style="622"/>
    <col min="11010" max="11010" width="24.5546875" style="622" customWidth="1"/>
    <col min="11011" max="11017" width="9.109375" style="622"/>
    <col min="11018" max="11018" width="15.44140625" style="622" bestFit="1" customWidth="1"/>
    <col min="11019" max="11020" width="12.6640625" style="622" bestFit="1" customWidth="1"/>
    <col min="11021" max="11021" width="10.109375" style="622" bestFit="1" customWidth="1"/>
    <col min="11022" max="11022" width="12.109375" style="622" customWidth="1"/>
    <col min="11023" max="11265" width="9.109375" style="622"/>
    <col min="11266" max="11266" width="24.5546875" style="622" customWidth="1"/>
    <col min="11267" max="11273" width="9.109375" style="622"/>
    <col min="11274" max="11274" width="15.44140625" style="622" bestFit="1" customWidth="1"/>
    <col min="11275" max="11276" width="12.6640625" style="622" bestFit="1" customWidth="1"/>
    <col min="11277" max="11277" width="10.109375" style="622" bestFit="1" customWidth="1"/>
    <col min="11278" max="11278" width="12.109375" style="622" customWidth="1"/>
    <col min="11279" max="11521" width="9.109375" style="622"/>
    <col min="11522" max="11522" width="24.5546875" style="622" customWidth="1"/>
    <col min="11523" max="11529" width="9.109375" style="622"/>
    <col min="11530" max="11530" width="15.44140625" style="622" bestFit="1" customWidth="1"/>
    <col min="11531" max="11532" width="12.6640625" style="622" bestFit="1" customWidth="1"/>
    <col min="11533" max="11533" width="10.109375" style="622" bestFit="1" customWidth="1"/>
    <col min="11534" max="11534" width="12.109375" style="622" customWidth="1"/>
    <col min="11535" max="11777" width="9.109375" style="622"/>
    <col min="11778" max="11778" width="24.5546875" style="622" customWidth="1"/>
    <col min="11779" max="11785" width="9.109375" style="622"/>
    <col min="11786" max="11786" width="15.44140625" style="622" bestFit="1" customWidth="1"/>
    <col min="11787" max="11788" width="12.6640625" style="622" bestFit="1" customWidth="1"/>
    <col min="11789" max="11789" width="10.109375" style="622" bestFit="1" customWidth="1"/>
    <col min="11790" max="11790" width="12.109375" style="622" customWidth="1"/>
    <col min="11791" max="12033" width="9.109375" style="622"/>
    <col min="12034" max="12034" width="24.5546875" style="622" customWidth="1"/>
    <col min="12035" max="12041" width="9.109375" style="622"/>
    <col min="12042" max="12042" width="15.44140625" style="622" bestFit="1" customWidth="1"/>
    <col min="12043" max="12044" width="12.6640625" style="622" bestFit="1" customWidth="1"/>
    <col min="12045" max="12045" width="10.109375" style="622" bestFit="1" customWidth="1"/>
    <col min="12046" max="12046" width="12.109375" style="622" customWidth="1"/>
    <col min="12047" max="12289" width="9.109375" style="622"/>
    <col min="12290" max="12290" width="24.5546875" style="622" customWidth="1"/>
    <col min="12291" max="12297" width="9.109375" style="622"/>
    <col min="12298" max="12298" width="15.44140625" style="622" bestFit="1" customWidth="1"/>
    <col min="12299" max="12300" width="12.6640625" style="622" bestFit="1" customWidth="1"/>
    <col min="12301" max="12301" width="10.109375" style="622" bestFit="1" customWidth="1"/>
    <col min="12302" max="12302" width="12.109375" style="622" customWidth="1"/>
    <col min="12303" max="12545" width="9.109375" style="622"/>
    <col min="12546" max="12546" width="24.5546875" style="622" customWidth="1"/>
    <col min="12547" max="12553" width="9.109375" style="622"/>
    <col min="12554" max="12554" width="15.44140625" style="622" bestFit="1" customWidth="1"/>
    <col min="12555" max="12556" width="12.6640625" style="622" bestFit="1" customWidth="1"/>
    <col min="12557" max="12557" width="10.109375" style="622" bestFit="1" customWidth="1"/>
    <col min="12558" max="12558" width="12.109375" style="622" customWidth="1"/>
    <col min="12559" max="12801" width="9.109375" style="622"/>
    <col min="12802" max="12802" width="24.5546875" style="622" customWidth="1"/>
    <col min="12803" max="12809" width="9.109375" style="622"/>
    <col min="12810" max="12810" width="15.44140625" style="622" bestFit="1" customWidth="1"/>
    <col min="12811" max="12812" width="12.6640625" style="622" bestFit="1" customWidth="1"/>
    <col min="12813" max="12813" width="10.109375" style="622" bestFit="1" customWidth="1"/>
    <col min="12814" max="12814" width="12.109375" style="622" customWidth="1"/>
    <col min="12815" max="13057" width="9.109375" style="622"/>
    <col min="13058" max="13058" width="24.5546875" style="622" customWidth="1"/>
    <col min="13059" max="13065" width="9.109375" style="622"/>
    <col min="13066" max="13066" width="15.44140625" style="622" bestFit="1" customWidth="1"/>
    <col min="13067" max="13068" width="12.6640625" style="622" bestFit="1" customWidth="1"/>
    <col min="13069" max="13069" width="10.109375" style="622" bestFit="1" customWidth="1"/>
    <col min="13070" max="13070" width="12.109375" style="622" customWidth="1"/>
    <col min="13071" max="13313" width="9.109375" style="622"/>
    <col min="13314" max="13314" width="24.5546875" style="622" customWidth="1"/>
    <col min="13315" max="13321" width="9.109375" style="622"/>
    <col min="13322" max="13322" width="15.44140625" style="622" bestFit="1" customWidth="1"/>
    <col min="13323" max="13324" width="12.6640625" style="622" bestFit="1" customWidth="1"/>
    <col min="13325" max="13325" width="10.109375" style="622" bestFit="1" customWidth="1"/>
    <col min="13326" max="13326" width="12.109375" style="622" customWidth="1"/>
    <col min="13327" max="13569" width="9.109375" style="622"/>
    <col min="13570" max="13570" width="24.5546875" style="622" customWidth="1"/>
    <col min="13571" max="13577" width="9.109375" style="622"/>
    <col min="13578" max="13578" width="15.44140625" style="622" bestFit="1" customWidth="1"/>
    <col min="13579" max="13580" width="12.6640625" style="622" bestFit="1" customWidth="1"/>
    <col min="13581" max="13581" width="10.109375" style="622" bestFit="1" customWidth="1"/>
    <col min="13582" max="13582" width="12.109375" style="622" customWidth="1"/>
    <col min="13583" max="13825" width="9.109375" style="622"/>
    <col min="13826" max="13826" width="24.5546875" style="622" customWidth="1"/>
    <col min="13827" max="13833" width="9.109375" style="622"/>
    <col min="13834" max="13834" width="15.44140625" style="622" bestFit="1" customWidth="1"/>
    <col min="13835" max="13836" width="12.6640625" style="622" bestFit="1" customWidth="1"/>
    <col min="13837" max="13837" width="10.109375" style="622" bestFit="1" customWidth="1"/>
    <col min="13838" max="13838" width="12.109375" style="622" customWidth="1"/>
    <col min="13839" max="14081" width="9.109375" style="622"/>
    <col min="14082" max="14082" width="24.5546875" style="622" customWidth="1"/>
    <col min="14083" max="14089" width="9.109375" style="622"/>
    <col min="14090" max="14090" width="15.44140625" style="622" bestFit="1" customWidth="1"/>
    <col min="14091" max="14092" width="12.6640625" style="622" bestFit="1" customWidth="1"/>
    <col min="14093" max="14093" width="10.109375" style="622" bestFit="1" customWidth="1"/>
    <col min="14094" max="14094" width="12.109375" style="622" customWidth="1"/>
    <col min="14095" max="14337" width="9.109375" style="622"/>
    <col min="14338" max="14338" width="24.5546875" style="622" customWidth="1"/>
    <col min="14339" max="14345" width="9.109375" style="622"/>
    <col min="14346" max="14346" width="15.44140625" style="622" bestFit="1" customWidth="1"/>
    <col min="14347" max="14348" width="12.6640625" style="622" bestFit="1" customWidth="1"/>
    <col min="14349" max="14349" width="10.109375" style="622" bestFit="1" customWidth="1"/>
    <col min="14350" max="14350" width="12.109375" style="622" customWidth="1"/>
    <col min="14351" max="14593" width="9.109375" style="622"/>
    <col min="14594" max="14594" width="24.5546875" style="622" customWidth="1"/>
    <col min="14595" max="14601" width="9.109375" style="622"/>
    <col min="14602" max="14602" width="15.44140625" style="622" bestFit="1" customWidth="1"/>
    <col min="14603" max="14604" width="12.6640625" style="622" bestFit="1" customWidth="1"/>
    <col min="14605" max="14605" width="10.109375" style="622" bestFit="1" customWidth="1"/>
    <col min="14606" max="14606" width="12.109375" style="622" customWidth="1"/>
    <col min="14607" max="14849" width="9.109375" style="622"/>
    <col min="14850" max="14850" width="24.5546875" style="622" customWidth="1"/>
    <col min="14851" max="14857" width="9.109375" style="622"/>
    <col min="14858" max="14858" width="15.44140625" style="622" bestFit="1" customWidth="1"/>
    <col min="14859" max="14860" width="12.6640625" style="622" bestFit="1" customWidth="1"/>
    <col min="14861" max="14861" width="10.109375" style="622" bestFit="1" customWidth="1"/>
    <col min="14862" max="14862" width="12.109375" style="622" customWidth="1"/>
    <col min="14863" max="15105" width="9.109375" style="622"/>
    <col min="15106" max="15106" width="24.5546875" style="622" customWidth="1"/>
    <col min="15107" max="15113" width="9.109375" style="622"/>
    <col min="15114" max="15114" width="15.44140625" style="622" bestFit="1" customWidth="1"/>
    <col min="15115" max="15116" width="12.6640625" style="622" bestFit="1" customWidth="1"/>
    <col min="15117" max="15117" width="10.109375" style="622" bestFit="1" customWidth="1"/>
    <col min="15118" max="15118" width="12.109375" style="622" customWidth="1"/>
    <col min="15119" max="15361" width="9.109375" style="622"/>
    <col min="15362" max="15362" width="24.5546875" style="622" customWidth="1"/>
    <col min="15363" max="15369" width="9.109375" style="622"/>
    <col min="15370" max="15370" width="15.44140625" style="622" bestFit="1" customWidth="1"/>
    <col min="15371" max="15372" width="12.6640625" style="622" bestFit="1" customWidth="1"/>
    <col min="15373" max="15373" width="10.109375" style="622" bestFit="1" customWidth="1"/>
    <col min="15374" max="15374" width="12.109375" style="622" customWidth="1"/>
    <col min="15375" max="15617" width="9.109375" style="622"/>
    <col min="15618" max="15618" width="24.5546875" style="622" customWidth="1"/>
    <col min="15619" max="15625" width="9.109375" style="622"/>
    <col min="15626" max="15626" width="15.44140625" style="622" bestFit="1" customWidth="1"/>
    <col min="15627" max="15628" width="12.6640625" style="622" bestFit="1" customWidth="1"/>
    <col min="15629" max="15629" width="10.109375" style="622" bestFit="1" customWidth="1"/>
    <col min="15630" max="15630" width="12.109375" style="622" customWidth="1"/>
    <col min="15631" max="15873" width="9.109375" style="622"/>
    <col min="15874" max="15874" width="24.5546875" style="622" customWidth="1"/>
    <col min="15875" max="15881" width="9.109375" style="622"/>
    <col min="15882" max="15882" width="15.44140625" style="622" bestFit="1" customWidth="1"/>
    <col min="15883" max="15884" width="12.6640625" style="622" bestFit="1" customWidth="1"/>
    <col min="15885" max="15885" width="10.109375" style="622" bestFit="1" customWidth="1"/>
    <col min="15886" max="15886" width="12.109375" style="622" customWidth="1"/>
    <col min="15887" max="16129" width="9.109375" style="622"/>
    <col min="16130" max="16130" width="24.5546875" style="622" customWidth="1"/>
    <col min="16131" max="16137" width="9.109375" style="622"/>
    <col min="16138" max="16138" width="15.44140625" style="622" bestFit="1" customWidth="1"/>
    <col min="16139" max="16140" width="12.6640625" style="622" bestFit="1" customWidth="1"/>
    <col min="16141" max="16141" width="10.109375" style="622" bestFit="1" customWidth="1"/>
    <col min="16142" max="16142" width="12.109375" style="622" customWidth="1"/>
    <col min="16143" max="16384" width="9.109375" style="622"/>
  </cols>
  <sheetData>
    <row r="1" spans="1:14">
      <c r="A1" s="1603" t="s">
        <v>507</v>
      </c>
      <c r="B1" s="1604"/>
      <c r="C1" s="1604"/>
      <c r="D1" s="1604"/>
      <c r="E1" s="1604"/>
      <c r="F1" s="1604"/>
      <c r="G1" s="1604"/>
      <c r="H1" s="1605"/>
      <c r="I1" s="1587" t="s">
        <v>492</v>
      </c>
      <c r="J1" s="1588"/>
      <c r="K1" s="1588"/>
      <c r="L1" s="1588"/>
      <c r="M1" s="1588"/>
      <c r="N1" s="1591" t="s">
        <v>329</v>
      </c>
    </row>
    <row r="2" spans="1:14">
      <c r="A2" s="1593"/>
      <c r="B2" s="1594"/>
      <c r="C2" s="1594"/>
      <c r="D2" s="1594"/>
      <c r="E2" s="1594"/>
      <c r="F2" s="1594"/>
      <c r="G2" s="1594"/>
      <c r="H2" s="1594"/>
      <c r="I2" s="1589"/>
      <c r="J2" s="1590"/>
      <c r="K2" s="1590"/>
      <c r="L2" s="1590"/>
      <c r="M2" s="1590"/>
      <c r="N2" s="1592"/>
    </row>
    <row r="3" spans="1:14">
      <c r="A3" s="749" t="s">
        <v>745</v>
      </c>
      <c r="B3" s="748" t="str">
        <f>'F1 Forecast Consultant'!C3</f>
        <v>Western</v>
      </c>
      <c r="H3" s="527"/>
      <c r="I3" s="1595" t="s">
        <v>493</v>
      </c>
      <c r="J3" s="1596"/>
      <c r="K3" s="1578">
        <f>'F1  Cover'!K8</f>
        <v>1</v>
      </c>
      <c r="L3" s="1579"/>
      <c r="M3" s="1579"/>
      <c r="N3" s="1580"/>
    </row>
    <row r="4" spans="1:14" ht="13.8" thickBot="1">
      <c r="A4" s="1597"/>
      <c r="B4" s="1598"/>
      <c r="C4" s="1598"/>
      <c r="D4" s="1598"/>
      <c r="E4" s="1598"/>
      <c r="F4" s="1598"/>
      <c r="G4" s="1598"/>
      <c r="H4" s="1598"/>
      <c r="I4" s="1599" t="s">
        <v>494</v>
      </c>
      <c r="J4" s="1600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98</v>
      </c>
      <c r="B6" s="725" t="s">
        <v>0</v>
      </c>
      <c r="C6" s="730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'ADJ-Summary'!$J$9</f>
        <v>0</v>
      </c>
      <c r="K11" s="631">
        <f>'ADJ-Summary'!$J$16</f>
        <v>0</v>
      </c>
      <c r="L11" s="855">
        <f>DATA!$GR$52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'ADJ-Summary'!$J$32</f>
        <v>0</v>
      </c>
      <c r="K14" s="631">
        <f>'ADJ-Summary'!$J$39</f>
        <v>0</v>
      </c>
      <c r="L14" s="855">
        <f>DATA!$GT$52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'ADJ-Summary'!$J$56</f>
        <v>0</v>
      </c>
      <c r="K17" s="631">
        <f>'ADJ-Summary'!$J$63</f>
        <v>0</v>
      </c>
      <c r="L17" s="855">
        <f>DATA!$GV$52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'ADJ-Summary'!$J$79</f>
        <v>0</v>
      </c>
      <c r="K20" s="631">
        <f>'ADJ-Summary'!$J$86</f>
        <v>0</v>
      </c>
      <c r="L20" s="855">
        <f>DATA!$GX$52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'ADJ-Summary'!$J$102</f>
        <v>0</v>
      </c>
      <c r="K23" s="631">
        <f>'ADJ-Summary'!$J$109</f>
        <v>0</v>
      </c>
      <c r="L23" s="855">
        <f>DATA!$GZ$52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'ADJ-Summary'!$J$125</f>
        <v>0</v>
      </c>
      <c r="K26" s="631">
        <f>'ADJ-Summary'!$J$132</f>
        <v>0</v>
      </c>
      <c r="L26" s="855">
        <f>DATA!$HB$52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'ADJ-Summary'!$J$148</f>
        <v>0</v>
      </c>
      <c r="K29" s="631">
        <f>'ADJ-Summary'!$J$155</f>
        <v>0</v>
      </c>
      <c r="L29" s="855">
        <f>DATA!$HD$52</f>
        <v>0</v>
      </c>
      <c r="M29" s="631">
        <f>+(G29+F29)*K29-L29</f>
        <v>0</v>
      </c>
      <c r="N29" s="632">
        <f>L29+M29</f>
        <v>0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>
        <f>'ADJ-Summary'!$J$10</f>
        <v>0</v>
      </c>
      <c r="K33" s="631">
        <f>'ADJ-Summary'!$J$17</f>
        <v>0</v>
      </c>
      <c r="L33" s="855">
        <f>DATA!$HF$52</f>
        <v>0</v>
      </c>
      <c r="M33" s="631">
        <f>+(G33+F33)*K33-L33</f>
        <v>0</v>
      </c>
      <c r="N33" s="632">
        <f>L33+M33</f>
        <v>0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>
        <f>'ADJ-Summary'!$J$33</f>
        <v>0</v>
      </c>
      <c r="K36" s="631">
        <f>'ADJ-Summary'!$J$40</f>
        <v>0</v>
      </c>
      <c r="L36" s="855">
        <f>DATA!$HH$52</f>
        <v>0</v>
      </c>
      <c r="M36" s="631">
        <f>+(G36+F36)*K36-L36</f>
        <v>0</v>
      </c>
      <c r="N36" s="632">
        <f>L36+M36</f>
        <v>0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>
        <f>'ADJ-Summary'!$J$57</f>
        <v>0</v>
      </c>
      <c r="K39" s="631">
        <f>'ADJ-Summary'!$J$64</f>
        <v>0</v>
      </c>
      <c r="L39" s="855">
        <f>DATA!$HJ$52</f>
        <v>0</v>
      </c>
      <c r="M39" s="631">
        <f>+(G39+F39)*K39-L39</f>
        <v>0</v>
      </c>
      <c r="N39" s="632">
        <f>L39+M39</f>
        <v>0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>
        <f>'ADJ-Summary'!$J$80</f>
        <v>0</v>
      </c>
      <c r="K42" s="631">
        <f>'ADJ-Summary'!$J$87</f>
        <v>0</v>
      </c>
      <c r="L42" s="855">
        <f>DATA!$HL$52</f>
        <v>0</v>
      </c>
      <c r="M42" s="631">
        <f>+(G42+F42)*K42-L42</f>
        <v>0</v>
      </c>
      <c r="N42" s="632">
        <f>L42+M42</f>
        <v>0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>
        <f>'ADJ-Summary'!$J$103</f>
        <v>0</v>
      </c>
      <c r="K45" s="631">
        <f>'ADJ-Summary'!$J$110</f>
        <v>0</v>
      </c>
      <c r="L45" s="855">
        <f>DATA!$HN$52</f>
        <v>0</v>
      </c>
      <c r="M45" s="631">
        <f>+(G45+F45)*K45-L45</f>
        <v>0</v>
      </c>
      <c r="N45" s="632">
        <f>L45+M45</f>
        <v>0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>
        <f>'ADJ-Summary'!$J$126</f>
        <v>0</v>
      </c>
      <c r="K48" s="631">
        <f>'ADJ-Summary'!$J$133</f>
        <v>0</v>
      </c>
      <c r="L48" s="855">
        <f>DATA!$HP$52</f>
        <v>0</v>
      </c>
      <c r="M48" s="631">
        <f>+(G48+F48)*K48-L48</f>
        <v>0</v>
      </c>
      <c r="N48" s="632">
        <f>L48+M48</f>
        <v>0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>
        <f>'ADJ-Summary'!$J$149</f>
        <v>0</v>
      </c>
      <c r="K51" s="631">
        <f>'ADJ-Summary'!$J$156</f>
        <v>0</v>
      </c>
      <c r="L51" s="855">
        <f>DATA!$HR$52</f>
        <v>0</v>
      </c>
      <c r="M51" s="631">
        <f>+(G51+F51)*K51-L51</f>
        <v>0</v>
      </c>
      <c r="N51" s="632">
        <f>L51+M51</f>
        <v>0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>
        <f>'ADJ-Summary'!$J$11</f>
        <v>0</v>
      </c>
      <c r="K55" s="631">
        <f>'ADJ-Summary'!$J$18</f>
        <v>0</v>
      </c>
      <c r="L55" s="855">
        <f>DATA!$HT$52</f>
        <v>0</v>
      </c>
      <c r="M55" s="631">
        <f>+(G55+F55)*K55-L55</f>
        <v>0</v>
      </c>
      <c r="N55" s="632">
        <f>L55+M55</f>
        <v>0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>
        <f>'ADJ-Summary'!$J$34</f>
        <v>0</v>
      </c>
      <c r="K58" s="631">
        <f>'ADJ-Summary'!$J$41</f>
        <v>0</v>
      </c>
      <c r="L58" s="855">
        <f>DATA!$HV$52</f>
        <v>0</v>
      </c>
      <c r="M58" s="631">
        <f>+(G58+F58)*K58-L58</f>
        <v>0</v>
      </c>
      <c r="N58" s="632">
        <f>L58+M58</f>
        <v>0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>
        <f>'ADJ-Summary'!$J$58</f>
        <v>0</v>
      </c>
      <c r="K61" s="631">
        <f>'ADJ-Summary'!$J$65</f>
        <v>0</v>
      </c>
      <c r="L61" s="855">
        <f>DATA!$HX$52</f>
        <v>0</v>
      </c>
      <c r="M61" s="631">
        <f>+(G61+F61)*K61-L61</f>
        <v>0</v>
      </c>
      <c r="N61" s="632">
        <f>L61+M61</f>
        <v>0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>
        <f>'ADJ-Summary'!$J$81</f>
        <v>0</v>
      </c>
      <c r="K64" s="631">
        <f>'ADJ-Summary'!$J$88</f>
        <v>0</v>
      </c>
      <c r="L64" s="855">
        <f>DATA!$HZ$52</f>
        <v>0</v>
      </c>
      <c r="M64" s="631">
        <f>+(G64+F64)*K64-L64</f>
        <v>0</v>
      </c>
      <c r="N64" s="632">
        <f>L64+M64</f>
        <v>0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>
        <f>'ADJ-Summary'!$J$104</f>
        <v>0</v>
      </c>
      <c r="K67" s="631">
        <f>'ADJ-Summary'!$J$111</f>
        <v>0</v>
      </c>
      <c r="L67" s="855">
        <f>DATA!$IB$52</f>
        <v>0</v>
      </c>
      <c r="M67" s="631">
        <f>+(G67+F67)*K67-L67</f>
        <v>0</v>
      </c>
      <c r="N67" s="632">
        <f>L67+M67</f>
        <v>0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>
        <f>'ADJ-Summary'!$J$127</f>
        <v>0</v>
      </c>
      <c r="K70" s="631">
        <f>'ADJ-Summary'!$J$134</f>
        <v>0</v>
      </c>
      <c r="L70" s="855">
        <f>DATA!$ID$52</f>
        <v>0</v>
      </c>
      <c r="M70" s="631">
        <f>+(G70+F70)*K70-L70</f>
        <v>0</v>
      </c>
      <c r="N70" s="632">
        <f>L70+M70</f>
        <v>0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>
        <f>'ADJ-Summary'!$J$150</f>
        <v>0</v>
      </c>
      <c r="K73" s="631">
        <f>'ADJ-Summary'!$J$157</f>
        <v>0</v>
      </c>
      <c r="L73" s="855">
        <f>DATA!$IF$52</f>
        <v>0</v>
      </c>
      <c r="M73" s="631">
        <f>+(G73+F73)*K73-L73</f>
        <v>0</v>
      </c>
      <c r="N73" s="632">
        <f>L73+M73</f>
        <v>0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8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8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8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10</v>
      </c>
      <c r="E79" s="722">
        <f t="shared" ref="E79:E81" si="0">D79</f>
        <v>10</v>
      </c>
      <c r="F79" s="855">
        <f>DATA!$CU$52</f>
        <v>0</v>
      </c>
      <c r="G79" s="954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0</v>
      </c>
      <c r="E80" s="722">
        <f t="shared" si="0"/>
        <v>0</v>
      </c>
      <c r="F80" s="855">
        <f>DATA!$KA$52</f>
        <v>0</v>
      </c>
      <c r="G80" s="954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0</v>
      </c>
      <c r="E81" s="722">
        <f t="shared" si="0"/>
        <v>0</v>
      </c>
      <c r="F81" s="855">
        <f>DATA!$KB$52</f>
        <v>0</v>
      </c>
      <c r="G81" s="954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Sums'!K95-'C3.4'!F83</f>
        <v>0</v>
      </c>
      <c r="H83" s="632">
        <f>F83+G83</f>
        <v>0</v>
      </c>
      <c r="I83" s="733">
        <f>'Pricing Schedule'!F165</f>
        <v>100000</v>
      </c>
      <c r="J83" s="631">
        <f>D83*I83</f>
        <v>100000</v>
      </c>
      <c r="K83" s="631">
        <f>E83*I83</f>
        <v>100000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8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Sums'!K104-'C3.4'!F86</f>
        <v>0</v>
      </c>
      <c r="H86" s="632">
        <f>F86+G86</f>
        <v>0</v>
      </c>
      <c r="I86" s="733">
        <f>'Pricing Schedule'!F168</f>
        <v>100000</v>
      </c>
      <c r="J86" s="631">
        <f>D86*I86</f>
        <v>100000</v>
      </c>
      <c r="K86" s="631">
        <f>E86*I86</f>
        <v>100000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8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8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250000</v>
      </c>
      <c r="J91" s="631">
        <f>D91*I91</f>
        <v>250000</v>
      </c>
      <c r="K91" s="631">
        <f>E91*I91</f>
        <v>250000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250000</v>
      </c>
      <c r="J92" s="631">
        <f>D92*I92</f>
        <v>250000</v>
      </c>
      <c r="K92" s="631">
        <f>E92*I92</f>
        <v>250000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Sums'!K114-'C3.4'!F93</f>
        <v>0</v>
      </c>
      <c r="H93" s="632">
        <f>F93+G93</f>
        <v>0</v>
      </c>
      <c r="I93" s="733">
        <f>'Pricing Schedule'!F175</f>
        <v>100000</v>
      </c>
      <c r="J93" s="631">
        <f>D93*I93</f>
        <v>100000</v>
      </c>
      <c r="K93" s="631">
        <f>E93*I93</f>
        <v>100000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10</v>
      </c>
      <c r="E95" s="722">
        <f>D95</f>
        <v>10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10</v>
      </c>
      <c r="E96" s="722">
        <f t="shared" ref="E96:E97" si="13">D96</f>
        <v>10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Sums'!K123-'C3.4'!F97</f>
        <v>0</v>
      </c>
      <c r="H97" s="632">
        <f>F97+G97</f>
        <v>0</v>
      </c>
      <c r="I97" s="733">
        <f>'Pricing Schedule'!F179</f>
        <v>100000</v>
      </c>
      <c r="J97" s="631">
        <f t="shared" si="14"/>
        <v>100000</v>
      </c>
      <c r="K97" s="631">
        <f t="shared" si="15"/>
        <v>100000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8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Sums'!K132-'C3.4'!F100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Sums'!K140-'C3.4'!F101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Sums'!K149-'C3.4'!F104</f>
        <v>0</v>
      </c>
      <c r="H104" s="632">
        <f>F104+G104</f>
        <v>0</v>
      </c>
      <c r="I104" s="733">
        <f>'Pricing Schedule'!F186</f>
        <v>0</v>
      </c>
      <c r="J104" s="631">
        <f>D104*I104</f>
        <v>0</v>
      </c>
      <c r="K104" s="631">
        <f>E104*I104</f>
        <v>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Sums'!K157-'C3.4'!F105</f>
        <v>0</v>
      </c>
      <c r="H105" s="632">
        <f>F105+G105</f>
        <v>0</v>
      </c>
      <c r="I105" s="733">
        <f>'Pricing Schedule'!F187</f>
        <v>0</v>
      </c>
      <c r="J105" s="631">
        <f>D105*I105</f>
        <v>0</v>
      </c>
      <c r="K105" s="631">
        <f>E105*I105</f>
        <v>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0</v>
      </c>
      <c r="E106" s="631">
        <f>K105</f>
        <v>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8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Sums'!K166-'C3.4'!F109</f>
        <v>0</v>
      </c>
      <c r="H109" s="632">
        <f t="shared" si="30"/>
        <v>0</v>
      </c>
      <c r="I109" s="733">
        <f>'Pricing Schedule'!F191</f>
        <v>0</v>
      </c>
      <c r="J109" s="631">
        <f t="shared" si="31"/>
        <v>0</v>
      </c>
      <c r="K109" s="631">
        <f t="shared" si="32"/>
        <v>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0</v>
      </c>
      <c r="E110" s="631">
        <f>K109</f>
        <v>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0</v>
      </c>
      <c r="E111" s="722">
        <f>D111</f>
        <v>0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0</v>
      </c>
      <c r="E112" s="722">
        <f t="shared" ref="E112:E113" si="37">D112</f>
        <v>0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0</v>
      </c>
      <c r="E113" s="722">
        <f t="shared" si="37"/>
        <v>0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0</v>
      </c>
      <c r="E115" s="722">
        <f>D115</f>
        <v>0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0</v>
      </c>
      <c r="E116" s="722">
        <f>D116</f>
        <v>0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0</v>
      </c>
      <c r="E119" s="722">
        <f>D119</f>
        <v>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0</v>
      </c>
      <c r="E120" s="722">
        <f t="shared" ref="E120:E147" si="44">D120</f>
        <v>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0</v>
      </c>
      <c r="E121" s="722">
        <f t="shared" si="44"/>
        <v>0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0</v>
      </c>
      <c r="E122" s="722">
        <f t="shared" si="44"/>
        <v>0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0</v>
      </c>
      <c r="E123" s="722">
        <f t="shared" si="44"/>
        <v>0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0</v>
      </c>
      <c r="E124" s="722">
        <f t="shared" si="44"/>
        <v>0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0</v>
      </c>
      <c r="E125" s="722">
        <f t="shared" si="44"/>
        <v>0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0</v>
      </c>
      <c r="E126" s="722">
        <f t="shared" si="44"/>
        <v>0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0</v>
      </c>
      <c r="E127" s="722">
        <f t="shared" si="44"/>
        <v>0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0</v>
      </c>
      <c r="E128" s="722">
        <f t="shared" si="44"/>
        <v>0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0</v>
      </c>
      <c r="E129" s="722">
        <f t="shared" si="44"/>
        <v>0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0</v>
      </c>
      <c r="E130" s="722">
        <f t="shared" si="44"/>
        <v>0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0</v>
      </c>
      <c r="E131" s="722">
        <f t="shared" si="44"/>
        <v>0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0</v>
      </c>
      <c r="E132" s="722">
        <f t="shared" si="44"/>
        <v>0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0</v>
      </c>
      <c r="E133" s="722">
        <f t="shared" si="44"/>
        <v>0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0</v>
      </c>
      <c r="E134" s="722">
        <f t="shared" si="44"/>
        <v>0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0</v>
      </c>
      <c r="E135" s="722">
        <f t="shared" si="44"/>
        <v>0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0</v>
      </c>
      <c r="E136" s="722">
        <f t="shared" si="44"/>
        <v>0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0</v>
      </c>
      <c r="E137" s="722">
        <f t="shared" si="44"/>
        <v>0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0</v>
      </c>
      <c r="E138" s="722">
        <f t="shared" si="44"/>
        <v>0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0</v>
      </c>
      <c r="E139" s="722">
        <f t="shared" si="44"/>
        <v>0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0</v>
      </c>
      <c r="E140" s="722">
        <f t="shared" si="44"/>
        <v>0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0</v>
      </c>
      <c r="E141" s="722">
        <f t="shared" si="44"/>
        <v>0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0</v>
      </c>
      <c r="E142" s="722">
        <f t="shared" si="44"/>
        <v>0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0</v>
      </c>
      <c r="E143" s="722">
        <f t="shared" si="44"/>
        <v>0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0</v>
      </c>
      <c r="E144" s="722">
        <f t="shared" si="44"/>
        <v>0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0</v>
      </c>
      <c r="E145" s="722">
        <f t="shared" si="44"/>
        <v>0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0</v>
      </c>
      <c r="E146" s="722">
        <f t="shared" si="44"/>
        <v>0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Sums'!K175-'C3.4'!F147</f>
        <v>0</v>
      </c>
      <c r="H147" s="632">
        <f t="shared" si="38"/>
        <v>0</v>
      </c>
      <c r="I147" s="733">
        <f>'Pricing Schedule'!F229</f>
        <v>250000</v>
      </c>
      <c r="J147" s="631">
        <f t="shared" si="39"/>
        <v>250000</v>
      </c>
      <c r="K147" s="631">
        <f t="shared" si="40"/>
        <v>250000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3" t="str">
        <f>'Pricing Schedule'!C230</f>
        <v>percentage (%)</v>
      </c>
      <c r="D148" s="651">
        <f>'Pricing Schedule'!D230</f>
        <v>250000</v>
      </c>
      <c r="E148" s="631">
        <f>K147</f>
        <v>250000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4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9"/>
      <c r="E149" s="940"/>
      <c r="F149" s="940"/>
      <c r="G149" s="940"/>
      <c r="H149" s="941"/>
      <c r="I149" s="942"/>
      <c r="J149" s="940"/>
      <c r="K149" s="940"/>
      <c r="L149" s="940"/>
      <c r="M149" s="940"/>
      <c r="N149" s="941"/>
    </row>
    <row r="150" spans="1:14" ht="31.5" customHeight="1">
      <c r="A150" s="944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Sums'!K184-'C3.4'!F150</f>
        <v>0</v>
      </c>
      <c r="H150" s="632">
        <f t="shared" ref="H150" si="48">F150+G150</f>
        <v>0</v>
      </c>
      <c r="I150" s="733">
        <f>'Pricing Schedule'!F232</f>
        <v>250000</v>
      </c>
      <c r="J150" s="631">
        <f t="shared" ref="J150" si="49">D150*I150</f>
        <v>250000</v>
      </c>
      <c r="K150" s="631">
        <f t="shared" ref="K150" si="50">E150*I150</f>
        <v>250000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4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250000</v>
      </c>
      <c r="E151" s="631">
        <f>K150</f>
        <v>250000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4" t="str">
        <f>'Pricing Schedule'!A234</f>
        <v>3.4.15</v>
      </c>
      <c r="B152" s="630" t="str">
        <f>'Pricing Schedule'!B234</f>
        <v>Employer’s Gateway Review Process</v>
      </c>
      <c r="C152" s="630"/>
      <c r="D152" s="939"/>
      <c r="E152" s="940"/>
      <c r="F152" s="940"/>
      <c r="G152" s="940"/>
      <c r="H152" s="941"/>
      <c r="I152" s="942"/>
      <c r="J152" s="940"/>
      <c r="K152" s="940"/>
      <c r="L152" s="940"/>
      <c r="M152" s="940"/>
      <c r="N152" s="941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8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8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60" t="s">
        <v>506</v>
      </c>
      <c r="B155" s="1560"/>
      <c r="C155" s="1560"/>
      <c r="D155" s="716"/>
      <c r="E155" s="717"/>
      <c r="F155" s="717"/>
      <c r="G155" s="717"/>
      <c r="H155" s="718"/>
      <c r="I155" s="716"/>
      <c r="J155" s="720">
        <f>SUM(J8:J154)</f>
        <v>1400000</v>
      </c>
      <c r="K155" s="720">
        <f t="shared" ref="K155:N155" si="68">SUM(K8:K154)</f>
        <v>1400000</v>
      </c>
      <c r="L155" s="720">
        <f t="shared" si="68"/>
        <v>0</v>
      </c>
      <c r="M155" s="720">
        <f t="shared" si="68"/>
        <v>0</v>
      </c>
      <c r="N155" s="720">
        <f t="shared" si="68"/>
        <v>0</v>
      </c>
    </row>
    <row r="158" spans="1:14" ht="30.9" customHeight="1">
      <c r="A158" s="817" t="s">
        <v>651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" customHeight="1">
      <c r="A159" s="622" t="s">
        <v>653</v>
      </c>
      <c r="J159" s="735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1400000</v>
      </c>
      <c r="K159" s="735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1400000</v>
      </c>
      <c r="L159" s="735">
        <f t="shared" si="70"/>
        <v>0</v>
      </c>
      <c r="M159" s="735">
        <f t="shared" si="70"/>
        <v>0</v>
      </c>
      <c r="N159" s="735">
        <f t="shared" si="70"/>
        <v>0</v>
      </c>
    </row>
    <row r="160" spans="1:14" ht="30.9" customHeight="1" thickBot="1">
      <c r="A160" s="622" t="s">
        <v>652</v>
      </c>
      <c r="J160" s="785">
        <f>SUM(J158:J159)</f>
        <v>1400000</v>
      </c>
      <c r="K160" s="785">
        <f t="shared" ref="K160:N160" si="71">SUM(K158:K159)</f>
        <v>1400000</v>
      </c>
      <c r="L160" s="785">
        <f t="shared" si="71"/>
        <v>0</v>
      </c>
      <c r="M160" s="785">
        <f t="shared" si="71"/>
        <v>0</v>
      </c>
      <c r="N160" s="785">
        <f t="shared" si="71"/>
        <v>0</v>
      </c>
    </row>
    <row r="161" ht="13.8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94" priority="82">
      <formula>H10="ERROR TOO MUCH"</formula>
    </cfRule>
  </conditionalFormatting>
  <conditionalFormatting sqref="E13">
    <cfRule type="expression" dxfId="2393" priority="80">
      <formula>H13="ERROR TOO MUCH"</formula>
    </cfRule>
  </conditionalFormatting>
  <conditionalFormatting sqref="E16">
    <cfRule type="expression" dxfId="2392" priority="78">
      <formula>H16="ERROR TOO MUCH"</formula>
    </cfRule>
  </conditionalFormatting>
  <conditionalFormatting sqref="E19">
    <cfRule type="expression" dxfId="2391" priority="76">
      <formula>H19="ERROR TOO MUCH"</formula>
    </cfRule>
  </conditionalFormatting>
  <conditionalFormatting sqref="E22">
    <cfRule type="expression" dxfId="2390" priority="74">
      <formula>H22="ERROR TOO MUCH"</formula>
    </cfRule>
  </conditionalFormatting>
  <conditionalFormatting sqref="E25">
    <cfRule type="expression" dxfId="2389" priority="72">
      <formula>H25="ERROR TOO MUCH"</formula>
    </cfRule>
  </conditionalFormatting>
  <conditionalFormatting sqref="E28">
    <cfRule type="expression" dxfId="2388" priority="70">
      <formula>H28="ERROR TOO MUCH"</formula>
    </cfRule>
  </conditionalFormatting>
  <conditionalFormatting sqref="E32">
    <cfRule type="expression" dxfId="2387" priority="68">
      <formula>H32="ERROR TOO MUCH"</formula>
    </cfRule>
  </conditionalFormatting>
  <conditionalFormatting sqref="E35">
    <cfRule type="expression" dxfId="2386" priority="66">
      <formula>H35="ERROR TOO MUCH"</formula>
    </cfRule>
  </conditionalFormatting>
  <conditionalFormatting sqref="E38">
    <cfRule type="expression" dxfId="2385" priority="64">
      <formula>H38="ERROR TOO MUCH"</formula>
    </cfRule>
  </conditionalFormatting>
  <conditionalFormatting sqref="E41">
    <cfRule type="expression" dxfId="2384" priority="62">
      <formula>H41="ERROR TOO MUCH"</formula>
    </cfRule>
  </conditionalFormatting>
  <conditionalFormatting sqref="E44">
    <cfRule type="expression" dxfId="2383" priority="60">
      <formula>H44="ERROR TOO MUCH"</formula>
    </cfRule>
  </conditionalFormatting>
  <conditionalFormatting sqref="E47">
    <cfRule type="expression" dxfId="2382" priority="58">
      <formula>H47="ERROR TOO MUCH"</formula>
    </cfRule>
  </conditionalFormatting>
  <conditionalFormatting sqref="E50">
    <cfRule type="expression" dxfId="2381" priority="56">
      <formula>H50="ERROR TOO MUCH"</formula>
    </cfRule>
  </conditionalFormatting>
  <conditionalFormatting sqref="E54">
    <cfRule type="expression" dxfId="2380" priority="54">
      <formula>H54="ERROR TOO MUCH"</formula>
    </cfRule>
  </conditionalFormatting>
  <conditionalFormatting sqref="E57">
    <cfRule type="expression" dxfId="2379" priority="52">
      <formula>H57="ERROR TOO MUCH"</formula>
    </cfRule>
  </conditionalFormatting>
  <conditionalFormatting sqref="E60">
    <cfRule type="expression" dxfId="2378" priority="50">
      <formula>H60="ERROR TOO MUCH"</formula>
    </cfRule>
  </conditionalFormatting>
  <conditionalFormatting sqref="E63">
    <cfRule type="expression" dxfId="2377" priority="48">
      <formula>H63="ERROR TOO MUCH"</formula>
    </cfRule>
  </conditionalFormatting>
  <conditionalFormatting sqref="E66">
    <cfRule type="expression" dxfId="2376" priority="46">
      <formula>H66="ERROR TOO MUCH"</formula>
    </cfRule>
  </conditionalFormatting>
  <conditionalFormatting sqref="E69">
    <cfRule type="expression" dxfId="2375" priority="44">
      <formula>H69="ERROR TOO MUCH"</formula>
    </cfRule>
  </conditionalFormatting>
  <conditionalFormatting sqref="E72">
    <cfRule type="expression" dxfId="2374" priority="42">
      <formula>H72="ERROR TOO MUCH"</formula>
    </cfRule>
  </conditionalFormatting>
  <conditionalFormatting sqref="H10:H11">
    <cfRule type="containsText" dxfId="2373" priority="21" operator="containsText" text="ERROR">
      <formula>NOT(ISERROR(SEARCH("ERROR",H10)))</formula>
    </cfRule>
  </conditionalFormatting>
  <conditionalFormatting sqref="H13:H14">
    <cfRule type="containsText" dxfId="2372" priority="20" operator="containsText" text="ERROR">
      <formula>NOT(ISERROR(SEARCH("ERROR",H13)))</formula>
    </cfRule>
  </conditionalFormatting>
  <conditionalFormatting sqref="H16:H17">
    <cfRule type="containsText" dxfId="2371" priority="19" operator="containsText" text="ERROR">
      <formula>NOT(ISERROR(SEARCH("ERROR",H16)))</formula>
    </cfRule>
  </conditionalFormatting>
  <conditionalFormatting sqref="H19:H20">
    <cfRule type="containsText" dxfId="2370" priority="18" operator="containsText" text="ERROR">
      <formula>NOT(ISERROR(SEARCH("ERROR",H19)))</formula>
    </cfRule>
  </conditionalFormatting>
  <conditionalFormatting sqref="H22:H23">
    <cfRule type="containsText" dxfId="2369" priority="17" operator="containsText" text="ERROR">
      <formula>NOT(ISERROR(SEARCH("ERROR",H22)))</formula>
    </cfRule>
  </conditionalFormatting>
  <conditionalFormatting sqref="H25:H26">
    <cfRule type="containsText" dxfId="2368" priority="16" operator="containsText" text="ERROR">
      <formula>NOT(ISERROR(SEARCH("ERROR",H25)))</formula>
    </cfRule>
  </conditionalFormatting>
  <conditionalFormatting sqref="H28:H29">
    <cfRule type="containsText" dxfId="2367" priority="15" operator="containsText" text="ERROR">
      <formula>NOT(ISERROR(SEARCH("ERROR",H28)))</formula>
    </cfRule>
  </conditionalFormatting>
  <conditionalFormatting sqref="H32:H33">
    <cfRule type="containsText" dxfId="2366" priority="14" operator="containsText" text="ERROR">
      <formula>NOT(ISERROR(SEARCH("ERROR",H32)))</formula>
    </cfRule>
  </conditionalFormatting>
  <conditionalFormatting sqref="H35:H36">
    <cfRule type="containsText" dxfId="2365" priority="13" operator="containsText" text="ERROR">
      <formula>NOT(ISERROR(SEARCH("ERROR",H35)))</formula>
    </cfRule>
  </conditionalFormatting>
  <conditionalFormatting sqref="H38:H39">
    <cfRule type="containsText" dxfId="2364" priority="12" operator="containsText" text="ERROR">
      <formula>NOT(ISERROR(SEARCH("ERROR",H38)))</formula>
    </cfRule>
  </conditionalFormatting>
  <conditionalFormatting sqref="H41:H42">
    <cfRule type="containsText" dxfId="2363" priority="11" operator="containsText" text="ERROR">
      <formula>NOT(ISERROR(SEARCH("ERROR",H41)))</formula>
    </cfRule>
  </conditionalFormatting>
  <conditionalFormatting sqref="H44:H45">
    <cfRule type="containsText" dxfId="2362" priority="10" operator="containsText" text="ERROR">
      <formula>NOT(ISERROR(SEARCH("ERROR",H44)))</formula>
    </cfRule>
  </conditionalFormatting>
  <conditionalFormatting sqref="H47:H48">
    <cfRule type="containsText" dxfId="2361" priority="9" operator="containsText" text="ERROR">
      <formula>NOT(ISERROR(SEARCH("ERROR",H47)))</formula>
    </cfRule>
  </conditionalFormatting>
  <conditionalFormatting sqref="H50:H51">
    <cfRule type="containsText" dxfId="2360" priority="8" operator="containsText" text="ERROR">
      <formula>NOT(ISERROR(SEARCH("ERROR",H50)))</formula>
    </cfRule>
  </conditionalFormatting>
  <conditionalFormatting sqref="H54:H55">
    <cfRule type="containsText" dxfId="2359" priority="7" operator="containsText" text="ERROR">
      <formula>NOT(ISERROR(SEARCH("ERROR",H54)))</formula>
    </cfRule>
  </conditionalFormatting>
  <conditionalFormatting sqref="H57:H58">
    <cfRule type="containsText" dxfId="2358" priority="6" operator="containsText" text="ERROR">
      <formula>NOT(ISERROR(SEARCH("ERROR",H57)))</formula>
    </cfRule>
  </conditionalFormatting>
  <conditionalFormatting sqref="H60:H61">
    <cfRule type="containsText" dxfId="2357" priority="5" operator="containsText" text="ERROR">
      <formula>NOT(ISERROR(SEARCH("ERROR",H60)))</formula>
    </cfRule>
  </conditionalFormatting>
  <conditionalFormatting sqref="H63:H64">
    <cfRule type="containsText" dxfId="2356" priority="4" operator="containsText" text="ERROR">
      <formula>NOT(ISERROR(SEARCH("ERROR",H63)))</formula>
    </cfRule>
  </conditionalFormatting>
  <conditionalFormatting sqref="H66:H67">
    <cfRule type="containsText" dxfId="2355" priority="3" operator="containsText" text="ERROR">
      <formula>NOT(ISERROR(SEARCH("ERROR",H66)))</formula>
    </cfRule>
  </conditionalFormatting>
  <conditionalFormatting sqref="H69:H70">
    <cfRule type="containsText" dxfId="2354" priority="2" operator="containsText" text="ERROR">
      <formula>NOT(ISERROR(SEARCH("ERROR",H69)))</formula>
    </cfRule>
  </conditionalFormatting>
  <conditionalFormatting sqref="H72:H73">
    <cfRule type="containsText" dxfId="2353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5.88671875" style="622" customWidth="1"/>
    <col min="259" max="259" width="13.88671875" style="622" customWidth="1"/>
    <col min="260" max="265" width="9.109375" style="622"/>
    <col min="266" max="266" width="13.88671875" style="622" bestFit="1" customWidth="1"/>
    <col min="267" max="268" width="11.6640625" style="622" bestFit="1" customWidth="1"/>
    <col min="269" max="269" width="11.5546875" style="622" customWidth="1"/>
    <col min="270" max="270" width="16.5546875" style="622" customWidth="1"/>
    <col min="271" max="513" width="9.109375" style="622"/>
    <col min="514" max="514" width="25.88671875" style="622" customWidth="1"/>
    <col min="515" max="515" width="13.88671875" style="622" customWidth="1"/>
    <col min="516" max="521" width="9.109375" style="622"/>
    <col min="522" max="522" width="13.88671875" style="622" bestFit="1" customWidth="1"/>
    <col min="523" max="524" width="11.6640625" style="622" bestFit="1" customWidth="1"/>
    <col min="525" max="525" width="11.5546875" style="622" customWidth="1"/>
    <col min="526" max="526" width="16.5546875" style="622" customWidth="1"/>
    <col min="527" max="769" width="9.109375" style="622"/>
    <col min="770" max="770" width="25.88671875" style="622" customWidth="1"/>
    <col min="771" max="771" width="13.88671875" style="622" customWidth="1"/>
    <col min="772" max="777" width="9.109375" style="622"/>
    <col min="778" max="778" width="13.88671875" style="622" bestFit="1" customWidth="1"/>
    <col min="779" max="780" width="11.6640625" style="622" bestFit="1" customWidth="1"/>
    <col min="781" max="781" width="11.5546875" style="622" customWidth="1"/>
    <col min="782" max="782" width="16.5546875" style="622" customWidth="1"/>
    <col min="783" max="1025" width="9.109375" style="622"/>
    <col min="1026" max="1026" width="25.88671875" style="622" customWidth="1"/>
    <col min="1027" max="1027" width="13.88671875" style="622" customWidth="1"/>
    <col min="1028" max="1033" width="9.109375" style="622"/>
    <col min="1034" max="1034" width="13.88671875" style="622" bestFit="1" customWidth="1"/>
    <col min="1035" max="1036" width="11.6640625" style="622" bestFit="1" customWidth="1"/>
    <col min="1037" max="1037" width="11.5546875" style="622" customWidth="1"/>
    <col min="1038" max="1038" width="16.5546875" style="622" customWidth="1"/>
    <col min="1039" max="1281" width="9.109375" style="622"/>
    <col min="1282" max="1282" width="25.88671875" style="622" customWidth="1"/>
    <col min="1283" max="1283" width="13.88671875" style="622" customWidth="1"/>
    <col min="1284" max="1289" width="9.109375" style="622"/>
    <col min="1290" max="1290" width="13.88671875" style="622" bestFit="1" customWidth="1"/>
    <col min="1291" max="1292" width="11.6640625" style="622" bestFit="1" customWidth="1"/>
    <col min="1293" max="1293" width="11.5546875" style="622" customWidth="1"/>
    <col min="1294" max="1294" width="16.5546875" style="622" customWidth="1"/>
    <col min="1295" max="1537" width="9.109375" style="622"/>
    <col min="1538" max="1538" width="25.88671875" style="622" customWidth="1"/>
    <col min="1539" max="1539" width="13.88671875" style="622" customWidth="1"/>
    <col min="1540" max="1545" width="9.109375" style="622"/>
    <col min="1546" max="1546" width="13.88671875" style="622" bestFit="1" customWidth="1"/>
    <col min="1547" max="1548" width="11.6640625" style="622" bestFit="1" customWidth="1"/>
    <col min="1549" max="1549" width="11.5546875" style="622" customWidth="1"/>
    <col min="1550" max="1550" width="16.5546875" style="622" customWidth="1"/>
    <col min="1551" max="1793" width="9.109375" style="622"/>
    <col min="1794" max="1794" width="25.88671875" style="622" customWidth="1"/>
    <col min="1795" max="1795" width="13.88671875" style="622" customWidth="1"/>
    <col min="1796" max="1801" width="9.109375" style="622"/>
    <col min="1802" max="1802" width="13.88671875" style="622" bestFit="1" customWidth="1"/>
    <col min="1803" max="1804" width="11.6640625" style="622" bestFit="1" customWidth="1"/>
    <col min="1805" max="1805" width="11.5546875" style="622" customWidth="1"/>
    <col min="1806" max="1806" width="16.5546875" style="622" customWidth="1"/>
    <col min="1807" max="2049" width="9.109375" style="622"/>
    <col min="2050" max="2050" width="25.88671875" style="622" customWidth="1"/>
    <col min="2051" max="2051" width="13.88671875" style="622" customWidth="1"/>
    <col min="2052" max="2057" width="9.109375" style="622"/>
    <col min="2058" max="2058" width="13.88671875" style="622" bestFit="1" customWidth="1"/>
    <col min="2059" max="2060" width="11.6640625" style="622" bestFit="1" customWidth="1"/>
    <col min="2061" max="2061" width="11.5546875" style="622" customWidth="1"/>
    <col min="2062" max="2062" width="16.5546875" style="622" customWidth="1"/>
    <col min="2063" max="2305" width="9.109375" style="622"/>
    <col min="2306" max="2306" width="25.88671875" style="622" customWidth="1"/>
    <col min="2307" max="2307" width="13.88671875" style="622" customWidth="1"/>
    <col min="2308" max="2313" width="9.109375" style="622"/>
    <col min="2314" max="2314" width="13.88671875" style="622" bestFit="1" customWidth="1"/>
    <col min="2315" max="2316" width="11.6640625" style="622" bestFit="1" customWidth="1"/>
    <col min="2317" max="2317" width="11.5546875" style="622" customWidth="1"/>
    <col min="2318" max="2318" width="16.5546875" style="622" customWidth="1"/>
    <col min="2319" max="2561" width="9.109375" style="622"/>
    <col min="2562" max="2562" width="25.88671875" style="622" customWidth="1"/>
    <col min="2563" max="2563" width="13.88671875" style="622" customWidth="1"/>
    <col min="2564" max="2569" width="9.109375" style="622"/>
    <col min="2570" max="2570" width="13.88671875" style="622" bestFit="1" customWidth="1"/>
    <col min="2571" max="2572" width="11.6640625" style="622" bestFit="1" customWidth="1"/>
    <col min="2573" max="2573" width="11.5546875" style="622" customWidth="1"/>
    <col min="2574" max="2574" width="16.5546875" style="622" customWidth="1"/>
    <col min="2575" max="2817" width="9.109375" style="622"/>
    <col min="2818" max="2818" width="25.88671875" style="622" customWidth="1"/>
    <col min="2819" max="2819" width="13.88671875" style="622" customWidth="1"/>
    <col min="2820" max="2825" width="9.109375" style="622"/>
    <col min="2826" max="2826" width="13.88671875" style="622" bestFit="1" customWidth="1"/>
    <col min="2827" max="2828" width="11.6640625" style="622" bestFit="1" customWidth="1"/>
    <col min="2829" max="2829" width="11.5546875" style="622" customWidth="1"/>
    <col min="2830" max="2830" width="16.5546875" style="622" customWidth="1"/>
    <col min="2831" max="3073" width="9.109375" style="622"/>
    <col min="3074" max="3074" width="25.88671875" style="622" customWidth="1"/>
    <col min="3075" max="3075" width="13.88671875" style="622" customWidth="1"/>
    <col min="3076" max="3081" width="9.109375" style="622"/>
    <col min="3082" max="3082" width="13.88671875" style="622" bestFit="1" customWidth="1"/>
    <col min="3083" max="3084" width="11.6640625" style="622" bestFit="1" customWidth="1"/>
    <col min="3085" max="3085" width="11.5546875" style="622" customWidth="1"/>
    <col min="3086" max="3086" width="16.5546875" style="622" customWidth="1"/>
    <col min="3087" max="3329" width="9.109375" style="622"/>
    <col min="3330" max="3330" width="25.88671875" style="622" customWidth="1"/>
    <col min="3331" max="3331" width="13.88671875" style="622" customWidth="1"/>
    <col min="3332" max="3337" width="9.109375" style="622"/>
    <col min="3338" max="3338" width="13.88671875" style="622" bestFit="1" customWidth="1"/>
    <col min="3339" max="3340" width="11.6640625" style="622" bestFit="1" customWidth="1"/>
    <col min="3341" max="3341" width="11.5546875" style="622" customWidth="1"/>
    <col min="3342" max="3342" width="16.5546875" style="622" customWidth="1"/>
    <col min="3343" max="3585" width="9.109375" style="622"/>
    <col min="3586" max="3586" width="25.88671875" style="622" customWidth="1"/>
    <col min="3587" max="3587" width="13.88671875" style="622" customWidth="1"/>
    <col min="3588" max="3593" width="9.109375" style="622"/>
    <col min="3594" max="3594" width="13.88671875" style="622" bestFit="1" customWidth="1"/>
    <col min="3595" max="3596" width="11.6640625" style="622" bestFit="1" customWidth="1"/>
    <col min="3597" max="3597" width="11.5546875" style="622" customWidth="1"/>
    <col min="3598" max="3598" width="16.5546875" style="622" customWidth="1"/>
    <col min="3599" max="3841" width="9.109375" style="622"/>
    <col min="3842" max="3842" width="25.88671875" style="622" customWidth="1"/>
    <col min="3843" max="3843" width="13.88671875" style="622" customWidth="1"/>
    <col min="3844" max="3849" width="9.109375" style="622"/>
    <col min="3850" max="3850" width="13.88671875" style="622" bestFit="1" customWidth="1"/>
    <col min="3851" max="3852" width="11.6640625" style="622" bestFit="1" customWidth="1"/>
    <col min="3853" max="3853" width="11.5546875" style="622" customWidth="1"/>
    <col min="3854" max="3854" width="16.5546875" style="622" customWidth="1"/>
    <col min="3855" max="4097" width="9.109375" style="622"/>
    <col min="4098" max="4098" width="25.88671875" style="622" customWidth="1"/>
    <col min="4099" max="4099" width="13.88671875" style="622" customWidth="1"/>
    <col min="4100" max="4105" width="9.109375" style="622"/>
    <col min="4106" max="4106" width="13.88671875" style="622" bestFit="1" customWidth="1"/>
    <col min="4107" max="4108" width="11.6640625" style="622" bestFit="1" customWidth="1"/>
    <col min="4109" max="4109" width="11.5546875" style="622" customWidth="1"/>
    <col min="4110" max="4110" width="16.5546875" style="622" customWidth="1"/>
    <col min="4111" max="4353" width="9.109375" style="622"/>
    <col min="4354" max="4354" width="25.88671875" style="622" customWidth="1"/>
    <col min="4355" max="4355" width="13.88671875" style="622" customWidth="1"/>
    <col min="4356" max="4361" width="9.109375" style="622"/>
    <col min="4362" max="4362" width="13.88671875" style="622" bestFit="1" customWidth="1"/>
    <col min="4363" max="4364" width="11.6640625" style="622" bestFit="1" customWidth="1"/>
    <col min="4365" max="4365" width="11.5546875" style="622" customWidth="1"/>
    <col min="4366" max="4366" width="16.5546875" style="622" customWidth="1"/>
    <col min="4367" max="4609" width="9.109375" style="622"/>
    <col min="4610" max="4610" width="25.88671875" style="622" customWidth="1"/>
    <col min="4611" max="4611" width="13.88671875" style="622" customWidth="1"/>
    <col min="4612" max="4617" width="9.109375" style="622"/>
    <col min="4618" max="4618" width="13.88671875" style="622" bestFit="1" customWidth="1"/>
    <col min="4619" max="4620" width="11.6640625" style="622" bestFit="1" customWidth="1"/>
    <col min="4621" max="4621" width="11.5546875" style="622" customWidth="1"/>
    <col min="4622" max="4622" width="16.5546875" style="622" customWidth="1"/>
    <col min="4623" max="4865" width="9.109375" style="622"/>
    <col min="4866" max="4866" width="25.88671875" style="622" customWidth="1"/>
    <col min="4867" max="4867" width="13.88671875" style="622" customWidth="1"/>
    <col min="4868" max="4873" width="9.109375" style="622"/>
    <col min="4874" max="4874" width="13.88671875" style="622" bestFit="1" customWidth="1"/>
    <col min="4875" max="4876" width="11.6640625" style="622" bestFit="1" customWidth="1"/>
    <col min="4877" max="4877" width="11.5546875" style="622" customWidth="1"/>
    <col min="4878" max="4878" width="16.5546875" style="622" customWidth="1"/>
    <col min="4879" max="5121" width="9.109375" style="622"/>
    <col min="5122" max="5122" width="25.88671875" style="622" customWidth="1"/>
    <col min="5123" max="5123" width="13.88671875" style="622" customWidth="1"/>
    <col min="5124" max="5129" width="9.109375" style="622"/>
    <col min="5130" max="5130" width="13.88671875" style="622" bestFit="1" customWidth="1"/>
    <col min="5131" max="5132" width="11.6640625" style="622" bestFit="1" customWidth="1"/>
    <col min="5133" max="5133" width="11.5546875" style="622" customWidth="1"/>
    <col min="5134" max="5134" width="16.5546875" style="622" customWidth="1"/>
    <col min="5135" max="5377" width="9.109375" style="622"/>
    <col min="5378" max="5378" width="25.88671875" style="622" customWidth="1"/>
    <col min="5379" max="5379" width="13.88671875" style="622" customWidth="1"/>
    <col min="5380" max="5385" width="9.109375" style="622"/>
    <col min="5386" max="5386" width="13.88671875" style="622" bestFit="1" customWidth="1"/>
    <col min="5387" max="5388" width="11.6640625" style="622" bestFit="1" customWidth="1"/>
    <col min="5389" max="5389" width="11.5546875" style="622" customWidth="1"/>
    <col min="5390" max="5390" width="16.5546875" style="622" customWidth="1"/>
    <col min="5391" max="5633" width="9.109375" style="622"/>
    <col min="5634" max="5634" width="25.88671875" style="622" customWidth="1"/>
    <col min="5635" max="5635" width="13.88671875" style="622" customWidth="1"/>
    <col min="5636" max="5641" width="9.109375" style="622"/>
    <col min="5642" max="5642" width="13.88671875" style="622" bestFit="1" customWidth="1"/>
    <col min="5643" max="5644" width="11.6640625" style="622" bestFit="1" customWidth="1"/>
    <col min="5645" max="5645" width="11.5546875" style="622" customWidth="1"/>
    <col min="5646" max="5646" width="16.5546875" style="622" customWidth="1"/>
    <col min="5647" max="5889" width="9.109375" style="622"/>
    <col min="5890" max="5890" width="25.88671875" style="622" customWidth="1"/>
    <col min="5891" max="5891" width="13.88671875" style="622" customWidth="1"/>
    <col min="5892" max="5897" width="9.109375" style="622"/>
    <col min="5898" max="5898" width="13.88671875" style="622" bestFit="1" customWidth="1"/>
    <col min="5899" max="5900" width="11.6640625" style="622" bestFit="1" customWidth="1"/>
    <col min="5901" max="5901" width="11.5546875" style="622" customWidth="1"/>
    <col min="5902" max="5902" width="16.5546875" style="622" customWidth="1"/>
    <col min="5903" max="6145" width="9.109375" style="622"/>
    <col min="6146" max="6146" width="25.88671875" style="622" customWidth="1"/>
    <col min="6147" max="6147" width="13.88671875" style="622" customWidth="1"/>
    <col min="6148" max="6153" width="9.109375" style="622"/>
    <col min="6154" max="6154" width="13.88671875" style="622" bestFit="1" customWidth="1"/>
    <col min="6155" max="6156" width="11.6640625" style="622" bestFit="1" customWidth="1"/>
    <col min="6157" max="6157" width="11.5546875" style="622" customWidth="1"/>
    <col min="6158" max="6158" width="16.5546875" style="622" customWidth="1"/>
    <col min="6159" max="6401" width="9.109375" style="622"/>
    <col min="6402" max="6402" width="25.88671875" style="622" customWidth="1"/>
    <col min="6403" max="6403" width="13.88671875" style="622" customWidth="1"/>
    <col min="6404" max="6409" width="9.109375" style="622"/>
    <col min="6410" max="6410" width="13.88671875" style="622" bestFit="1" customWidth="1"/>
    <col min="6411" max="6412" width="11.6640625" style="622" bestFit="1" customWidth="1"/>
    <col min="6413" max="6413" width="11.5546875" style="622" customWidth="1"/>
    <col min="6414" max="6414" width="16.5546875" style="622" customWidth="1"/>
    <col min="6415" max="6657" width="9.109375" style="622"/>
    <col min="6658" max="6658" width="25.88671875" style="622" customWidth="1"/>
    <col min="6659" max="6659" width="13.88671875" style="622" customWidth="1"/>
    <col min="6660" max="6665" width="9.109375" style="622"/>
    <col min="6666" max="6666" width="13.88671875" style="622" bestFit="1" customWidth="1"/>
    <col min="6667" max="6668" width="11.6640625" style="622" bestFit="1" customWidth="1"/>
    <col min="6669" max="6669" width="11.5546875" style="622" customWidth="1"/>
    <col min="6670" max="6670" width="16.5546875" style="622" customWidth="1"/>
    <col min="6671" max="6913" width="9.109375" style="622"/>
    <col min="6914" max="6914" width="25.88671875" style="622" customWidth="1"/>
    <col min="6915" max="6915" width="13.88671875" style="622" customWidth="1"/>
    <col min="6916" max="6921" width="9.109375" style="622"/>
    <col min="6922" max="6922" width="13.88671875" style="622" bestFit="1" customWidth="1"/>
    <col min="6923" max="6924" width="11.6640625" style="622" bestFit="1" customWidth="1"/>
    <col min="6925" max="6925" width="11.5546875" style="622" customWidth="1"/>
    <col min="6926" max="6926" width="16.5546875" style="622" customWidth="1"/>
    <col min="6927" max="7169" width="9.109375" style="622"/>
    <col min="7170" max="7170" width="25.88671875" style="622" customWidth="1"/>
    <col min="7171" max="7171" width="13.88671875" style="622" customWidth="1"/>
    <col min="7172" max="7177" width="9.109375" style="622"/>
    <col min="7178" max="7178" width="13.88671875" style="622" bestFit="1" customWidth="1"/>
    <col min="7179" max="7180" width="11.6640625" style="622" bestFit="1" customWidth="1"/>
    <col min="7181" max="7181" width="11.5546875" style="622" customWidth="1"/>
    <col min="7182" max="7182" width="16.5546875" style="622" customWidth="1"/>
    <col min="7183" max="7425" width="9.109375" style="622"/>
    <col min="7426" max="7426" width="25.88671875" style="622" customWidth="1"/>
    <col min="7427" max="7427" width="13.88671875" style="622" customWidth="1"/>
    <col min="7428" max="7433" width="9.109375" style="622"/>
    <col min="7434" max="7434" width="13.88671875" style="622" bestFit="1" customWidth="1"/>
    <col min="7435" max="7436" width="11.6640625" style="622" bestFit="1" customWidth="1"/>
    <col min="7437" max="7437" width="11.5546875" style="622" customWidth="1"/>
    <col min="7438" max="7438" width="16.5546875" style="622" customWidth="1"/>
    <col min="7439" max="7681" width="9.109375" style="622"/>
    <col min="7682" max="7682" width="25.88671875" style="622" customWidth="1"/>
    <col min="7683" max="7683" width="13.88671875" style="622" customWidth="1"/>
    <col min="7684" max="7689" width="9.109375" style="622"/>
    <col min="7690" max="7690" width="13.88671875" style="622" bestFit="1" customWidth="1"/>
    <col min="7691" max="7692" width="11.6640625" style="622" bestFit="1" customWidth="1"/>
    <col min="7693" max="7693" width="11.5546875" style="622" customWidth="1"/>
    <col min="7694" max="7694" width="16.5546875" style="622" customWidth="1"/>
    <col min="7695" max="7937" width="9.109375" style="622"/>
    <col min="7938" max="7938" width="25.88671875" style="622" customWidth="1"/>
    <col min="7939" max="7939" width="13.88671875" style="622" customWidth="1"/>
    <col min="7940" max="7945" width="9.109375" style="622"/>
    <col min="7946" max="7946" width="13.88671875" style="622" bestFit="1" customWidth="1"/>
    <col min="7947" max="7948" width="11.6640625" style="622" bestFit="1" customWidth="1"/>
    <col min="7949" max="7949" width="11.5546875" style="622" customWidth="1"/>
    <col min="7950" max="7950" width="16.5546875" style="622" customWidth="1"/>
    <col min="7951" max="8193" width="9.109375" style="622"/>
    <col min="8194" max="8194" width="25.88671875" style="622" customWidth="1"/>
    <col min="8195" max="8195" width="13.88671875" style="622" customWidth="1"/>
    <col min="8196" max="8201" width="9.109375" style="622"/>
    <col min="8202" max="8202" width="13.88671875" style="622" bestFit="1" customWidth="1"/>
    <col min="8203" max="8204" width="11.6640625" style="622" bestFit="1" customWidth="1"/>
    <col min="8205" max="8205" width="11.5546875" style="622" customWidth="1"/>
    <col min="8206" max="8206" width="16.5546875" style="622" customWidth="1"/>
    <col min="8207" max="8449" width="9.109375" style="622"/>
    <col min="8450" max="8450" width="25.88671875" style="622" customWidth="1"/>
    <col min="8451" max="8451" width="13.88671875" style="622" customWidth="1"/>
    <col min="8452" max="8457" width="9.109375" style="622"/>
    <col min="8458" max="8458" width="13.88671875" style="622" bestFit="1" customWidth="1"/>
    <col min="8459" max="8460" width="11.6640625" style="622" bestFit="1" customWidth="1"/>
    <col min="8461" max="8461" width="11.5546875" style="622" customWidth="1"/>
    <col min="8462" max="8462" width="16.5546875" style="622" customWidth="1"/>
    <col min="8463" max="8705" width="9.109375" style="622"/>
    <col min="8706" max="8706" width="25.88671875" style="622" customWidth="1"/>
    <col min="8707" max="8707" width="13.88671875" style="622" customWidth="1"/>
    <col min="8708" max="8713" width="9.109375" style="622"/>
    <col min="8714" max="8714" width="13.88671875" style="622" bestFit="1" customWidth="1"/>
    <col min="8715" max="8716" width="11.6640625" style="622" bestFit="1" customWidth="1"/>
    <col min="8717" max="8717" width="11.5546875" style="622" customWidth="1"/>
    <col min="8718" max="8718" width="16.5546875" style="622" customWidth="1"/>
    <col min="8719" max="8961" width="9.109375" style="622"/>
    <col min="8962" max="8962" width="25.88671875" style="622" customWidth="1"/>
    <col min="8963" max="8963" width="13.88671875" style="622" customWidth="1"/>
    <col min="8964" max="8969" width="9.109375" style="622"/>
    <col min="8970" max="8970" width="13.88671875" style="622" bestFit="1" customWidth="1"/>
    <col min="8971" max="8972" width="11.6640625" style="622" bestFit="1" customWidth="1"/>
    <col min="8973" max="8973" width="11.5546875" style="622" customWidth="1"/>
    <col min="8974" max="8974" width="16.5546875" style="622" customWidth="1"/>
    <col min="8975" max="9217" width="9.109375" style="622"/>
    <col min="9218" max="9218" width="25.88671875" style="622" customWidth="1"/>
    <col min="9219" max="9219" width="13.88671875" style="622" customWidth="1"/>
    <col min="9220" max="9225" width="9.109375" style="622"/>
    <col min="9226" max="9226" width="13.88671875" style="622" bestFit="1" customWidth="1"/>
    <col min="9227" max="9228" width="11.6640625" style="622" bestFit="1" customWidth="1"/>
    <col min="9229" max="9229" width="11.5546875" style="622" customWidth="1"/>
    <col min="9230" max="9230" width="16.5546875" style="622" customWidth="1"/>
    <col min="9231" max="9473" width="9.109375" style="622"/>
    <col min="9474" max="9474" width="25.88671875" style="622" customWidth="1"/>
    <col min="9475" max="9475" width="13.88671875" style="622" customWidth="1"/>
    <col min="9476" max="9481" width="9.109375" style="622"/>
    <col min="9482" max="9482" width="13.88671875" style="622" bestFit="1" customWidth="1"/>
    <col min="9483" max="9484" width="11.6640625" style="622" bestFit="1" customWidth="1"/>
    <col min="9485" max="9485" width="11.5546875" style="622" customWidth="1"/>
    <col min="9486" max="9486" width="16.5546875" style="622" customWidth="1"/>
    <col min="9487" max="9729" width="9.109375" style="622"/>
    <col min="9730" max="9730" width="25.88671875" style="622" customWidth="1"/>
    <col min="9731" max="9731" width="13.88671875" style="622" customWidth="1"/>
    <col min="9732" max="9737" width="9.109375" style="622"/>
    <col min="9738" max="9738" width="13.88671875" style="622" bestFit="1" customWidth="1"/>
    <col min="9739" max="9740" width="11.6640625" style="622" bestFit="1" customWidth="1"/>
    <col min="9741" max="9741" width="11.5546875" style="622" customWidth="1"/>
    <col min="9742" max="9742" width="16.5546875" style="622" customWidth="1"/>
    <col min="9743" max="9985" width="9.109375" style="622"/>
    <col min="9986" max="9986" width="25.88671875" style="622" customWidth="1"/>
    <col min="9987" max="9987" width="13.88671875" style="622" customWidth="1"/>
    <col min="9988" max="9993" width="9.109375" style="622"/>
    <col min="9994" max="9994" width="13.88671875" style="622" bestFit="1" customWidth="1"/>
    <col min="9995" max="9996" width="11.6640625" style="622" bestFit="1" customWidth="1"/>
    <col min="9997" max="9997" width="11.5546875" style="622" customWidth="1"/>
    <col min="9998" max="9998" width="16.5546875" style="622" customWidth="1"/>
    <col min="9999" max="10241" width="9.109375" style="622"/>
    <col min="10242" max="10242" width="25.88671875" style="622" customWidth="1"/>
    <col min="10243" max="10243" width="13.88671875" style="622" customWidth="1"/>
    <col min="10244" max="10249" width="9.109375" style="622"/>
    <col min="10250" max="10250" width="13.88671875" style="622" bestFit="1" customWidth="1"/>
    <col min="10251" max="10252" width="11.6640625" style="622" bestFit="1" customWidth="1"/>
    <col min="10253" max="10253" width="11.5546875" style="622" customWidth="1"/>
    <col min="10254" max="10254" width="16.5546875" style="622" customWidth="1"/>
    <col min="10255" max="10497" width="9.109375" style="622"/>
    <col min="10498" max="10498" width="25.88671875" style="622" customWidth="1"/>
    <col min="10499" max="10499" width="13.88671875" style="622" customWidth="1"/>
    <col min="10500" max="10505" width="9.109375" style="622"/>
    <col min="10506" max="10506" width="13.88671875" style="622" bestFit="1" customWidth="1"/>
    <col min="10507" max="10508" width="11.6640625" style="622" bestFit="1" customWidth="1"/>
    <col min="10509" max="10509" width="11.5546875" style="622" customWidth="1"/>
    <col min="10510" max="10510" width="16.5546875" style="622" customWidth="1"/>
    <col min="10511" max="10753" width="9.109375" style="622"/>
    <col min="10754" max="10754" width="25.88671875" style="622" customWidth="1"/>
    <col min="10755" max="10755" width="13.88671875" style="622" customWidth="1"/>
    <col min="10756" max="10761" width="9.109375" style="622"/>
    <col min="10762" max="10762" width="13.88671875" style="622" bestFit="1" customWidth="1"/>
    <col min="10763" max="10764" width="11.6640625" style="622" bestFit="1" customWidth="1"/>
    <col min="10765" max="10765" width="11.5546875" style="622" customWidth="1"/>
    <col min="10766" max="10766" width="16.5546875" style="622" customWidth="1"/>
    <col min="10767" max="11009" width="9.109375" style="622"/>
    <col min="11010" max="11010" width="25.88671875" style="622" customWidth="1"/>
    <col min="11011" max="11011" width="13.88671875" style="622" customWidth="1"/>
    <col min="11012" max="11017" width="9.109375" style="622"/>
    <col min="11018" max="11018" width="13.88671875" style="622" bestFit="1" customWidth="1"/>
    <col min="11019" max="11020" width="11.6640625" style="622" bestFit="1" customWidth="1"/>
    <col min="11021" max="11021" width="11.5546875" style="622" customWidth="1"/>
    <col min="11022" max="11022" width="16.5546875" style="622" customWidth="1"/>
    <col min="11023" max="11265" width="9.109375" style="622"/>
    <col min="11266" max="11266" width="25.88671875" style="622" customWidth="1"/>
    <col min="11267" max="11267" width="13.88671875" style="622" customWidth="1"/>
    <col min="11268" max="11273" width="9.109375" style="622"/>
    <col min="11274" max="11274" width="13.88671875" style="622" bestFit="1" customWidth="1"/>
    <col min="11275" max="11276" width="11.6640625" style="622" bestFit="1" customWidth="1"/>
    <col min="11277" max="11277" width="11.5546875" style="622" customWidth="1"/>
    <col min="11278" max="11278" width="16.5546875" style="622" customWidth="1"/>
    <col min="11279" max="11521" width="9.109375" style="622"/>
    <col min="11522" max="11522" width="25.88671875" style="622" customWidth="1"/>
    <col min="11523" max="11523" width="13.88671875" style="622" customWidth="1"/>
    <col min="11524" max="11529" width="9.109375" style="622"/>
    <col min="11530" max="11530" width="13.88671875" style="622" bestFit="1" customWidth="1"/>
    <col min="11531" max="11532" width="11.6640625" style="622" bestFit="1" customWidth="1"/>
    <col min="11533" max="11533" width="11.5546875" style="622" customWidth="1"/>
    <col min="11534" max="11534" width="16.5546875" style="622" customWidth="1"/>
    <col min="11535" max="11777" width="9.109375" style="622"/>
    <col min="11778" max="11778" width="25.88671875" style="622" customWidth="1"/>
    <col min="11779" max="11779" width="13.88671875" style="622" customWidth="1"/>
    <col min="11780" max="11785" width="9.109375" style="622"/>
    <col min="11786" max="11786" width="13.88671875" style="622" bestFit="1" customWidth="1"/>
    <col min="11787" max="11788" width="11.6640625" style="622" bestFit="1" customWidth="1"/>
    <col min="11789" max="11789" width="11.5546875" style="622" customWidth="1"/>
    <col min="11790" max="11790" width="16.5546875" style="622" customWidth="1"/>
    <col min="11791" max="12033" width="9.109375" style="622"/>
    <col min="12034" max="12034" width="25.88671875" style="622" customWidth="1"/>
    <col min="12035" max="12035" width="13.88671875" style="622" customWidth="1"/>
    <col min="12036" max="12041" width="9.109375" style="622"/>
    <col min="12042" max="12042" width="13.88671875" style="622" bestFit="1" customWidth="1"/>
    <col min="12043" max="12044" width="11.6640625" style="622" bestFit="1" customWidth="1"/>
    <col min="12045" max="12045" width="11.5546875" style="622" customWidth="1"/>
    <col min="12046" max="12046" width="16.5546875" style="622" customWidth="1"/>
    <col min="12047" max="12289" width="9.109375" style="622"/>
    <col min="12290" max="12290" width="25.88671875" style="622" customWidth="1"/>
    <col min="12291" max="12291" width="13.88671875" style="622" customWidth="1"/>
    <col min="12292" max="12297" width="9.109375" style="622"/>
    <col min="12298" max="12298" width="13.88671875" style="622" bestFit="1" customWidth="1"/>
    <col min="12299" max="12300" width="11.6640625" style="622" bestFit="1" customWidth="1"/>
    <col min="12301" max="12301" width="11.5546875" style="622" customWidth="1"/>
    <col min="12302" max="12302" width="16.5546875" style="622" customWidth="1"/>
    <col min="12303" max="12545" width="9.109375" style="622"/>
    <col min="12546" max="12546" width="25.88671875" style="622" customWidth="1"/>
    <col min="12547" max="12547" width="13.88671875" style="622" customWidth="1"/>
    <col min="12548" max="12553" width="9.109375" style="622"/>
    <col min="12554" max="12554" width="13.88671875" style="622" bestFit="1" customWidth="1"/>
    <col min="12555" max="12556" width="11.6640625" style="622" bestFit="1" customWidth="1"/>
    <col min="12557" max="12557" width="11.5546875" style="622" customWidth="1"/>
    <col min="12558" max="12558" width="16.5546875" style="622" customWidth="1"/>
    <col min="12559" max="12801" width="9.109375" style="622"/>
    <col min="12802" max="12802" width="25.88671875" style="622" customWidth="1"/>
    <col min="12803" max="12803" width="13.88671875" style="622" customWidth="1"/>
    <col min="12804" max="12809" width="9.109375" style="622"/>
    <col min="12810" max="12810" width="13.88671875" style="622" bestFit="1" customWidth="1"/>
    <col min="12811" max="12812" width="11.6640625" style="622" bestFit="1" customWidth="1"/>
    <col min="12813" max="12813" width="11.5546875" style="622" customWidth="1"/>
    <col min="12814" max="12814" width="16.5546875" style="622" customWidth="1"/>
    <col min="12815" max="13057" width="9.109375" style="622"/>
    <col min="13058" max="13058" width="25.88671875" style="622" customWidth="1"/>
    <col min="13059" max="13059" width="13.88671875" style="622" customWidth="1"/>
    <col min="13060" max="13065" width="9.109375" style="622"/>
    <col min="13066" max="13066" width="13.88671875" style="622" bestFit="1" customWidth="1"/>
    <col min="13067" max="13068" width="11.6640625" style="622" bestFit="1" customWidth="1"/>
    <col min="13069" max="13069" width="11.5546875" style="622" customWidth="1"/>
    <col min="13070" max="13070" width="16.5546875" style="622" customWidth="1"/>
    <col min="13071" max="13313" width="9.109375" style="622"/>
    <col min="13314" max="13314" width="25.88671875" style="622" customWidth="1"/>
    <col min="13315" max="13315" width="13.88671875" style="622" customWidth="1"/>
    <col min="13316" max="13321" width="9.109375" style="622"/>
    <col min="13322" max="13322" width="13.88671875" style="622" bestFit="1" customWidth="1"/>
    <col min="13323" max="13324" width="11.6640625" style="622" bestFit="1" customWidth="1"/>
    <col min="13325" max="13325" width="11.5546875" style="622" customWidth="1"/>
    <col min="13326" max="13326" width="16.5546875" style="622" customWidth="1"/>
    <col min="13327" max="13569" width="9.109375" style="622"/>
    <col min="13570" max="13570" width="25.88671875" style="622" customWidth="1"/>
    <col min="13571" max="13571" width="13.88671875" style="622" customWidth="1"/>
    <col min="13572" max="13577" width="9.109375" style="622"/>
    <col min="13578" max="13578" width="13.88671875" style="622" bestFit="1" customWidth="1"/>
    <col min="13579" max="13580" width="11.6640625" style="622" bestFit="1" customWidth="1"/>
    <col min="13581" max="13581" width="11.5546875" style="622" customWidth="1"/>
    <col min="13582" max="13582" width="16.5546875" style="622" customWidth="1"/>
    <col min="13583" max="13825" width="9.109375" style="622"/>
    <col min="13826" max="13826" width="25.88671875" style="622" customWidth="1"/>
    <col min="13827" max="13827" width="13.88671875" style="622" customWidth="1"/>
    <col min="13828" max="13833" width="9.109375" style="622"/>
    <col min="13834" max="13834" width="13.88671875" style="622" bestFit="1" customWidth="1"/>
    <col min="13835" max="13836" width="11.6640625" style="622" bestFit="1" customWidth="1"/>
    <col min="13837" max="13837" width="11.5546875" style="622" customWidth="1"/>
    <col min="13838" max="13838" width="16.5546875" style="622" customWidth="1"/>
    <col min="13839" max="14081" width="9.109375" style="622"/>
    <col min="14082" max="14082" width="25.88671875" style="622" customWidth="1"/>
    <col min="14083" max="14083" width="13.88671875" style="622" customWidth="1"/>
    <col min="14084" max="14089" width="9.109375" style="622"/>
    <col min="14090" max="14090" width="13.88671875" style="622" bestFit="1" customWidth="1"/>
    <col min="14091" max="14092" width="11.6640625" style="622" bestFit="1" customWidth="1"/>
    <col min="14093" max="14093" width="11.5546875" style="622" customWidth="1"/>
    <col min="14094" max="14094" width="16.5546875" style="622" customWidth="1"/>
    <col min="14095" max="14337" width="9.109375" style="622"/>
    <col min="14338" max="14338" width="25.88671875" style="622" customWidth="1"/>
    <col min="14339" max="14339" width="13.88671875" style="622" customWidth="1"/>
    <col min="14340" max="14345" width="9.109375" style="622"/>
    <col min="14346" max="14346" width="13.88671875" style="622" bestFit="1" customWidth="1"/>
    <col min="14347" max="14348" width="11.6640625" style="622" bestFit="1" customWidth="1"/>
    <col min="14349" max="14349" width="11.5546875" style="622" customWidth="1"/>
    <col min="14350" max="14350" width="16.5546875" style="622" customWidth="1"/>
    <col min="14351" max="14593" width="9.109375" style="622"/>
    <col min="14594" max="14594" width="25.88671875" style="622" customWidth="1"/>
    <col min="14595" max="14595" width="13.88671875" style="622" customWidth="1"/>
    <col min="14596" max="14601" width="9.109375" style="622"/>
    <col min="14602" max="14602" width="13.88671875" style="622" bestFit="1" customWidth="1"/>
    <col min="14603" max="14604" width="11.6640625" style="622" bestFit="1" customWidth="1"/>
    <col min="14605" max="14605" width="11.5546875" style="622" customWidth="1"/>
    <col min="14606" max="14606" width="16.5546875" style="622" customWidth="1"/>
    <col min="14607" max="14849" width="9.109375" style="622"/>
    <col min="14850" max="14850" width="25.88671875" style="622" customWidth="1"/>
    <col min="14851" max="14851" width="13.88671875" style="622" customWidth="1"/>
    <col min="14852" max="14857" width="9.109375" style="622"/>
    <col min="14858" max="14858" width="13.88671875" style="622" bestFit="1" customWidth="1"/>
    <col min="14859" max="14860" width="11.6640625" style="622" bestFit="1" customWidth="1"/>
    <col min="14861" max="14861" width="11.5546875" style="622" customWidth="1"/>
    <col min="14862" max="14862" width="16.5546875" style="622" customWidth="1"/>
    <col min="14863" max="15105" width="9.109375" style="622"/>
    <col min="15106" max="15106" width="25.88671875" style="622" customWidth="1"/>
    <col min="15107" max="15107" width="13.88671875" style="622" customWidth="1"/>
    <col min="15108" max="15113" width="9.109375" style="622"/>
    <col min="15114" max="15114" width="13.88671875" style="622" bestFit="1" customWidth="1"/>
    <col min="15115" max="15116" width="11.6640625" style="622" bestFit="1" customWidth="1"/>
    <col min="15117" max="15117" width="11.5546875" style="622" customWidth="1"/>
    <col min="15118" max="15118" width="16.5546875" style="622" customWidth="1"/>
    <col min="15119" max="15361" width="9.109375" style="622"/>
    <col min="15362" max="15362" width="25.88671875" style="622" customWidth="1"/>
    <col min="15363" max="15363" width="13.88671875" style="622" customWidth="1"/>
    <col min="15364" max="15369" width="9.109375" style="622"/>
    <col min="15370" max="15370" width="13.88671875" style="622" bestFit="1" customWidth="1"/>
    <col min="15371" max="15372" width="11.6640625" style="622" bestFit="1" customWidth="1"/>
    <col min="15373" max="15373" width="11.5546875" style="622" customWidth="1"/>
    <col min="15374" max="15374" width="16.5546875" style="622" customWidth="1"/>
    <col min="15375" max="15617" width="9.109375" style="622"/>
    <col min="15618" max="15618" width="25.88671875" style="622" customWidth="1"/>
    <col min="15619" max="15619" width="13.88671875" style="622" customWidth="1"/>
    <col min="15620" max="15625" width="9.109375" style="622"/>
    <col min="15626" max="15626" width="13.88671875" style="622" bestFit="1" customWidth="1"/>
    <col min="15627" max="15628" width="11.6640625" style="622" bestFit="1" customWidth="1"/>
    <col min="15629" max="15629" width="11.5546875" style="622" customWidth="1"/>
    <col min="15630" max="15630" width="16.5546875" style="622" customWidth="1"/>
    <col min="15631" max="15873" width="9.109375" style="622"/>
    <col min="15874" max="15874" width="25.88671875" style="622" customWidth="1"/>
    <col min="15875" max="15875" width="13.88671875" style="622" customWidth="1"/>
    <col min="15876" max="15881" width="9.109375" style="622"/>
    <col min="15882" max="15882" width="13.88671875" style="622" bestFit="1" customWidth="1"/>
    <col min="15883" max="15884" width="11.6640625" style="622" bestFit="1" customWidth="1"/>
    <col min="15885" max="15885" width="11.5546875" style="622" customWidth="1"/>
    <col min="15886" max="15886" width="16.5546875" style="622" customWidth="1"/>
    <col min="15887" max="16129" width="9.109375" style="622"/>
    <col min="16130" max="16130" width="25.88671875" style="622" customWidth="1"/>
    <col min="16131" max="16131" width="13.88671875" style="622" customWidth="1"/>
    <col min="16132" max="16137" width="9.109375" style="622"/>
    <col min="16138" max="16138" width="13.88671875" style="622" bestFit="1" customWidth="1"/>
    <col min="16139" max="16140" width="11.6640625" style="622" bestFit="1" customWidth="1"/>
    <col min="16141" max="16141" width="11.5546875" style="622" customWidth="1"/>
    <col min="16142" max="16142" width="16.5546875" style="622" customWidth="1"/>
    <col min="16143" max="16384" width="9.109375" style="622"/>
  </cols>
  <sheetData>
    <row r="1" spans="1:14" ht="12.75" customHeight="1">
      <c r="A1" s="1606" t="s">
        <v>507</v>
      </c>
      <c r="B1" s="1585"/>
      <c r="C1" s="1585"/>
      <c r="D1" s="1585"/>
      <c r="E1" s="1585"/>
      <c r="F1" s="1585"/>
      <c r="G1" s="1585"/>
      <c r="H1" s="1586"/>
      <c r="I1" s="1587" t="s">
        <v>492</v>
      </c>
      <c r="J1" s="1588"/>
      <c r="K1" s="1588"/>
      <c r="L1" s="1588"/>
      <c r="M1" s="1588"/>
      <c r="N1" s="1591" t="s">
        <v>331</v>
      </c>
    </row>
    <row r="2" spans="1:14">
      <c r="A2" s="1607"/>
      <c r="B2" s="1594"/>
      <c r="C2" s="1594"/>
      <c r="D2" s="1594"/>
      <c r="E2" s="1594"/>
      <c r="F2" s="1594"/>
      <c r="G2" s="1594"/>
      <c r="H2" s="1594"/>
      <c r="I2" s="1589"/>
      <c r="J2" s="1590"/>
      <c r="K2" s="1590"/>
      <c r="L2" s="1590"/>
      <c r="M2" s="1590"/>
      <c r="N2" s="1592"/>
    </row>
    <row r="3" spans="1:14">
      <c r="A3" s="749" t="s">
        <v>745</v>
      </c>
      <c r="B3" s="748" t="str">
        <f>'F1 Forecast Consultant'!C3</f>
        <v>Western</v>
      </c>
      <c r="I3" s="1595" t="s">
        <v>493</v>
      </c>
      <c r="J3" s="1596"/>
      <c r="K3" s="1578">
        <f>'F1  Cover'!K8</f>
        <v>1</v>
      </c>
      <c r="L3" s="1579"/>
      <c r="M3" s="1579"/>
      <c r="N3" s="1580"/>
    </row>
    <row r="4" spans="1:14" ht="13.8" thickBot="1">
      <c r="A4" s="1608"/>
      <c r="B4" s="1598"/>
      <c r="C4" s="1598"/>
      <c r="D4" s="1598"/>
      <c r="E4" s="1598"/>
      <c r="F4" s="1598"/>
      <c r="G4" s="1598"/>
      <c r="H4" s="1598"/>
      <c r="I4" s="1599" t="s">
        <v>494</v>
      </c>
      <c r="J4" s="1600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98</v>
      </c>
      <c r="B6" s="725" t="s">
        <v>0</v>
      </c>
      <c r="C6" s="730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8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8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1</v>
      </c>
      <c r="E11" s="722">
        <f>D11</f>
        <v>1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81" t="s">
        <v>506</v>
      </c>
      <c r="B12" s="1582"/>
      <c r="C12" s="1583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" customHeight="1">
      <c r="A15" s="817" t="s">
        <v>651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" customHeight="1">
      <c r="A16" s="622" t="s">
        <v>653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 thickBot="1">
      <c r="A17" s="622" t="s">
        <v>652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8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activeCell="G9" sqref="G9"/>
    </sheetView>
  </sheetViews>
  <sheetFormatPr defaultRowHeight="13.2"/>
  <cols>
    <col min="1" max="1" width="9.109375" style="622"/>
    <col min="2" max="2" width="36.88671875" style="622" customWidth="1"/>
    <col min="3" max="3" width="19.5546875" style="622" customWidth="1"/>
    <col min="4" max="8" width="11.6640625" style="622" customWidth="1"/>
    <col min="9" max="9" width="11.6640625" style="622" bestFit="1" customWidth="1"/>
    <col min="10" max="11" width="12.88671875" style="622" bestFit="1" customWidth="1"/>
    <col min="12" max="12" width="12.44140625" style="622" customWidth="1"/>
    <col min="13" max="13" width="11.33203125" style="622" bestFit="1" customWidth="1"/>
    <col min="14" max="14" width="11.6640625" style="622" bestFit="1" customWidth="1"/>
    <col min="15" max="257" width="9.109375" style="622"/>
    <col min="258" max="258" width="21.5546875" style="622" customWidth="1"/>
    <col min="259" max="259" width="9.109375" style="622"/>
    <col min="260" max="261" width="10.109375" style="622" bestFit="1" customWidth="1"/>
    <col min="262" max="262" width="9.109375" style="622"/>
    <col min="263" max="264" width="9.33203125" style="622" bestFit="1" customWidth="1"/>
    <col min="265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21.5546875" style="622" customWidth="1"/>
    <col min="515" max="515" width="9.109375" style="622"/>
    <col min="516" max="517" width="10.109375" style="622" bestFit="1" customWidth="1"/>
    <col min="518" max="518" width="9.109375" style="622"/>
    <col min="519" max="520" width="9.33203125" style="622" bestFit="1" customWidth="1"/>
    <col min="521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21.5546875" style="622" customWidth="1"/>
    <col min="771" max="771" width="9.109375" style="622"/>
    <col min="772" max="773" width="10.109375" style="622" bestFit="1" customWidth="1"/>
    <col min="774" max="774" width="9.109375" style="622"/>
    <col min="775" max="776" width="9.33203125" style="622" bestFit="1" customWidth="1"/>
    <col min="777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21.5546875" style="622" customWidth="1"/>
    <col min="1027" max="1027" width="9.109375" style="622"/>
    <col min="1028" max="1029" width="10.109375" style="622" bestFit="1" customWidth="1"/>
    <col min="1030" max="1030" width="9.109375" style="622"/>
    <col min="1031" max="1032" width="9.33203125" style="622" bestFit="1" customWidth="1"/>
    <col min="1033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21.5546875" style="622" customWidth="1"/>
    <col min="1283" max="1283" width="9.109375" style="622"/>
    <col min="1284" max="1285" width="10.109375" style="622" bestFit="1" customWidth="1"/>
    <col min="1286" max="1286" width="9.109375" style="622"/>
    <col min="1287" max="1288" width="9.33203125" style="622" bestFit="1" customWidth="1"/>
    <col min="1289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21.5546875" style="622" customWidth="1"/>
    <col min="1539" max="1539" width="9.109375" style="622"/>
    <col min="1540" max="1541" width="10.109375" style="622" bestFit="1" customWidth="1"/>
    <col min="1542" max="1542" width="9.109375" style="622"/>
    <col min="1543" max="1544" width="9.33203125" style="622" bestFit="1" customWidth="1"/>
    <col min="1545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21.5546875" style="622" customWidth="1"/>
    <col min="1795" max="1795" width="9.109375" style="622"/>
    <col min="1796" max="1797" width="10.109375" style="622" bestFit="1" customWidth="1"/>
    <col min="1798" max="1798" width="9.109375" style="622"/>
    <col min="1799" max="1800" width="9.33203125" style="622" bestFit="1" customWidth="1"/>
    <col min="1801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21.5546875" style="622" customWidth="1"/>
    <col min="2051" max="2051" width="9.109375" style="622"/>
    <col min="2052" max="2053" width="10.109375" style="622" bestFit="1" customWidth="1"/>
    <col min="2054" max="2054" width="9.109375" style="622"/>
    <col min="2055" max="2056" width="9.33203125" style="622" bestFit="1" customWidth="1"/>
    <col min="2057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21.5546875" style="622" customWidth="1"/>
    <col min="2307" max="2307" width="9.109375" style="622"/>
    <col min="2308" max="2309" width="10.109375" style="622" bestFit="1" customWidth="1"/>
    <col min="2310" max="2310" width="9.109375" style="622"/>
    <col min="2311" max="2312" width="9.33203125" style="622" bestFit="1" customWidth="1"/>
    <col min="2313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21.5546875" style="622" customWidth="1"/>
    <col min="2563" max="2563" width="9.109375" style="622"/>
    <col min="2564" max="2565" width="10.109375" style="622" bestFit="1" customWidth="1"/>
    <col min="2566" max="2566" width="9.109375" style="622"/>
    <col min="2567" max="2568" width="9.33203125" style="622" bestFit="1" customWidth="1"/>
    <col min="2569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21.5546875" style="622" customWidth="1"/>
    <col min="2819" max="2819" width="9.109375" style="622"/>
    <col min="2820" max="2821" width="10.109375" style="622" bestFit="1" customWidth="1"/>
    <col min="2822" max="2822" width="9.109375" style="622"/>
    <col min="2823" max="2824" width="9.33203125" style="622" bestFit="1" customWidth="1"/>
    <col min="2825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21.5546875" style="622" customWidth="1"/>
    <col min="3075" max="3075" width="9.109375" style="622"/>
    <col min="3076" max="3077" width="10.109375" style="622" bestFit="1" customWidth="1"/>
    <col min="3078" max="3078" width="9.109375" style="622"/>
    <col min="3079" max="3080" width="9.33203125" style="622" bestFit="1" customWidth="1"/>
    <col min="3081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21.5546875" style="622" customWidth="1"/>
    <col min="3331" max="3331" width="9.109375" style="622"/>
    <col min="3332" max="3333" width="10.109375" style="622" bestFit="1" customWidth="1"/>
    <col min="3334" max="3334" width="9.109375" style="622"/>
    <col min="3335" max="3336" width="9.33203125" style="622" bestFit="1" customWidth="1"/>
    <col min="3337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21.5546875" style="622" customWidth="1"/>
    <col min="3587" max="3587" width="9.109375" style="622"/>
    <col min="3588" max="3589" width="10.109375" style="622" bestFit="1" customWidth="1"/>
    <col min="3590" max="3590" width="9.109375" style="622"/>
    <col min="3591" max="3592" width="9.33203125" style="622" bestFit="1" customWidth="1"/>
    <col min="3593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21.5546875" style="622" customWidth="1"/>
    <col min="3843" max="3843" width="9.109375" style="622"/>
    <col min="3844" max="3845" width="10.109375" style="622" bestFit="1" customWidth="1"/>
    <col min="3846" max="3846" width="9.109375" style="622"/>
    <col min="3847" max="3848" width="9.33203125" style="622" bestFit="1" customWidth="1"/>
    <col min="3849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21.5546875" style="622" customWidth="1"/>
    <col min="4099" max="4099" width="9.109375" style="622"/>
    <col min="4100" max="4101" width="10.109375" style="622" bestFit="1" customWidth="1"/>
    <col min="4102" max="4102" width="9.109375" style="622"/>
    <col min="4103" max="4104" width="9.33203125" style="622" bestFit="1" customWidth="1"/>
    <col min="4105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21.5546875" style="622" customWidth="1"/>
    <col min="4355" max="4355" width="9.109375" style="622"/>
    <col min="4356" max="4357" width="10.109375" style="622" bestFit="1" customWidth="1"/>
    <col min="4358" max="4358" width="9.109375" style="622"/>
    <col min="4359" max="4360" width="9.33203125" style="622" bestFit="1" customWidth="1"/>
    <col min="4361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21.5546875" style="622" customWidth="1"/>
    <col min="4611" max="4611" width="9.109375" style="622"/>
    <col min="4612" max="4613" width="10.109375" style="622" bestFit="1" customWidth="1"/>
    <col min="4614" max="4614" width="9.109375" style="622"/>
    <col min="4615" max="4616" width="9.33203125" style="622" bestFit="1" customWidth="1"/>
    <col min="4617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21.5546875" style="622" customWidth="1"/>
    <col min="4867" max="4867" width="9.109375" style="622"/>
    <col min="4868" max="4869" width="10.109375" style="622" bestFit="1" customWidth="1"/>
    <col min="4870" max="4870" width="9.109375" style="622"/>
    <col min="4871" max="4872" width="9.33203125" style="622" bestFit="1" customWidth="1"/>
    <col min="4873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21.5546875" style="622" customWidth="1"/>
    <col min="5123" max="5123" width="9.109375" style="622"/>
    <col min="5124" max="5125" width="10.109375" style="622" bestFit="1" customWidth="1"/>
    <col min="5126" max="5126" width="9.109375" style="622"/>
    <col min="5127" max="5128" width="9.33203125" style="622" bestFit="1" customWidth="1"/>
    <col min="5129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21.5546875" style="622" customWidth="1"/>
    <col min="5379" max="5379" width="9.109375" style="622"/>
    <col min="5380" max="5381" width="10.109375" style="622" bestFit="1" customWidth="1"/>
    <col min="5382" max="5382" width="9.109375" style="622"/>
    <col min="5383" max="5384" width="9.33203125" style="622" bestFit="1" customWidth="1"/>
    <col min="5385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21.5546875" style="622" customWidth="1"/>
    <col min="5635" max="5635" width="9.109375" style="622"/>
    <col min="5636" max="5637" width="10.109375" style="622" bestFit="1" customWidth="1"/>
    <col min="5638" max="5638" width="9.109375" style="622"/>
    <col min="5639" max="5640" width="9.33203125" style="622" bestFit="1" customWidth="1"/>
    <col min="5641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21.5546875" style="622" customWidth="1"/>
    <col min="5891" max="5891" width="9.109375" style="622"/>
    <col min="5892" max="5893" width="10.109375" style="622" bestFit="1" customWidth="1"/>
    <col min="5894" max="5894" width="9.109375" style="622"/>
    <col min="5895" max="5896" width="9.33203125" style="622" bestFit="1" customWidth="1"/>
    <col min="5897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21.5546875" style="622" customWidth="1"/>
    <col min="6147" max="6147" width="9.109375" style="622"/>
    <col min="6148" max="6149" width="10.109375" style="622" bestFit="1" customWidth="1"/>
    <col min="6150" max="6150" width="9.109375" style="622"/>
    <col min="6151" max="6152" width="9.33203125" style="622" bestFit="1" customWidth="1"/>
    <col min="6153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21.5546875" style="622" customWidth="1"/>
    <col min="6403" max="6403" width="9.109375" style="622"/>
    <col min="6404" max="6405" width="10.109375" style="622" bestFit="1" customWidth="1"/>
    <col min="6406" max="6406" width="9.109375" style="622"/>
    <col min="6407" max="6408" width="9.33203125" style="622" bestFit="1" customWidth="1"/>
    <col min="6409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21.5546875" style="622" customWidth="1"/>
    <col min="6659" max="6659" width="9.109375" style="622"/>
    <col min="6660" max="6661" width="10.109375" style="622" bestFit="1" customWidth="1"/>
    <col min="6662" max="6662" width="9.109375" style="622"/>
    <col min="6663" max="6664" width="9.33203125" style="622" bestFit="1" customWidth="1"/>
    <col min="6665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21.5546875" style="622" customWidth="1"/>
    <col min="6915" max="6915" width="9.109375" style="622"/>
    <col min="6916" max="6917" width="10.109375" style="622" bestFit="1" customWidth="1"/>
    <col min="6918" max="6918" width="9.109375" style="622"/>
    <col min="6919" max="6920" width="9.33203125" style="622" bestFit="1" customWidth="1"/>
    <col min="6921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21.5546875" style="622" customWidth="1"/>
    <col min="7171" max="7171" width="9.109375" style="622"/>
    <col min="7172" max="7173" width="10.109375" style="622" bestFit="1" customWidth="1"/>
    <col min="7174" max="7174" width="9.109375" style="622"/>
    <col min="7175" max="7176" width="9.33203125" style="622" bestFit="1" customWidth="1"/>
    <col min="7177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21.5546875" style="622" customWidth="1"/>
    <col min="7427" max="7427" width="9.109375" style="622"/>
    <col min="7428" max="7429" width="10.109375" style="622" bestFit="1" customWidth="1"/>
    <col min="7430" max="7430" width="9.109375" style="622"/>
    <col min="7431" max="7432" width="9.33203125" style="622" bestFit="1" customWidth="1"/>
    <col min="7433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21.5546875" style="622" customWidth="1"/>
    <col min="7683" max="7683" width="9.109375" style="622"/>
    <col min="7684" max="7685" width="10.109375" style="622" bestFit="1" customWidth="1"/>
    <col min="7686" max="7686" width="9.109375" style="622"/>
    <col min="7687" max="7688" width="9.33203125" style="622" bestFit="1" customWidth="1"/>
    <col min="7689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21.5546875" style="622" customWidth="1"/>
    <col min="7939" max="7939" width="9.109375" style="622"/>
    <col min="7940" max="7941" width="10.109375" style="622" bestFit="1" customWidth="1"/>
    <col min="7942" max="7942" width="9.109375" style="622"/>
    <col min="7943" max="7944" width="9.33203125" style="622" bestFit="1" customWidth="1"/>
    <col min="7945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21.5546875" style="622" customWidth="1"/>
    <col min="8195" max="8195" width="9.109375" style="622"/>
    <col min="8196" max="8197" width="10.109375" style="622" bestFit="1" customWidth="1"/>
    <col min="8198" max="8198" width="9.109375" style="622"/>
    <col min="8199" max="8200" width="9.33203125" style="622" bestFit="1" customWidth="1"/>
    <col min="8201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21.5546875" style="622" customWidth="1"/>
    <col min="8451" max="8451" width="9.109375" style="622"/>
    <col min="8452" max="8453" width="10.109375" style="622" bestFit="1" customWidth="1"/>
    <col min="8454" max="8454" width="9.109375" style="622"/>
    <col min="8455" max="8456" width="9.33203125" style="622" bestFit="1" customWidth="1"/>
    <col min="8457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21.5546875" style="622" customWidth="1"/>
    <col min="8707" max="8707" width="9.109375" style="622"/>
    <col min="8708" max="8709" width="10.109375" style="622" bestFit="1" customWidth="1"/>
    <col min="8710" max="8710" width="9.109375" style="622"/>
    <col min="8711" max="8712" width="9.33203125" style="622" bestFit="1" customWidth="1"/>
    <col min="8713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21.5546875" style="622" customWidth="1"/>
    <col min="8963" max="8963" width="9.109375" style="622"/>
    <col min="8964" max="8965" width="10.109375" style="622" bestFit="1" customWidth="1"/>
    <col min="8966" max="8966" width="9.109375" style="622"/>
    <col min="8967" max="8968" width="9.33203125" style="622" bestFit="1" customWidth="1"/>
    <col min="8969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21.5546875" style="622" customWidth="1"/>
    <col min="9219" max="9219" width="9.109375" style="622"/>
    <col min="9220" max="9221" width="10.109375" style="622" bestFit="1" customWidth="1"/>
    <col min="9222" max="9222" width="9.109375" style="622"/>
    <col min="9223" max="9224" width="9.33203125" style="622" bestFit="1" customWidth="1"/>
    <col min="9225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21.5546875" style="622" customWidth="1"/>
    <col min="9475" max="9475" width="9.109375" style="622"/>
    <col min="9476" max="9477" width="10.109375" style="622" bestFit="1" customWidth="1"/>
    <col min="9478" max="9478" width="9.109375" style="622"/>
    <col min="9479" max="9480" width="9.33203125" style="622" bestFit="1" customWidth="1"/>
    <col min="9481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21.5546875" style="622" customWidth="1"/>
    <col min="9731" max="9731" width="9.109375" style="622"/>
    <col min="9732" max="9733" width="10.109375" style="622" bestFit="1" customWidth="1"/>
    <col min="9734" max="9734" width="9.109375" style="622"/>
    <col min="9735" max="9736" width="9.33203125" style="622" bestFit="1" customWidth="1"/>
    <col min="9737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21.5546875" style="622" customWidth="1"/>
    <col min="9987" max="9987" width="9.109375" style="622"/>
    <col min="9988" max="9989" width="10.109375" style="622" bestFit="1" customWidth="1"/>
    <col min="9990" max="9990" width="9.109375" style="622"/>
    <col min="9991" max="9992" width="9.33203125" style="622" bestFit="1" customWidth="1"/>
    <col min="9993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21.5546875" style="622" customWidth="1"/>
    <col min="10243" max="10243" width="9.109375" style="622"/>
    <col min="10244" max="10245" width="10.109375" style="622" bestFit="1" customWidth="1"/>
    <col min="10246" max="10246" width="9.109375" style="622"/>
    <col min="10247" max="10248" width="9.33203125" style="622" bestFit="1" customWidth="1"/>
    <col min="10249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21.5546875" style="622" customWidth="1"/>
    <col min="10499" max="10499" width="9.109375" style="622"/>
    <col min="10500" max="10501" width="10.109375" style="622" bestFit="1" customWidth="1"/>
    <col min="10502" max="10502" width="9.109375" style="622"/>
    <col min="10503" max="10504" width="9.33203125" style="622" bestFit="1" customWidth="1"/>
    <col min="10505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21.5546875" style="622" customWidth="1"/>
    <col min="10755" max="10755" width="9.109375" style="622"/>
    <col min="10756" max="10757" width="10.109375" style="622" bestFit="1" customWidth="1"/>
    <col min="10758" max="10758" width="9.109375" style="622"/>
    <col min="10759" max="10760" width="9.33203125" style="622" bestFit="1" customWidth="1"/>
    <col min="10761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21.5546875" style="622" customWidth="1"/>
    <col min="11011" max="11011" width="9.109375" style="622"/>
    <col min="11012" max="11013" width="10.109375" style="622" bestFit="1" customWidth="1"/>
    <col min="11014" max="11014" width="9.109375" style="622"/>
    <col min="11015" max="11016" width="9.33203125" style="622" bestFit="1" customWidth="1"/>
    <col min="11017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21.5546875" style="622" customWidth="1"/>
    <col min="11267" max="11267" width="9.109375" style="622"/>
    <col min="11268" max="11269" width="10.109375" style="622" bestFit="1" customWidth="1"/>
    <col min="11270" max="11270" width="9.109375" style="622"/>
    <col min="11271" max="11272" width="9.33203125" style="622" bestFit="1" customWidth="1"/>
    <col min="11273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21.5546875" style="622" customWidth="1"/>
    <col min="11523" max="11523" width="9.109375" style="622"/>
    <col min="11524" max="11525" width="10.109375" style="622" bestFit="1" customWidth="1"/>
    <col min="11526" max="11526" width="9.109375" style="622"/>
    <col min="11527" max="11528" width="9.33203125" style="622" bestFit="1" customWidth="1"/>
    <col min="11529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21.5546875" style="622" customWidth="1"/>
    <col min="11779" max="11779" width="9.109375" style="622"/>
    <col min="11780" max="11781" width="10.109375" style="622" bestFit="1" customWidth="1"/>
    <col min="11782" max="11782" width="9.109375" style="622"/>
    <col min="11783" max="11784" width="9.33203125" style="622" bestFit="1" customWidth="1"/>
    <col min="11785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21.5546875" style="622" customWidth="1"/>
    <col min="12035" max="12035" width="9.109375" style="622"/>
    <col min="12036" max="12037" width="10.109375" style="622" bestFit="1" customWidth="1"/>
    <col min="12038" max="12038" width="9.109375" style="622"/>
    <col min="12039" max="12040" width="9.33203125" style="622" bestFit="1" customWidth="1"/>
    <col min="12041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21.5546875" style="622" customWidth="1"/>
    <col min="12291" max="12291" width="9.109375" style="622"/>
    <col min="12292" max="12293" width="10.109375" style="622" bestFit="1" customWidth="1"/>
    <col min="12294" max="12294" width="9.109375" style="622"/>
    <col min="12295" max="12296" width="9.33203125" style="622" bestFit="1" customWidth="1"/>
    <col min="12297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21.5546875" style="622" customWidth="1"/>
    <col min="12547" max="12547" width="9.109375" style="622"/>
    <col min="12548" max="12549" width="10.109375" style="622" bestFit="1" customWidth="1"/>
    <col min="12550" max="12550" width="9.109375" style="622"/>
    <col min="12551" max="12552" width="9.33203125" style="622" bestFit="1" customWidth="1"/>
    <col min="12553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21.5546875" style="622" customWidth="1"/>
    <col min="12803" max="12803" width="9.109375" style="622"/>
    <col min="12804" max="12805" width="10.109375" style="622" bestFit="1" customWidth="1"/>
    <col min="12806" max="12806" width="9.109375" style="622"/>
    <col min="12807" max="12808" width="9.33203125" style="622" bestFit="1" customWidth="1"/>
    <col min="12809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21.5546875" style="622" customWidth="1"/>
    <col min="13059" max="13059" width="9.109375" style="622"/>
    <col min="13060" max="13061" width="10.109375" style="622" bestFit="1" customWidth="1"/>
    <col min="13062" max="13062" width="9.109375" style="622"/>
    <col min="13063" max="13064" width="9.33203125" style="622" bestFit="1" customWidth="1"/>
    <col min="13065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21.5546875" style="622" customWidth="1"/>
    <col min="13315" max="13315" width="9.109375" style="622"/>
    <col min="13316" max="13317" width="10.109375" style="622" bestFit="1" customWidth="1"/>
    <col min="13318" max="13318" width="9.109375" style="622"/>
    <col min="13319" max="13320" width="9.33203125" style="622" bestFit="1" customWidth="1"/>
    <col min="13321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21.5546875" style="622" customWidth="1"/>
    <col min="13571" max="13571" width="9.109375" style="622"/>
    <col min="13572" max="13573" width="10.109375" style="622" bestFit="1" customWidth="1"/>
    <col min="13574" max="13574" width="9.109375" style="622"/>
    <col min="13575" max="13576" width="9.33203125" style="622" bestFit="1" customWidth="1"/>
    <col min="13577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21.5546875" style="622" customWidth="1"/>
    <col min="13827" max="13827" width="9.109375" style="622"/>
    <col min="13828" max="13829" width="10.109375" style="622" bestFit="1" customWidth="1"/>
    <col min="13830" max="13830" width="9.109375" style="622"/>
    <col min="13831" max="13832" width="9.33203125" style="622" bestFit="1" customWidth="1"/>
    <col min="13833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21.5546875" style="622" customWidth="1"/>
    <col min="14083" max="14083" width="9.109375" style="622"/>
    <col min="14084" max="14085" width="10.109375" style="622" bestFit="1" customWidth="1"/>
    <col min="14086" max="14086" width="9.109375" style="622"/>
    <col min="14087" max="14088" width="9.33203125" style="622" bestFit="1" customWidth="1"/>
    <col min="14089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21.5546875" style="622" customWidth="1"/>
    <col min="14339" max="14339" width="9.109375" style="622"/>
    <col min="14340" max="14341" width="10.109375" style="622" bestFit="1" customWidth="1"/>
    <col min="14342" max="14342" width="9.109375" style="622"/>
    <col min="14343" max="14344" width="9.33203125" style="622" bestFit="1" customWidth="1"/>
    <col min="14345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21.5546875" style="622" customWidth="1"/>
    <col min="14595" max="14595" width="9.109375" style="622"/>
    <col min="14596" max="14597" width="10.109375" style="622" bestFit="1" customWidth="1"/>
    <col min="14598" max="14598" width="9.109375" style="622"/>
    <col min="14599" max="14600" width="9.33203125" style="622" bestFit="1" customWidth="1"/>
    <col min="14601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21.5546875" style="622" customWidth="1"/>
    <col min="14851" max="14851" width="9.109375" style="622"/>
    <col min="14852" max="14853" width="10.109375" style="622" bestFit="1" customWidth="1"/>
    <col min="14854" max="14854" width="9.109375" style="622"/>
    <col min="14855" max="14856" width="9.33203125" style="622" bestFit="1" customWidth="1"/>
    <col min="14857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21.5546875" style="622" customWidth="1"/>
    <col min="15107" max="15107" width="9.109375" style="622"/>
    <col min="15108" max="15109" width="10.109375" style="622" bestFit="1" customWidth="1"/>
    <col min="15110" max="15110" width="9.109375" style="622"/>
    <col min="15111" max="15112" width="9.33203125" style="622" bestFit="1" customWidth="1"/>
    <col min="15113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21.5546875" style="622" customWidth="1"/>
    <col min="15363" max="15363" width="9.109375" style="622"/>
    <col min="15364" max="15365" width="10.109375" style="622" bestFit="1" customWidth="1"/>
    <col min="15366" max="15366" width="9.109375" style="622"/>
    <col min="15367" max="15368" width="9.33203125" style="622" bestFit="1" customWidth="1"/>
    <col min="15369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21.5546875" style="622" customWidth="1"/>
    <col min="15619" max="15619" width="9.109375" style="622"/>
    <col min="15620" max="15621" width="10.109375" style="622" bestFit="1" customWidth="1"/>
    <col min="15622" max="15622" width="9.109375" style="622"/>
    <col min="15623" max="15624" width="9.33203125" style="622" bestFit="1" customWidth="1"/>
    <col min="15625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21.5546875" style="622" customWidth="1"/>
    <col min="15875" max="15875" width="9.109375" style="622"/>
    <col min="15876" max="15877" width="10.109375" style="622" bestFit="1" customWidth="1"/>
    <col min="15878" max="15878" width="9.109375" style="622"/>
    <col min="15879" max="15880" width="9.33203125" style="622" bestFit="1" customWidth="1"/>
    <col min="15881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21.5546875" style="622" customWidth="1"/>
    <col min="16131" max="16131" width="9.109375" style="622"/>
    <col min="16132" max="16133" width="10.109375" style="622" bestFit="1" customWidth="1"/>
    <col min="16134" max="16134" width="9.109375" style="622"/>
    <col min="16135" max="16136" width="9.33203125" style="622" bestFit="1" customWidth="1"/>
    <col min="16137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613" t="s">
        <v>491</v>
      </c>
      <c r="B1" s="1215"/>
      <c r="C1" s="1215"/>
      <c r="D1" s="1215"/>
      <c r="E1" s="1215"/>
      <c r="F1" s="1215"/>
      <c r="G1" s="1215"/>
      <c r="H1" s="1614"/>
      <c r="I1" s="1615" t="s">
        <v>508</v>
      </c>
      <c r="J1" s="1569"/>
      <c r="K1" s="1569"/>
      <c r="L1" s="1569"/>
      <c r="M1" s="1569"/>
      <c r="N1" s="1573" t="s">
        <v>332</v>
      </c>
    </row>
    <row r="2" spans="1:14">
      <c r="A2" s="1617"/>
      <c r="B2" s="1618"/>
      <c r="C2" s="1618"/>
      <c r="D2" s="1618"/>
      <c r="E2" s="1618"/>
      <c r="F2" s="1618"/>
      <c r="G2" s="1618"/>
      <c r="H2" s="1618"/>
      <c r="I2" s="1616"/>
      <c r="J2" s="1571"/>
      <c r="K2" s="1571"/>
      <c r="L2" s="1571"/>
      <c r="M2" s="1571"/>
      <c r="N2" s="1574"/>
    </row>
    <row r="3" spans="1:14">
      <c r="A3" s="749" t="s">
        <v>745</v>
      </c>
      <c r="B3" s="748" t="str">
        <f>'F1 Forecast Consultant'!C3</f>
        <v>Western</v>
      </c>
      <c r="I3" s="1619" t="s">
        <v>493</v>
      </c>
      <c r="J3" s="1577"/>
      <c r="K3" s="1578">
        <f>'F1  Cover'!K8</f>
        <v>1</v>
      </c>
      <c r="L3" s="1579"/>
      <c r="M3" s="1579"/>
      <c r="N3" s="1580"/>
    </row>
    <row r="4" spans="1:14" ht="13.8" thickBot="1">
      <c r="A4" s="1609"/>
      <c r="B4" s="1610"/>
      <c r="C4" s="1610"/>
      <c r="D4" s="1610"/>
      <c r="E4" s="1610"/>
      <c r="F4" s="1610"/>
      <c r="G4" s="1610"/>
      <c r="H4" s="1610"/>
      <c r="I4" s="1611" t="s">
        <v>494</v>
      </c>
      <c r="J4" s="1612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98</v>
      </c>
      <c r="B6" s="625" t="s">
        <v>0</v>
      </c>
      <c r="C6" s="755" t="s">
        <v>1</v>
      </c>
      <c r="D6" s="756" t="s">
        <v>496</v>
      </c>
      <c r="E6" s="420" t="s">
        <v>497</v>
      </c>
      <c r="F6" s="420" t="s">
        <v>498</v>
      </c>
      <c r="G6" s="420" t="s">
        <v>499</v>
      </c>
      <c r="H6" s="755" t="s">
        <v>500</v>
      </c>
      <c r="I6" s="756" t="s">
        <v>3</v>
      </c>
      <c r="J6" s="420" t="s">
        <v>501</v>
      </c>
      <c r="K6" s="420" t="s">
        <v>502</v>
      </c>
      <c r="L6" s="420" t="s">
        <v>503</v>
      </c>
      <c r="M6" s="420" t="s">
        <v>504</v>
      </c>
      <c r="N6" s="755" t="s">
        <v>505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8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pre-recorded video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Sums'!K206-'C3.6'!F10</f>
        <v>0</v>
      </c>
      <c r="H10" s="632">
        <f>F10+G10</f>
        <v>0</v>
      </c>
      <c r="I10" s="733">
        <f>'Pricing Schedule'!F247</f>
        <v>20000</v>
      </c>
      <c r="J10" s="631">
        <f>D10*I10</f>
        <v>20000</v>
      </c>
      <c r="K10" s="631">
        <f>E10*I10</f>
        <v>20000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20000</v>
      </c>
      <c r="E11" s="631">
        <f>K10</f>
        <v>20000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8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8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8">
        <v>1</v>
      </c>
      <c r="F15" s="855">
        <f>DATA!$JJ$52</f>
        <v>0</v>
      </c>
      <c r="G15" s="955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60" t="s">
        <v>506</v>
      </c>
      <c r="B16" s="1560"/>
      <c r="C16" s="1560"/>
      <c r="D16" s="716"/>
      <c r="E16" s="717"/>
      <c r="F16" s="717"/>
      <c r="G16" s="717"/>
      <c r="H16" s="718"/>
      <c r="I16" s="716"/>
      <c r="J16" s="720">
        <f>SUM(J8:J15)</f>
        <v>20000</v>
      </c>
      <c r="K16" s="720">
        <f t="shared" ref="K16:N16" si="1">SUM(K8:K15)</f>
        <v>20000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" customHeight="1">
      <c r="A19" s="817" t="s">
        <v>651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" customHeight="1">
      <c r="A20" s="622" t="s">
        <v>653</v>
      </c>
      <c r="J20" s="735">
        <f>J10+J11</f>
        <v>20000</v>
      </c>
      <c r="K20" s="735">
        <f t="shared" ref="K20:N20" si="3">K10+K11</f>
        <v>20000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" customHeight="1" thickBot="1">
      <c r="A21" s="622" t="s">
        <v>652</v>
      </c>
      <c r="J21" s="785">
        <f>SUM(J19:J20)</f>
        <v>20000</v>
      </c>
      <c r="K21" s="785">
        <f t="shared" ref="K21:N21" si="4">SUM(K19:K20)</f>
        <v>20000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8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3.44140625" style="622" customWidth="1"/>
    <col min="259" max="265" width="9.109375" style="622"/>
    <col min="266" max="268" width="10.109375" style="622" bestFit="1" customWidth="1"/>
    <col min="269" max="270" width="12.109375" style="622" customWidth="1"/>
    <col min="271" max="513" width="9.109375" style="622"/>
    <col min="514" max="514" width="33.44140625" style="622" customWidth="1"/>
    <col min="515" max="521" width="9.109375" style="622"/>
    <col min="522" max="524" width="10.109375" style="622" bestFit="1" customWidth="1"/>
    <col min="525" max="526" width="12.109375" style="622" customWidth="1"/>
    <col min="527" max="769" width="9.109375" style="622"/>
    <col min="770" max="770" width="33.44140625" style="622" customWidth="1"/>
    <col min="771" max="777" width="9.109375" style="622"/>
    <col min="778" max="780" width="10.109375" style="622" bestFit="1" customWidth="1"/>
    <col min="781" max="782" width="12.109375" style="622" customWidth="1"/>
    <col min="783" max="1025" width="9.109375" style="622"/>
    <col min="1026" max="1026" width="33.44140625" style="622" customWidth="1"/>
    <col min="1027" max="1033" width="9.109375" style="622"/>
    <col min="1034" max="1036" width="10.109375" style="622" bestFit="1" customWidth="1"/>
    <col min="1037" max="1038" width="12.109375" style="622" customWidth="1"/>
    <col min="1039" max="1281" width="9.109375" style="622"/>
    <col min="1282" max="1282" width="33.44140625" style="622" customWidth="1"/>
    <col min="1283" max="1289" width="9.109375" style="622"/>
    <col min="1290" max="1292" width="10.109375" style="622" bestFit="1" customWidth="1"/>
    <col min="1293" max="1294" width="12.109375" style="622" customWidth="1"/>
    <col min="1295" max="1537" width="9.109375" style="622"/>
    <col min="1538" max="1538" width="33.44140625" style="622" customWidth="1"/>
    <col min="1539" max="1545" width="9.109375" style="622"/>
    <col min="1546" max="1548" width="10.109375" style="622" bestFit="1" customWidth="1"/>
    <col min="1549" max="1550" width="12.109375" style="622" customWidth="1"/>
    <col min="1551" max="1793" width="9.109375" style="622"/>
    <col min="1794" max="1794" width="33.44140625" style="622" customWidth="1"/>
    <col min="1795" max="1801" width="9.109375" style="622"/>
    <col min="1802" max="1804" width="10.109375" style="622" bestFit="1" customWidth="1"/>
    <col min="1805" max="1806" width="12.109375" style="622" customWidth="1"/>
    <col min="1807" max="2049" width="9.109375" style="622"/>
    <col min="2050" max="2050" width="33.44140625" style="622" customWidth="1"/>
    <col min="2051" max="2057" width="9.109375" style="622"/>
    <col min="2058" max="2060" width="10.109375" style="622" bestFit="1" customWidth="1"/>
    <col min="2061" max="2062" width="12.109375" style="622" customWidth="1"/>
    <col min="2063" max="2305" width="9.109375" style="622"/>
    <col min="2306" max="2306" width="33.44140625" style="622" customWidth="1"/>
    <col min="2307" max="2313" width="9.109375" style="622"/>
    <col min="2314" max="2316" width="10.109375" style="622" bestFit="1" customWidth="1"/>
    <col min="2317" max="2318" width="12.109375" style="622" customWidth="1"/>
    <col min="2319" max="2561" width="9.109375" style="622"/>
    <col min="2562" max="2562" width="33.44140625" style="622" customWidth="1"/>
    <col min="2563" max="2569" width="9.109375" style="622"/>
    <col min="2570" max="2572" width="10.109375" style="622" bestFit="1" customWidth="1"/>
    <col min="2573" max="2574" width="12.109375" style="622" customWidth="1"/>
    <col min="2575" max="2817" width="9.109375" style="622"/>
    <col min="2818" max="2818" width="33.44140625" style="622" customWidth="1"/>
    <col min="2819" max="2825" width="9.109375" style="622"/>
    <col min="2826" max="2828" width="10.109375" style="622" bestFit="1" customWidth="1"/>
    <col min="2829" max="2830" width="12.109375" style="622" customWidth="1"/>
    <col min="2831" max="3073" width="9.109375" style="622"/>
    <col min="3074" max="3074" width="33.44140625" style="622" customWidth="1"/>
    <col min="3075" max="3081" width="9.109375" style="622"/>
    <col min="3082" max="3084" width="10.109375" style="622" bestFit="1" customWidth="1"/>
    <col min="3085" max="3086" width="12.109375" style="622" customWidth="1"/>
    <col min="3087" max="3329" width="9.109375" style="622"/>
    <col min="3330" max="3330" width="33.44140625" style="622" customWidth="1"/>
    <col min="3331" max="3337" width="9.109375" style="622"/>
    <col min="3338" max="3340" width="10.109375" style="622" bestFit="1" customWidth="1"/>
    <col min="3341" max="3342" width="12.109375" style="622" customWidth="1"/>
    <col min="3343" max="3585" width="9.109375" style="622"/>
    <col min="3586" max="3586" width="33.44140625" style="622" customWidth="1"/>
    <col min="3587" max="3593" width="9.109375" style="622"/>
    <col min="3594" max="3596" width="10.109375" style="622" bestFit="1" customWidth="1"/>
    <col min="3597" max="3598" width="12.109375" style="622" customWidth="1"/>
    <col min="3599" max="3841" width="9.109375" style="622"/>
    <col min="3842" max="3842" width="33.44140625" style="622" customWidth="1"/>
    <col min="3843" max="3849" width="9.109375" style="622"/>
    <col min="3850" max="3852" width="10.109375" style="622" bestFit="1" customWidth="1"/>
    <col min="3853" max="3854" width="12.109375" style="622" customWidth="1"/>
    <col min="3855" max="4097" width="9.109375" style="622"/>
    <col min="4098" max="4098" width="33.44140625" style="622" customWidth="1"/>
    <col min="4099" max="4105" width="9.109375" style="622"/>
    <col min="4106" max="4108" width="10.109375" style="622" bestFit="1" customWidth="1"/>
    <col min="4109" max="4110" width="12.109375" style="622" customWidth="1"/>
    <col min="4111" max="4353" width="9.109375" style="622"/>
    <col min="4354" max="4354" width="33.44140625" style="622" customWidth="1"/>
    <col min="4355" max="4361" width="9.109375" style="622"/>
    <col min="4362" max="4364" width="10.109375" style="622" bestFit="1" customWidth="1"/>
    <col min="4365" max="4366" width="12.109375" style="622" customWidth="1"/>
    <col min="4367" max="4609" width="9.109375" style="622"/>
    <col min="4610" max="4610" width="33.44140625" style="622" customWidth="1"/>
    <col min="4611" max="4617" width="9.109375" style="622"/>
    <col min="4618" max="4620" width="10.109375" style="622" bestFit="1" customWidth="1"/>
    <col min="4621" max="4622" width="12.109375" style="622" customWidth="1"/>
    <col min="4623" max="4865" width="9.109375" style="622"/>
    <col min="4866" max="4866" width="33.44140625" style="622" customWidth="1"/>
    <col min="4867" max="4873" width="9.109375" style="622"/>
    <col min="4874" max="4876" width="10.109375" style="622" bestFit="1" customWidth="1"/>
    <col min="4877" max="4878" width="12.109375" style="622" customWidth="1"/>
    <col min="4879" max="5121" width="9.109375" style="622"/>
    <col min="5122" max="5122" width="33.44140625" style="622" customWidth="1"/>
    <col min="5123" max="5129" width="9.109375" style="622"/>
    <col min="5130" max="5132" width="10.109375" style="622" bestFit="1" customWidth="1"/>
    <col min="5133" max="5134" width="12.109375" style="622" customWidth="1"/>
    <col min="5135" max="5377" width="9.109375" style="622"/>
    <col min="5378" max="5378" width="33.44140625" style="622" customWidth="1"/>
    <col min="5379" max="5385" width="9.109375" style="622"/>
    <col min="5386" max="5388" width="10.109375" style="622" bestFit="1" customWidth="1"/>
    <col min="5389" max="5390" width="12.109375" style="622" customWidth="1"/>
    <col min="5391" max="5633" width="9.109375" style="622"/>
    <col min="5634" max="5634" width="33.44140625" style="622" customWidth="1"/>
    <col min="5635" max="5641" width="9.109375" style="622"/>
    <col min="5642" max="5644" width="10.109375" style="622" bestFit="1" customWidth="1"/>
    <col min="5645" max="5646" width="12.109375" style="622" customWidth="1"/>
    <col min="5647" max="5889" width="9.109375" style="622"/>
    <col min="5890" max="5890" width="33.44140625" style="622" customWidth="1"/>
    <col min="5891" max="5897" width="9.109375" style="622"/>
    <col min="5898" max="5900" width="10.109375" style="622" bestFit="1" customWidth="1"/>
    <col min="5901" max="5902" width="12.109375" style="622" customWidth="1"/>
    <col min="5903" max="6145" width="9.109375" style="622"/>
    <col min="6146" max="6146" width="33.44140625" style="622" customWidth="1"/>
    <col min="6147" max="6153" width="9.109375" style="622"/>
    <col min="6154" max="6156" width="10.109375" style="622" bestFit="1" customWidth="1"/>
    <col min="6157" max="6158" width="12.109375" style="622" customWidth="1"/>
    <col min="6159" max="6401" width="9.109375" style="622"/>
    <col min="6402" max="6402" width="33.44140625" style="622" customWidth="1"/>
    <col min="6403" max="6409" width="9.109375" style="622"/>
    <col min="6410" max="6412" width="10.109375" style="622" bestFit="1" customWidth="1"/>
    <col min="6413" max="6414" width="12.109375" style="622" customWidth="1"/>
    <col min="6415" max="6657" width="9.109375" style="622"/>
    <col min="6658" max="6658" width="33.44140625" style="622" customWidth="1"/>
    <col min="6659" max="6665" width="9.109375" style="622"/>
    <col min="6666" max="6668" width="10.109375" style="622" bestFit="1" customWidth="1"/>
    <col min="6669" max="6670" width="12.109375" style="622" customWidth="1"/>
    <col min="6671" max="6913" width="9.109375" style="622"/>
    <col min="6914" max="6914" width="33.44140625" style="622" customWidth="1"/>
    <col min="6915" max="6921" width="9.109375" style="622"/>
    <col min="6922" max="6924" width="10.109375" style="622" bestFit="1" customWidth="1"/>
    <col min="6925" max="6926" width="12.109375" style="622" customWidth="1"/>
    <col min="6927" max="7169" width="9.109375" style="622"/>
    <col min="7170" max="7170" width="33.44140625" style="622" customWidth="1"/>
    <col min="7171" max="7177" width="9.109375" style="622"/>
    <col min="7178" max="7180" width="10.109375" style="622" bestFit="1" customWidth="1"/>
    <col min="7181" max="7182" width="12.109375" style="622" customWidth="1"/>
    <col min="7183" max="7425" width="9.109375" style="622"/>
    <col min="7426" max="7426" width="33.44140625" style="622" customWidth="1"/>
    <col min="7427" max="7433" width="9.109375" style="622"/>
    <col min="7434" max="7436" width="10.109375" style="622" bestFit="1" customWidth="1"/>
    <col min="7437" max="7438" width="12.109375" style="622" customWidth="1"/>
    <col min="7439" max="7681" width="9.109375" style="622"/>
    <col min="7682" max="7682" width="33.44140625" style="622" customWidth="1"/>
    <col min="7683" max="7689" width="9.109375" style="622"/>
    <col min="7690" max="7692" width="10.109375" style="622" bestFit="1" customWidth="1"/>
    <col min="7693" max="7694" width="12.109375" style="622" customWidth="1"/>
    <col min="7695" max="7937" width="9.109375" style="622"/>
    <col min="7938" max="7938" width="33.44140625" style="622" customWidth="1"/>
    <col min="7939" max="7945" width="9.109375" style="622"/>
    <col min="7946" max="7948" width="10.109375" style="622" bestFit="1" customWidth="1"/>
    <col min="7949" max="7950" width="12.109375" style="622" customWidth="1"/>
    <col min="7951" max="8193" width="9.109375" style="622"/>
    <col min="8194" max="8194" width="33.44140625" style="622" customWidth="1"/>
    <col min="8195" max="8201" width="9.109375" style="622"/>
    <col min="8202" max="8204" width="10.109375" style="622" bestFit="1" customWidth="1"/>
    <col min="8205" max="8206" width="12.109375" style="622" customWidth="1"/>
    <col min="8207" max="8449" width="9.109375" style="622"/>
    <col min="8450" max="8450" width="33.44140625" style="622" customWidth="1"/>
    <col min="8451" max="8457" width="9.109375" style="622"/>
    <col min="8458" max="8460" width="10.109375" style="622" bestFit="1" customWidth="1"/>
    <col min="8461" max="8462" width="12.109375" style="622" customWidth="1"/>
    <col min="8463" max="8705" width="9.109375" style="622"/>
    <col min="8706" max="8706" width="33.44140625" style="622" customWidth="1"/>
    <col min="8707" max="8713" width="9.109375" style="622"/>
    <col min="8714" max="8716" width="10.109375" style="622" bestFit="1" customWidth="1"/>
    <col min="8717" max="8718" width="12.109375" style="622" customWidth="1"/>
    <col min="8719" max="8961" width="9.109375" style="622"/>
    <col min="8962" max="8962" width="33.44140625" style="622" customWidth="1"/>
    <col min="8963" max="8969" width="9.109375" style="622"/>
    <col min="8970" max="8972" width="10.109375" style="622" bestFit="1" customWidth="1"/>
    <col min="8973" max="8974" width="12.109375" style="622" customWidth="1"/>
    <col min="8975" max="9217" width="9.109375" style="622"/>
    <col min="9218" max="9218" width="33.44140625" style="622" customWidth="1"/>
    <col min="9219" max="9225" width="9.109375" style="622"/>
    <col min="9226" max="9228" width="10.109375" style="622" bestFit="1" customWidth="1"/>
    <col min="9229" max="9230" width="12.109375" style="622" customWidth="1"/>
    <col min="9231" max="9473" width="9.109375" style="622"/>
    <col min="9474" max="9474" width="33.44140625" style="622" customWidth="1"/>
    <col min="9475" max="9481" width="9.109375" style="622"/>
    <col min="9482" max="9484" width="10.109375" style="622" bestFit="1" customWidth="1"/>
    <col min="9485" max="9486" width="12.109375" style="622" customWidth="1"/>
    <col min="9487" max="9729" width="9.109375" style="622"/>
    <col min="9730" max="9730" width="33.44140625" style="622" customWidth="1"/>
    <col min="9731" max="9737" width="9.109375" style="622"/>
    <col min="9738" max="9740" width="10.109375" style="622" bestFit="1" customWidth="1"/>
    <col min="9741" max="9742" width="12.109375" style="622" customWidth="1"/>
    <col min="9743" max="9985" width="9.109375" style="622"/>
    <col min="9986" max="9986" width="33.44140625" style="622" customWidth="1"/>
    <col min="9987" max="9993" width="9.109375" style="622"/>
    <col min="9994" max="9996" width="10.109375" style="622" bestFit="1" customWidth="1"/>
    <col min="9997" max="9998" width="12.109375" style="622" customWidth="1"/>
    <col min="9999" max="10241" width="9.109375" style="622"/>
    <col min="10242" max="10242" width="33.44140625" style="622" customWidth="1"/>
    <col min="10243" max="10249" width="9.109375" style="622"/>
    <col min="10250" max="10252" width="10.109375" style="622" bestFit="1" customWidth="1"/>
    <col min="10253" max="10254" width="12.109375" style="622" customWidth="1"/>
    <col min="10255" max="10497" width="9.109375" style="622"/>
    <col min="10498" max="10498" width="33.44140625" style="622" customWidth="1"/>
    <col min="10499" max="10505" width="9.109375" style="622"/>
    <col min="10506" max="10508" width="10.109375" style="622" bestFit="1" customWidth="1"/>
    <col min="10509" max="10510" width="12.109375" style="622" customWidth="1"/>
    <col min="10511" max="10753" width="9.109375" style="622"/>
    <col min="10754" max="10754" width="33.44140625" style="622" customWidth="1"/>
    <col min="10755" max="10761" width="9.109375" style="622"/>
    <col min="10762" max="10764" width="10.109375" style="622" bestFit="1" customWidth="1"/>
    <col min="10765" max="10766" width="12.109375" style="622" customWidth="1"/>
    <col min="10767" max="11009" width="9.109375" style="622"/>
    <col min="11010" max="11010" width="33.44140625" style="622" customWidth="1"/>
    <col min="11011" max="11017" width="9.109375" style="622"/>
    <col min="11018" max="11020" width="10.109375" style="622" bestFit="1" customWidth="1"/>
    <col min="11021" max="11022" width="12.109375" style="622" customWidth="1"/>
    <col min="11023" max="11265" width="9.109375" style="622"/>
    <col min="11266" max="11266" width="33.44140625" style="622" customWidth="1"/>
    <col min="11267" max="11273" width="9.109375" style="622"/>
    <col min="11274" max="11276" width="10.109375" style="622" bestFit="1" customWidth="1"/>
    <col min="11277" max="11278" width="12.109375" style="622" customWidth="1"/>
    <col min="11279" max="11521" width="9.109375" style="622"/>
    <col min="11522" max="11522" width="33.44140625" style="622" customWidth="1"/>
    <col min="11523" max="11529" width="9.109375" style="622"/>
    <col min="11530" max="11532" width="10.109375" style="622" bestFit="1" customWidth="1"/>
    <col min="11533" max="11534" width="12.109375" style="622" customWidth="1"/>
    <col min="11535" max="11777" width="9.109375" style="622"/>
    <col min="11778" max="11778" width="33.44140625" style="622" customWidth="1"/>
    <col min="11779" max="11785" width="9.109375" style="622"/>
    <col min="11786" max="11788" width="10.109375" style="622" bestFit="1" customWidth="1"/>
    <col min="11789" max="11790" width="12.109375" style="622" customWidth="1"/>
    <col min="11791" max="12033" width="9.109375" style="622"/>
    <col min="12034" max="12034" width="33.44140625" style="622" customWidth="1"/>
    <col min="12035" max="12041" width="9.109375" style="622"/>
    <col min="12042" max="12044" width="10.109375" style="622" bestFit="1" customWidth="1"/>
    <col min="12045" max="12046" width="12.109375" style="622" customWidth="1"/>
    <col min="12047" max="12289" width="9.109375" style="622"/>
    <col min="12290" max="12290" width="33.44140625" style="622" customWidth="1"/>
    <col min="12291" max="12297" width="9.109375" style="622"/>
    <col min="12298" max="12300" width="10.109375" style="622" bestFit="1" customWidth="1"/>
    <col min="12301" max="12302" width="12.109375" style="622" customWidth="1"/>
    <col min="12303" max="12545" width="9.109375" style="622"/>
    <col min="12546" max="12546" width="33.44140625" style="622" customWidth="1"/>
    <col min="12547" max="12553" width="9.109375" style="622"/>
    <col min="12554" max="12556" width="10.109375" style="622" bestFit="1" customWidth="1"/>
    <col min="12557" max="12558" width="12.109375" style="622" customWidth="1"/>
    <col min="12559" max="12801" width="9.109375" style="622"/>
    <col min="12802" max="12802" width="33.44140625" style="622" customWidth="1"/>
    <col min="12803" max="12809" width="9.109375" style="622"/>
    <col min="12810" max="12812" width="10.109375" style="622" bestFit="1" customWidth="1"/>
    <col min="12813" max="12814" width="12.109375" style="622" customWidth="1"/>
    <col min="12815" max="13057" width="9.109375" style="622"/>
    <col min="13058" max="13058" width="33.44140625" style="622" customWidth="1"/>
    <col min="13059" max="13065" width="9.109375" style="622"/>
    <col min="13066" max="13068" width="10.109375" style="622" bestFit="1" customWidth="1"/>
    <col min="13069" max="13070" width="12.109375" style="622" customWidth="1"/>
    <col min="13071" max="13313" width="9.109375" style="622"/>
    <col min="13314" max="13314" width="33.44140625" style="622" customWidth="1"/>
    <col min="13315" max="13321" width="9.109375" style="622"/>
    <col min="13322" max="13324" width="10.109375" style="622" bestFit="1" customWidth="1"/>
    <col min="13325" max="13326" width="12.109375" style="622" customWidth="1"/>
    <col min="13327" max="13569" width="9.109375" style="622"/>
    <col min="13570" max="13570" width="33.44140625" style="622" customWidth="1"/>
    <col min="13571" max="13577" width="9.109375" style="622"/>
    <col min="13578" max="13580" width="10.109375" style="622" bestFit="1" customWidth="1"/>
    <col min="13581" max="13582" width="12.109375" style="622" customWidth="1"/>
    <col min="13583" max="13825" width="9.109375" style="622"/>
    <col min="13826" max="13826" width="33.44140625" style="622" customWidth="1"/>
    <col min="13827" max="13833" width="9.109375" style="622"/>
    <col min="13834" max="13836" width="10.109375" style="622" bestFit="1" customWidth="1"/>
    <col min="13837" max="13838" width="12.109375" style="622" customWidth="1"/>
    <col min="13839" max="14081" width="9.109375" style="622"/>
    <col min="14082" max="14082" width="33.44140625" style="622" customWidth="1"/>
    <col min="14083" max="14089" width="9.109375" style="622"/>
    <col min="14090" max="14092" width="10.109375" style="622" bestFit="1" customWidth="1"/>
    <col min="14093" max="14094" width="12.109375" style="622" customWidth="1"/>
    <col min="14095" max="14337" width="9.109375" style="622"/>
    <col min="14338" max="14338" width="33.44140625" style="622" customWidth="1"/>
    <col min="14339" max="14345" width="9.109375" style="622"/>
    <col min="14346" max="14348" width="10.109375" style="622" bestFit="1" customWidth="1"/>
    <col min="14349" max="14350" width="12.109375" style="622" customWidth="1"/>
    <col min="14351" max="14593" width="9.109375" style="622"/>
    <col min="14594" max="14594" width="33.44140625" style="622" customWidth="1"/>
    <col min="14595" max="14601" width="9.109375" style="622"/>
    <col min="14602" max="14604" width="10.109375" style="622" bestFit="1" customWidth="1"/>
    <col min="14605" max="14606" width="12.109375" style="622" customWidth="1"/>
    <col min="14607" max="14849" width="9.109375" style="622"/>
    <col min="14850" max="14850" width="33.44140625" style="622" customWidth="1"/>
    <col min="14851" max="14857" width="9.109375" style="622"/>
    <col min="14858" max="14860" width="10.109375" style="622" bestFit="1" customWidth="1"/>
    <col min="14861" max="14862" width="12.109375" style="622" customWidth="1"/>
    <col min="14863" max="15105" width="9.109375" style="622"/>
    <col min="15106" max="15106" width="33.44140625" style="622" customWidth="1"/>
    <col min="15107" max="15113" width="9.109375" style="622"/>
    <col min="15114" max="15116" width="10.109375" style="622" bestFit="1" customWidth="1"/>
    <col min="15117" max="15118" width="12.109375" style="622" customWidth="1"/>
    <col min="15119" max="15361" width="9.109375" style="622"/>
    <col min="15362" max="15362" width="33.44140625" style="622" customWidth="1"/>
    <col min="15363" max="15369" width="9.109375" style="622"/>
    <col min="15370" max="15372" width="10.109375" style="622" bestFit="1" customWidth="1"/>
    <col min="15373" max="15374" width="12.109375" style="622" customWidth="1"/>
    <col min="15375" max="15617" width="9.109375" style="622"/>
    <col min="15618" max="15618" width="33.44140625" style="622" customWidth="1"/>
    <col min="15619" max="15625" width="9.109375" style="622"/>
    <col min="15626" max="15628" width="10.109375" style="622" bestFit="1" customWidth="1"/>
    <col min="15629" max="15630" width="12.109375" style="622" customWidth="1"/>
    <col min="15631" max="15873" width="9.109375" style="622"/>
    <col min="15874" max="15874" width="33.44140625" style="622" customWidth="1"/>
    <col min="15875" max="15881" width="9.109375" style="622"/>
    <col min="15882" max="15884" width="10.109375" style="622" bestFit="1" customWidth="1"/>
    <col min="15885" max="15886" width="12.109375" style="622" customWidth="1"/>
    <col min="15887" max="16129" width="9.109375" style="622"/>
    <col min="16130" max="16130" width="33.44140625" style="622" customWidth="1"/>
    <col min="16131" max="16137" width="9.109375" style="622"/>
    <col min="16138" max="16140" width="10.109375" style="622" bestFit="1" customWidth="1"/>
    <col min="16141" max="16142" width="12.109375" style="622" customWidth="1"/>
    <col min="16143" max="16384" width="9.109375" style="622"/>
  </cols>
  <sheetData>
    <row r="1" spans="1:14" ht="12.75" customHeight="1">
      <c r="A1" s="1606" t="s">
        <v>507</v>
      </c>
      <c r="B1" s="1585"/>
      <c r="C1" s="1585"/>
      <c r="D1" s="1585"/>
      <c r="E1" s="1585"/>
      <c r="F1" s="1585"/>
      <c r="G1" s="1585"/>
      <c r="H1" s="1586"/>
      <c r="I1" s="1587" t="s">
        <v>492</v>
      </c>
      <c r="J1" s="1588"/>
      <c r="K1" s="1588"/>
      <c r="L1" s="1588"/>
      <c r="M1" s="1588"/>
      <c r="N1" s="1591" t="s">
        <v>334</v>
      </c>
    </row>
    <row r="2" spans="1:14">
      <c r="A2" s="1607"/>
      <c r="B2" s="1594"/>
      <c r="C2" s="1594"/>
      <c r="D2" s="1594"/>
      <c r="E2" s="1594"/>
      <c r="F2" s="1594"/>
      <c r="G2" s="1594"/>
      <c r="H2" s="1594"/>
      <c r="I2" s="1589"/>
      <c r="J2" s="1590"/>
      <c r="K2" s="1590"/>
      <c r="L2" s="1590"/>
      <c r="M2" s="1590"/>
      <c r="N2" s="1592"/>
    </row>
    <row r="3" spans="1:14">
      <c r="A3" s="749" t="s">
        <v>746</v>
      </c>
      <c r="B3" s="748" t="str">
        <f>'F1 Forecast Consultant'!C3</f>
        <v>Western</v>
      </c>
      <c r="I3" s="1595" t="s">
        <v>493</v>
      </c>
      <c r="J3" s="1596"/>
      <c r="K3" s="1578">
        <f>'F1  Cover'!K8</f>
        <v>1</v>
      </c>
      <c r="L3" s="1579"/>
      <c r="M3" s="1579"/>
      <c r="N3" s="1580"/>
    </row>
    <row r="4" spans="1:14" ht="13.8" thickBot="1">
      <c r="A4" s="1608"/>
      <c r="B4" s="1598"/>
      <c r="C4" s="1598"/>
      <c r="D4" s="1598"/>
      <c r="E4" s="1598"/>
      <c r="F4" s="1598"/>
      <c r="G4" s="1598"/>
      <c r="H4" s="1598"/>
      <c r="I4" s="1599" t="s">
        <v>494</v>
      </c>
      <c r="J4" s="1600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98</v>
      </c>
      <c r="B6" s="757" t="s">
        <v>0</v>
      </c>
      <c r="C6" s="718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'ADJ-Summary'!$J$12</f>
        <v>0</v>
      </c>
      <c r="K11" s="631">
        <f>'ADJ-Summary'!$J$19</f>
        <v>0</v>
      </c>
      <c r="L11" s="855">
        <f>DATA!$IH$52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'ADJ-Summary'!$J$35</f>
        <v>0</v>
      </c>
      <c r="K14" s="631">
        <f>'ADJ-Summary'!$J$42</f>
        <v>0</v>
      </c>
      <c r="L14" s="855">
        <f>DATA!$IJ$52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'ADJ-Summary'!$J$59</f>
        <v>0</v>
      </c>
      <c r="K17" s="631">
        <f>'ADJ-Summary'!$J$66</f>
        <v>0</v>
      </c>
      <c r="L17" s="855">
        <f>DATA!$IL$52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'ADJ-Summary'!$J$82</f>
        <v>0</v>
      </c>
      <c r="K20" s="631">
        <f>'ADJ-Summary'!$J$89</f>
        <v>0</v>
      </c>
      <c r="L20" s="855">
        <f>DATA!$IN$52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'ADJ-Summary'!$J$105</f>
        <v>0</v>
      </c>
      <c r="K23" s="631">
        <f>'ADJ-Summary'!$J$112</f>
        <v>0</v>
      </c>
      <c r="L23" s="855">
        <f>DATA!$IP$52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'ADJ-Summary'!$J$128</f>
        <v>0</v>
      </c>
      <c r="K26" s="631">
        <f>'ADJ-Summary'!$J$135</f>
        <v>0</v>
      </c>
      <c r="L26" s="855">
        <f>DATA!$IR$52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'ADJ-Summary'!$J$151</f>
        <v>0</v>
      </c>
      <c r="K29" s="631">
        <f>'ADJ-Summary'!$J$158</f>
        <v>0</v>
      </c>
      <c r="L29" s="855">
        <f>DATA!$IT$52</f>
        <v>0</v>
      </c>
      <c r="M29" s="631">
        <f>+(G29+F29)*K29-L29</f>
        <v>0</v>
      </c>
      <c r="N29" s="632">
        <f>L29+M29</f>
        <v>0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18</v>
      </c>
      <c r="E30" s="722">
        <f>D30</f>
        <v>18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2.8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2</v>
      </c>
      <c r="E31" s="722">
        <f>D31</f>
        <v>2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2.8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2</v>
      </c>
      <c r="E32" s="722">
        <f>D32</f>
        <v>2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8"/>
      <c r="F33" s="631"/>
      <c r="G33" s="1058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Sums'!K229-'C3.7'!F34</f>
        <v>0</v>
      </c>
      <c r="H34" s="632">
        <f>F34+G34</f>
        <v>0</v>
      </c>
      <c r="I34" s="733">
        <f>'Pricing Schedule'!F281</f>
        <v>400000</v>
      </c>
      <c r="J34" s="631">
        <f>D34*I34</f>
        <v>400000</v>
      </c>
      <c r="K34" s="631">
        <f>E34*I34</f>
        <v>400000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Sums'!K237-'C3.7'!F35</f>
        <v>0</v>
      </c>
      <c r="H35" s="632">
        <f>F35+G35</f>
        <v>0</v>
      </c>
      <c r="I35" s="733">
        <f>'Pricing Schedule'!F282</f>
        <v>100000</v>
      </c>
      <c r="J35" s="631">
        <f>D35*I35</f>
        <v>100000</v>
      </c>
      <c r="K35" s="631">
        <f>E35*I35</f>
        <v>100000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18</v>
      </c>
      <c r="E37" s="722">
        <f>D37</f>
        <v>18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Sums'!K246-'C3.7'!F38</f>
        <v>0</v>
      </c>
      <c r="H38" s="632">
        <f>F38+G38</f>
        <v>0</v>
      </c>
      <c r="I38" s="733">
        <f>'Pricing Schedule'!F285</f>
        <v>30000</v>
      </c>
      <c r="J38" s="631">
        <f>D38*I38</f>
        <v>30000</v>
      </c>
      <c r="K38" s="631">
        <f>E38*I38</f>
        <v>30000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30000</v>
      </c>
      <c r="E39" s="631">
        <f>K38</f>
        <v>30000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Sums'!K255-'C3.7'!F41</f>
        <v>0</v>
      </c>
      <c r="H41" s="632">
        <f>F41+G41</f>
        <v>0</v>
      </c>
      <c r="I41" s="733">
        <f>'Pricing Schedule'!F288</f>
        <v>100000</v>
      </c>
      <c r="J41" s="631">
        <f>D41*I41</f>
        <v>100000</v>
      </c>
      <c r="K41" s="631">
        <f>E41*I41</f>
        <v>100000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100000</v>
      </c>
      <c r="E42" s="631">
        <f>K41</f>
        <v>100000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8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Sums'!K264-'C3.7'!F45</f>
        <v>0</v>
      </c>
      <c r="H45" s="632">
        <f t="shared" ref="H45:H53" si="3">F45+G45</f>
        <v>0</v>
      </c>
      <c r="I45" s="733">
        <f>'Pricing Schedule'!F292</f>
        <v>11000000</v>
      </c>
      <c r="J45" s="631">
        <f t="shared" ref="J45:J53" si="4">D45*I45</f>
        <v>11000000</v>
      </c>
      <c r="K45" s="631">
        <f t="shared" ref="K45:K53" si="5">E45*I45</f>
        <v>11000000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11000000</v>
      </c>
      <c r="E46" s="631">
        <f>K45</f>
        <v>11000000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Sums'!K272-'C3.7'!F47</f>
        <v>0</v>
      </c>
      <c r="H47" s="632">
        <f t="shared" si="3"/>
        <v>0</v>
      </c>
      <c r="I47" s="733">
        <f>'Pricing Schedule'!F294</f>
        <v>700000</v>
      </c>
      <c r="J47" s="631">
        <f t="shared" si="4"/>
        <v>700000</v>
      </c>
      <c r="K47" s="631">
        <f t="shared" si="5"/>
        <v>700000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700000</v>
      </c>
      <c r="E48" s="631">
        <f>K47</f>
        <v>700000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18</v>
      </c>
      <c r="E49" s="722">
        <f>D49</f>
        <v>18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Sums'!K280-'C3.7'!F50</f>
        <v>0</v>
      </c>
      <c r="H50" s="632">
        <f t="shared" si="3"/>
        <v>0</v>
      </c>
      <c r="I50" s="733">
        <f>'Pricing Schedule'!F297</f>
        <v>250000</v>
      </c>
      <c r="J50" s="631">
        <f t="shared" si="4"/>
        <v>250000</v>
      </c>
      <c r="K50" s="631">
        <f t="shared" si="5"/>
        <v>250000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250000</v>
      </c>
      <c r="E51" s="631">
        <f>K50</f>
        <v>250000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Sums'!K288-'C3.7'!F52</f>
        <v>0</v>
      </c>
      <c r="H52" s="632">
        <f t="shared" si="3"/>
        <v>0</v>
      </c>
      <c r="I52" s="733">
        <f>'Pricing Schedule'!F299</f>
        <v>1500000</v>
      </c>
      <c r="J52" s="631">
        <f t="shared" si="4"/>
        <v>1500000</v>
      </c>
      <c r="K52" s="631">
        <f t="shared" si="5"/>
        <v>1500000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1500000</v>
      </c>
      <c r="E53" s="631">
        <f>K52</f>
        <v>1500000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18</v>
      </c>
      <c r="E55" s="722">
        <f>D55</f>
        <v>18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36</v>
      </c>
      <c r="E56" s="722">
        <f t="shared" ref="E56:E57" si="17">D56</f>
        <v>36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Sums'!K297-'C3.7'!F57</f>
        <v>0</v>
      </c>
      <c r="H57" s="632">
        <f>F57+G57</f>
        <v>0</v>
      </c>
      <c r="I57" s="733">
        <f>'Pricing Schedule'!F304</f>
        <v>300000</v>
      </c>
      <c r="J57" s="631">
        <f>D57*I57</f>
        <v>300000</v>
      </c>
      <c r="K57" s="631">
        <f>E57*I57</f>
        <v>300000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Sums'!K306-'C3.7'!F59</f>
        <v>0</v>
      </c>
      <c r="H59" s="632">
        <f>F59+G59</f>
        <v>0</v>
      </c>
      <c r="I59" s="733">
        <f>'Pricing Schedule'!F306</f>
        <v>1500000</v>
      </c>
      <c r="J59" s="631">
        <f>D59*I59</f>
        <v>1500000</v>
      </c>
      <c r="K59" s="631">
        <f>E59*I59</f>
        <v>1500000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1500000</v>
      </c>
      <c r="E60" s="631">
        <f>K59</f>
        <v>1500000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Sums'!K314-'C3.7'!F61</f>
        <v>0</v>
      </c>
      <c r="H61" s="632">
        <f t="shared" ref="H61" si="20">F61+G61</f>
        <v>0</v>
      </c>
      <c r="I61" s="733">
        <f>'Pricing Schedule'!F308</f>
        <v>0</v>
      </c>
      <c r="J61" s="631">
        <f t="shared" ref="J61" si="21">D61*I61</f>
        <v>0</v>
      </c>
      <c r="K61" s="631">
        <f t="shared" ref="K61" si="22">E61*I61</f>
        <v>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10</v>
      </c>
      <c r="E63" s="722">
        <f>D63</f>
        <v>10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20</v>
      </c>
      <c r="E64" s="722">
        <f>D64</f>
        <v>20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20</v>
      </c>
      <c r="E65" s="722">
        <f>D65</f>
        <v>20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Sums'!K323-'C3.7'!F67</f>
        <v>0</v>
      </c>
      <c r="H67" s="632">
        <f t="shared" ref="H67" si="26">F67+G67</f>
        <v>0</v>
      </c>
      <c r="I67" s="733">
        <f>'Pricing Schedule'!F314</f>
        <v>250000</v>
      </c>
      <c r="J67" s="631">
        <f t="shared" ref="J67" si="27">D67*I67</f>
        <v>250000</v>
      </c>
      <c r="K67" s="631">
        <f t="shared" ref="K67" si="28">E67*I67</f>
        <v>250000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8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60" t="s">
        <v>506</v>
      </c>
      <c r="B69" s="1560"/>
      <c r="C69" s="1560"/>
      <c r="D69" s="716"/>
      <c r="E69" s="717"/>
      <c r="F69" s="717"/>
      <c r="G69" s="717"/>
      <c r="H69" s="718"/>
      <c r="I69" s="716"/>
      <c r="J69" s="720">
        <f>SUM(J9:J68)</f>
        <v>16130000</v>
      </c>
      <c r="K69" s="720">
        <f t="shared" ref="K69:N69" si="32">SUM(K9:K68)</f>
        <v>16130000</v>
      </c>
      <c r="L69" s="720">
        <f t="shared" si="32"/>
        <v>0</v>
      </c>
      <c r="M69" s="720">
        <f t="shared" si="32"/>
        <v>0</v>
      </c>
      <c r="N69" s="720">
        <f t="shared" si="32"/>
        <v>0</v>
      </c>
    </row>
    <row r="72" spans="1:14" ht="30.9" customHeight="1">
      <c r="A72" s="817" t="s">
        <v>651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" customHeight="1">
      <c r="A73" s="622" t="s">
        <v>653</v>
      </c>
      <c r="J73" s="735">
        <f>J10+J11+J13+J14+J16+J17+J19+J20+J22+J23+J25+J26+J28+J29+J38+J39+J41+J42+J45+J46+J47+J48+J50+J51+J52+J53+J57+J59+J60+J61+J67+J34+J35</f>
        <v>16130000</v>
      </c>
      <c r="K73" s="735">
        <f t="shared" ref="K73:N73" si="34">K10+K11+K13+K14+K16+K17+K19+K20+K22+K23+K25+K26+K28+K29+K38+K39+K41+K42+K45+K46+K47+K48+K50+K51+K52+K53+K57+K59+K60+K61+K67+K34+K35</f>
        <v>16130000</v>
      </c>
      <c r="L73" s="735">
        <f t="shared" si="34"/>
        <v>0</v>
      </c>
      <c r="M73" s="735">
        <f t="shared" si="34"/>
        <v>0</v>
      </c>
      <c r="N73" s="735">
        <f t="shared" si="34"/>
        <v>0</v>
      </c>
    </row>
    <row r="74" spans="1:14" ht="30.9" customHeight="1" thickBot="1">
      <c r="A74" s="622" t="s">
        <v>652</v>
      </c>
      <c r="J74" s="785">
        <f>SUM(J72:J73)</f>
        <v>16130000</v>
      </c>
      <c r="K74" s="785">
        <f t="shared" ref="K74:N74" si="35">SUM(K72:K73)</f>
        <v>16130000</v>
      </c>
      <c r="L74" s="785">
        <f t="shared" si="35"/>
        <v>0</v>
      </c>
      <c r="M74" s="785">
        <f t="shared" si="35"/>
        <v>0</v>
      </c>
      <c r="N74" s="785">
        <f t="shared" si="35"/>
        <v>0</v>
      </c>
    </row>
    <row r="75" spans="1:14" ht="13.8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352" priority="27">
      <formula>H10="ERROR TOO MUCH"</formula>
    </cfRule>
  </conditionalFormatting>
  <conditionalFormatting sqref="E13">
    <cfRule type="expression" dxfId="2351" priority="25">
      <formula>H13="ERROR TOO MUCH"</formula>
    </cfRule>
  </conditionalFormatting>
  <conditionalFormatting sqref="E16">
    <cfRule type="expression" dxfId="2350" priority="23">
      <formula>H16="ERROR TOO MUCH"</formula>
    </cfRule>
  </conditionalFormatting>
  <conditionalFormatting sqref="E19">
    <cfRule type="expression" dxfId="2349" priority="21">
      <formula>H19="ERROR TOO MUCH"</formula>
    </cfRule>
  </conditionalFormatting>
  <conditionalFormatting sqref="E22">
    <cfRule type="expression" dxfId="2348" priority="19">
      <formula>H22="ERROR TOO MUCH"</formula>
    </cfRule>
  </conditionalFormatting>
  <conditionalFormatting sqref="E25">
    <cfRule type="expression" dxfId="2347" priority="17">
      <formula>H25="ERROR TOO MUCH"</formula>
    </cfRule>
  </conditionalFormatting>
  <conditionalFormatting sqref="E28">
    <cfRule type="expression" dxfId="2346" priority="15">
      <formula>H28="ERROR TOO MUCH"</formula>
    </cfRule>
  </conditionalFormatting>
  <conditionalFormatting sqref="H10:H11">
    <cfRule type="containsText" dxfId="2345" priority="7" operator="containsText" text="ERROR">
      <formula>NOT(ISERROR(SEARCH("ERROR",H10)))</formula>
    </cfRule>
  </conditionalFormatting>
  <conditionalFormatting sqref="H13:H14">
    <cfRule type="containsText" dxfId="2344" priority="6" operator="containsText" text="ERROR">
      <formula>NOT(ISERROR(SEARCH("ERROR",H13)))</formula>
    </cfRule>
  </conditionalFormatting>
  <conditionalFormatting sqref="H16:H17">
    <cfRule type="containsText" dxfId="2343" priority="5" operator="containsText" text="ERROR">
      <formula>NOT(ISERROR(SEARCH("ERROR",H16)))</formula>
    </cfRule>
  </conditionalFormatting>
  <conditionalFormatting sqref="H19:H20">
    <cfRule type="containsText" dxfId="2342" priority="4" operator="containsText" text="ERROR">
      <formula>NOT(ISERROR(SEARCH("ERROR",H19)))</formula>
    </cfRule>
  </conditionalFormatting>
  <conditionalFormatting sqref="H22:H23">
    <cfRule type="containsText" dxfId="2341" priority="3" operator="containsText" text="ERROR">
      <formula>NOT(ISERROR(SEARCH("ERROR",H22)))</formula>
    </cfRule>
  </conditionalFormatting>
  <conditionalFormatting sqref="H25:H26">
    <cfRule type="containsText" dxfId="2340" priority="2" operator="containsText" text="ERROR">
      <formula>NOT(ISERROR(SEARCH("ERROR",H25)))</formula>
    </cfRule>
  </conditionalFormatting>
  <conditionalFormatting sqref="H28:H29">
    <cfRule type="containsText" dxfId="2339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1.44140625" style="622" customWidth="1"/>
    <col min="259" max="259" width="9.109375" style="622"/>
    <col min="260" max="260" width="10.109375" style="622" bestFit="1" customWidth="1"/>
    <col min="261" max="262" width="9.109375" style="622"/>
    <col min="263" max="263" width="10.109375" style="622" bestFit="1" customWidth="1"/>
    <col min="264" max="265" width="9.109375" style="622"/>
    <col min="266" max="267" width="11.6640625" style="622" bestFit="1" customWidth="1"/>
    <col min="268" max="270" width="10.109375" style="622" bestFit="1" customWidth="1"/>
    <col min="271" max="513" width="9.109375" style="622"/>
    <col min="514" max="514" width="31.44140625" style="622" customWidth="1"/>
    <col min="515" max="515" width="9.109375" style="622"/>
    <col min="516" max="516" width="10.109375" style="622" bestFit="1" customWidth="1"/>
    <col min="517" max="518" width="9.109375" style="622"/>
    <col min="519" max="519" width="10.109375" style="622" bestFit="1" customWidth="1"/>
    <col min="520" max="521" width="9.109375" style="622"/>
    <col min="522" max="523" width="11.6640625" style="622" bestFit="1" customWidth="1"/>
    <col min="524" max="526" width="10.109375" style="622" bestFit="1" customWidth="1"/>
    <col min="527" max="769" width="9.109375" style="622"/>
    <col min="770" max="770" width="31.44140625" style="622" customWidth="1"/>
    <col min="771" max="771" width="9.109375" style="622"/>
    <col min="772" max="772" width="10.109375" style="622" bestFit="1" customWidth="1"/>
    <col min="773" max="774" width="9.109375" style="622"/>
    <col min="775" max="775" width="10.109375" style="622" bestFit="1" customWidth="1"/>
    <col min="776" max="777" width="9.109375" style="622"/>
    <col min="778" max="779" width="11.6640625" style="622" bestFit="1" customWidth="1"/>
    <col min="780" max="782" width="10.109375" style="622" bestFit="1" customWidth="1"/>
    <col min="783" max="1025" width="9.109375" style="622"/>
    <col min="1026" max="1026" width="31.44140625" style="622" customWidth="1"/>
    <col min="1027" max="1027" width="9.109375" style="622"/>
    <col min="1028" max="1028" width="10.109375" style="622" bestFit="1" customWidth="1"/>
    <col min="1029" max="1030" width="9.109375" style="622"/>
    <col min="1031" max="1031" width="10.109375" style="622" bestFit="1" customWidth="1"/>
    <col min="1032" max="1033" width="9.109375" style="622"/>
    <col min="1034" max="1035" width="11.6640625" style="622" bestFit="1" customWidth="1"/>
    <col min="1036" max="1038" width="10.109375" style="622" bestFit="1" customWidth="1"/>
    <col min="1039" max="1281" width="9.109375" style="622"/>
    <col min="1282" max="1282" width="31.44140625" style="622" customWidth="1"/>
    <col min="1283" max="1283" width="9.109375" style="622"/>
    <col min="1284" max="1284" width="10.109375" style="622" bestFit="1" customWidth="1"/>
    <col min="1285" max="1286" width="9.109375" style="622"/>
    <col min="1287" max="1287" width="10.109375" style="622" bestFit="1" customWidth="1"/>
    <col min="1288" max="1289" width="9.109375" style="622"/>
    <col min="1290" max="1291" width="11.6640625" style="622" bestFit="1" customWidth="1"/>
    <col min="1292" max="1294" width="10.109375" style="622" bestFit="1" customWidth="1"/>
    <col min="1295" max="1537" width="9.109375" style="622"/>
    <col min="1538" max="1538" width="31.44140625" style="622" customWidth="1"/>
    <col min="1539" max="1539" width="9.109375" style="622"/>
    <col min="1540" max="1540" width="10.109375" style="622" bestFit="1" customWidth="1"/>
    <col min="1541" max="1542" width="9.109375" style="622"/>
    <col min="1543" max="1543" width="10.109375" style="622" bestFit="1" customWidth="1"/>
    <col min="1544" max="1545" width="9.109375" style="622"/>
    <col min="1546" max="1547" width="11.6640625" style="622" bestFit="1" customWidth="1"/>
    <col min="1548" max="1550" width="10.109375" style="622" bestFit="1" customWidth="1"/>
    <col min="1551" max="1793" width="9.109375" style="622"/>
    <col min="1794" max="1794" width="31.44140625" style="622" customWidth="1"/>
    <col min="1795" max="1795" width="9.109375" style="622"/>
    <col min="1796" max="1796" width="10.109375" style="622" bestFit="1" customWidth="1"/>
    <col min="1797" max="1798" width="9.109375" style="622"/>
    <col min="1799" max="1799" width="10.109375" style="622" bestFit="1" customWidth="1"/>
    <col min="1800" max="1801" width="9.109375" style="622"/>
    <col min="1802" max="1803" width="11.6640625" style="622" bestFit="1" customWidth="1"/>
    <col min="1804" max="1806" width="10.109375" style="622" bestFit="1" customWidth="1"/>
    <col min="1807" max="2049" width="9.109375" style="622"/>
    <col min="2050" max="2050" width="31.44140625" style="622" customWidth="1"/>
    <col min="2051" max="2051" width="9.109375" style="622"/>
    <col min="2052" max="2052" width="10.109375" style="622" bestFit="1" customWidth="1"/>
    <col min="2053" max="2054" width="9.109375" style="622"/>
    <col min="2055" max="2055" width="10.109375" style="622" bestFit="1" customWidth="1"/>
    <col min="2056" max="2057" width="9.109375" style="622"/>
    <col min="2058" max="2059" width="11.6640625" style="622" bestFit="1" customWidth="1"/>
    <col min="2060" max="2062" width="10.109375" style="622" bestFit="1" customWidth="1"/>
    <col min="2063" max="2305" width="9.109375" style="622"/>
    <col min="2306" max="2306" width="31.44140625" style="622" customWidth="1"/>
    <col min="2307" max="2307" width="9.109375" style="622"/>
    <col min="2308" max="2308" width="10.109375" style="622" bestFit="1" customWidth="1"/>
    <col min="2309" max="2310" width="9.109375" style="622"/>
    <col min="2311" max="2311" width="10.109375" style="622" bestFit="1" customWidth="1"/>
    <col min="2312" max="2313" width="9.109375" style="622"/>
    <col min="2314" max="2315" width="11.6640625" style="622" bestFit="1" customWidth="1"/>
    <col min="2316" max="2318" width="10.109375" style="622" bestFit="1" customWidth="1"/>
    <col min="2319" max="2561" width="9.109375" style="622"/>
    <col min="2562" max="2562" width="31.44140625" style="622" customWidth="1"/>
    <col min="2563" max="2563" width="9.109375" style="622"/>
    <col min="2564" max="2564" width="10.109375" style="622" bestFit="1" customWidth="1"/>
    <col min="2565" max="2566" width="9.109375" style="622"/>
    <col min="2567" max="2567" width="10.109375" style="622" bestFit="1" customWidth="1"/>
    <col min="2568" max="2569" width="9.109375" style="622"/>
    <col min="2570" max="2571" width="11.6640625" style="622" bestFit="1" customWidth="1"/>
    <col min="2572" max="2574" width="10.109375" style="622" bestFit="1" customWidth="1"/>
    <col min="2575" max="2817" width="9.109375" style="622"/>
    <col min="2818" max="2818" width="31.44140625" style="622" customWidth="1"/>
    <col min="2819" max="2819" width="9.109375" style="622"/>
    <col min="2820" max="2820" width="10.109375" style="622" bestFit="1" customWidth="1"/>
    <col min="2821" max="2822" width="9.109375" style="622"/>
    <col min="2823" max="2823" width="10.109375" style="622" bestFit="1" customWidth="1"/>
    <col min="2824" max="2825" width="9.109375" style="622"/>
    <col min="2826" max="2827" width="11.6640625" style="622" bestFit="1" customWidth="1"/>
    <col min="2828" max="2830" width="10.109375" style="622" bestFit="1" customWidth="1"/>
    <col min="2831" max="3073" width="9.109375" style="622"/>
    <col min="3074" max="3074" width="31.44140625" style="622" customWidth="1"/>
    <col min="3075" max="3075" width="9.109375" style="622"/>
    <col min="3076" max="3076" width="10.109375" style="622" bestFit="1" customWidth="1"/>
    <col min="3077" max="3078" width="9.109375" style="622"/>
    <col min="3079" max="3079" width="10.109375" style="622" bestFit="1" customWidth="1"/>
    <col min="3080" max="3081" width="9.109375" style="622"/>
    <col min="3082" max="3083" width="11.6640625" style="622" bestFit="1" customWidth="1"/>
    <col min="3084" max="3086" width="10.109375" style="622" bestFit="1" customWidth="1"/>
    <col min="3087" max="3329" width="9.109375" style="622"/>
    <col min="3330" max="3330" width="31.44140625" style="622" customWidth="1"/>
    <col min="3331" max="3331" width="9.109375" style="622"/>
    <col min="3332" max="3332" width="10.109375" style="622" bestFit="1" customWidth="1"/>
    <col min="3333" max="3334" width="9.109375" style="622"/>
    <col min="3335" max="3335" width="10.109375" style="622" bestFit="1" customWidth="1"/>
    <col min="3336" max="3337" width="9.109375" style="622"/>
    <col min="3338" max="3339" width="11.6640625" style="622" bestFit="1" customWidth="1"/>
    <col min="3340" max="3342" width="10.109375" style="622" bestFit="1" customWidth="1"/>
    <col min="3343" max="3585" width="9.109375" style="622"/>
    <col min="3586" max="3586" width="31.44140625" style="622" customWidth="1"/>
    <col min="3587" max="3587" width="9.109375" style="622"/>
    <col min="3588" max="3588" width="10.109375" style="622" bestFit="1" customWidth="1"/>
    <col min="3589" max="3590" width="9.109375" style="622"/>
    <col min="3591" max="3591" width="10.109375" style="622" bestFit="1" customWidth="1"/>
    <col min="3592" max="3593" width="9.109375" style="622"/>
    <col min="3594" max="3595" width="11.6640625" style="622" bestFit="1" customWidth="1"/>
    <col min="3596" max="3598" width="10.109375" style="622" bestFit="1" customWidth="1"/>
    <col min="3599" max="3841" width="9.109375" style="622"/>
    <col min="3842" max="3842" width="31.44140625" style="622" customWidth="1"/>
    <col min="3843" max="3843" width="9.109375" style="622"/>
    <col min="3844" max="3844" width="10.109375" style="622" bestFit="1" customWidth="1"/>
    <col min="3845" max="3846" width="9.109375" style="622"/>
    <col min="3847" max="3847" width="10.109375" style="622" bestFit="1" customWidth="1"/>
    <col min="3848" max="3849" width="9.109375" style="622"/>
    <col min="3850" max="3851" width="11.6640625" style="622" bestFit="1" customWidth="1"/>
    <col min="3852" max="3854" width="10.109375" style="622" bestFit="1" customWidth="1"/>
    <col min="3855" max="4097" width="9.109375" style="622"/>
    <col min="4098" max="4098" width="31.44140625" style="622" customWidth="1"/>
    <col min="4099" max="4099" width="9.109375" style="622"/>
    <col min="4100" max="4100" width="10.109375" style="622" bestFit="1" customWidth="1"/>
    <col min="4101" max="4102" width="9.109375" style="622"/>
    <col min="4103" max="4103" width="10.109375" style="622" bestFit="1" customWidth="1"/>
    <col min="4104" max="4105" width="9.109375" style="622"/>
    <col min="4106" max="4107" width="11.6640625" style="622" bestFit="1" customWidth="1"/>
    <col min="4108" max="4110" width="10.109375" style="622" bestFit="1" customWidth="1"/>
    <col min="4111" max="4353" width="9.109375" style="622"/>
    <col min="4354" max="4354" width="31.44140625" style="622" customWidth="1"/>
    <col min="4355" max="4355" width="9.109375" style="622"/>
    <col min="4356" max="4356" width="10.109375" style="622" bestFit="1" customWidth="1"/>
    <col min="4357" max="4358" width="9.109375" style="622"/>
    <col min="4359" max="4359" width="10.109375" style="622" bestFit="1" customWidth="1"/>
    <col min="4360" max="4361" width="9.109375" style="622"/>
    <col min="4362" max="4363" width="11.6640625" style="622" bestFit="1" customWidth="1"/>
    <col min="4364" max="4366" width="10.109375" style="622" bestFit="1" customWidth="1"/>
    <col min="4367" max="4609" width="9.109375" style="622"/>
    <col min="4610" max="4610" width="31.44140625" style="622" customWidth="1"/>
    <col min="4611" max="4611" width="9.109375" style="622"/>
    <col min="4612" max="4612" width="10.109375" style="622" bestFit="1" customWidth="1"/>
    <col min="4613" max="4614" width="9.109375" style="622"/>
    <col min="4615" max="4615" width="10.109375" style="622" bestFit="1" customWidth="1"/>
    <col min="4616" max="4617" width="9.109375" style="622"/>
    <col min="4618" max="4619" width="11.6640625" style="622" bestFit="1" customWidth="1"/>
    <col min="4620" max="4622" width="10.109375" style="622" bestFit="1" customWidth="1"/>
    <col min="4623" max="4865" width="9.109375" style="622"/>
    <col min="4866" max="4866" width="31.44140625" style="622" customWidth="1"/>
    <col min="4867" max="4867" width="9.109375" style="622"/>
    <col min="4868" max="4868" width="10.109375" style="622" bestFit="1" customWidth="1"/>
    <col min="4869" max="4870" width="9.109375" style="622"/>
    <col min="4871" max="4871" width="10.109375" style="622" bestFit="1" customWidth="1"/>
    <col min="4872" max="4873" width="9.109375" style="622"/>
    <col min="4874" max="4875" width="11.6640625" style="622" bestFit="1" customWidth="1"/>
    <col min="4876" max="4878" width="10.109375" style="622" bestFit="1" customWidth="1"/>
    <col min="4879" max="5121" width="9.109375" style="622"/>
    <col min="5122" max="5122" width="31.44140625" style="622" customWidth="1"/>
    <col min="5123" max="5123" width="9.109375" style="622"/>
    <col min="5124" max="5124" width="10.109375" style="622" bestFit="1" customWidth="1"/>
    <col min="5125" max="5126" width="9.109375" style="622"/>
    <col min="5127" max="5127" width="10.109375" style="622" bestFit="1" customWidth="1"/>
    <col min="5128" max="5129" width="9.109375" style="622"/>
    <col min="5130" max="5131" width="11.6640625" style="622" bestFit="1" customWidth="1"/>
    <col min="5132" max="5134" width="10.109375" style="622" bestFit="1" customWidth="1"/>
    <col min="5135" max="5377" width="9.109375" style="622"/>
    <col min="5378" max="5378" width="31.44140625" style="622" customWidth="1"/>
    <col min="5379" max="5379" width="9.109375" style="622"/>
    <col min="5380" max="5380" width="10.109375" style="622" bestFit="1" customWidth="1"/>
    <col min="5381" max="5382" width="9.109375" style="622"/>
    <col min="5383" max="5383" width="10.109375" style="622" bestFit="1" customWidth="1"/>
    <col min="5384" max="5385" width="9.109375" style="622"/>
    <col min="5386" max="5387" width="11.6640625" style="622" bestFit="1" customWidth="1"/>
    <col min="5388" max="5390" width="10.109375" style="622" bestFit="1" customWidth="1"/>
    <col min="5391" max="5633" width="9.109375" style="622"/>
    <col min="5634" max="5634" width="31.44140625" style="622" customWidth="1"/>
    <col min="5635" max="5635" width="9.109375" style="622"/>
    <col min="5636" max="5636" width="10.109375" style="622" bestFit="1" customWidth="1"/>
    <col min="5637" max="5638" width="9.109375" style="622"/>
    <col min="5639" max="5639" width="10.109375" style="622" bestFit="1" customWidth="1"/>
    <col min="5640" max="5641" width="9.109375" style="622"/>
    <col min="5642" max="5643" width="11.6640625" style="622" bestFit="1" customWidth="1"/>
    <col min="5644" max="5646" width="10.109375" style="622" bestFit="1" customWidth="1"/>
    <col min="5647" max="5889" width="9.109375" style="622"/>
    <col min="5890" max="5890" width="31.44140625" style="622" customWidth="1"/>
    <col min="5891" max="5891" width="9.109375" style="622"/>
    <col min="5892" max="5892" width="10.109375" style="622" bestFit="1" customWidth="1"/>
    <col min="5893" max="5894" width="9.109375" style="622"/>
    <col min="5895" max="5895" width="10.109375" style="622" bestFit="1" customWidth="1"/>
    <col min="5896" max="5897" width="9.109375" style="622"/>
    <col min="5898" max="5899" width="11.6640625" style="622" bestFit="1" customWidth="1"/>
    <col min="5900" max="5902" width="10.109375" style="622" bestFit="1" customWidth="1"/>
    <col min="5903" max="6145" width="9.109375" style="622"/>
    <col min="6146" max="6146" width="31.44140625" style="622" customWidth="1"/>
    <col min="6147" max="6147" width="9.109375" style="622"/>
    <col min="6148" max="6148" width="10.109375" style="622" bestFit="1" customWidth="1"/>
    <col min="6149" max="6150" width="9.109375" style="622"/>
    <col min="6151" max="6151" width="10.109375" style="622" bestFit="1" customWidth="1"/>
    <col min="6152" max="6153" width="9.109375" style="622"/>
    <col min="6154" max="6155" width="11.6640625" style="622" bestFit="1" customWidth="1"/>
    <col min="6156" max="6158" width="10.109375" style="622" bestFit="1" customWidth="1"/>
    <col min="6159" max="6401" width="9.109375" style="622"/>
    <col min="6402" max="6402" width="31.44140625" style="622" customWidth="1"/>
    <col min="6403" max="6403" width="9.109375" style="622"/>
    <col min="6404" max="6404" width="10.109375" style="622" bestFit="1" customWidth="1"/>
    <col min="6405" max="6406" width="9.109375" style="622"/>
    <col min="6407" max="6407" width="10.109375" style="622" bestFit="1" customWidth="1"/>
    <col min="6408" max="6409" width="9.109375" style="622"/>
    <col min="6410" max="6411" width="11.6640625" style="622" bestFit="1" customWidth="1"/>
    <col min="6412" max="6414" width="10.109375" style="622" bestFit="1" customWidth="1"/>
    <col min="6415" max="6657" width="9.109375" style="622"/>
    <col min="6658" max="6658" width="31.44140625" style="622" customWidth="1"/>
    <col min="6659" max="6659" width="9.109375" style="622"/>
    <col min="6660" max="6660" width="10.109375" style="622" bestFit="1" customWidth="1"/>
    <col min="6661" max="6662" width="9.109375" style="622"/>
    <col min="6663" max="6663" width="10.109375" style="622" bestFit="1" customWidth="1"/>
    <col min="6664" max="6665" width="9.109375" style="622"/>
    <col min="6666" max="6667" width="11.6640625" style="622" bestFit="1" customWidth="1"/>
    <col min="6668" max="6670" width="10.109375" style="622" bestFit="1" customWidth="1"/>
    <col min="6671" max="6913" width="9.109375" style="622"/>
    <col min="6914" max="6914" width="31.44140625" style="622" customWidth="1"/>
    <col min="6915" max="6915" width="9.109375" style="622"/>
    <col min="6916" max="6916" width="10.109375" style="622" bestFit="1" customWidth="1"/>
    <col min="6917" max="6918" width="9.109375" style="622"/>
    <col min="6919" max="6919" width="10.109375" style="622" bestFit="1" customWidth="1"/>
    <col min="6920" max="6921" width="9.109375" style="622"/>
    <col min="6922" max="6923" width="11.6640625" style="622" bestFit="1" customWidth="1"/>
    <col min="6924" max="6926" width="10.109375" style="622" bestFit="1" customWidth="1"/>
    <col min="6927" max="7169" width="9.109375" style="622"/>
    <col min="7170" max="7170" width="31.44140625" style="622" customWidth="1"/>
    <col min="7171" max="7171" width="9.109375" style="622"/>
    <col min="7172" max="7172" width="10.109375" style="622" bestFit="1" customWidth="1"/>
    <col min="7173" max="7174" width="9.109375" style="622"/>
    <col min="7175" max="7175" width="10.109375" style="622" bestFit="1" customWidth="1"/>
    <col min="7176" max="7177" width="9.109375" style="622"/>
    <col min="7178" max="7179" width="11.6640625" style="622" bestFit="1" customWidth="1"/>
    <col min="7180" max="7182" width="10.109375" style="622" bestFit="1" customWidth="1"/>
    <col min="7183" max="7425" width="9.109375" style="622"/>
    <col min="7426" max="7426" width="31.44140625" style="622" customWidth="1"/>
    <col min="7427" max="7427" width="9.109375" style="622"/>
    <col min="7428" max="7428" width="10.109375" style="622" bestFit="1" customWidth="1"/>
    <col min="7429" max="7430" width="9.109375" style="622"/>
    <col min="7431" max="7431" width="10.109375" style="622" bestFit="1" customWidth="1"/>
    <col min="7432" max="7433" width="9.109375" style="622"/>
    <col min="7434" max="7435" width="11.6640625" style="622" bestFit="1" customWidth="1"/>
    <col min="7436" max="7438" width="10.109375" style="622" bestFit="1" customWidth="1"/>
    <col min="7439" max="7681" width="9.109375" style="622"/>
    <col min="7682" max="7682" width="31.44140625" style="622" customWidth="1"/>
    <col min="7683" max="7683" width="9.109375" style="622"/>
    <col min="7684" max="7684" width="10.109375" style="622" bestFit="1" customWidth="1"/>
    <col min="7685" max="7686" width="9.109375" style="622"/>
    <col min="7687" max="7687" width="10.109375" style="622" bestFit="1" customWidth="1"/>
    <col min="7688" max="7689" width="9.109375" style="622"/>
    <col min="7690" max="7691" width="11.6640625" style="622" bestFit="1" customWidth="1"/>
    <col min="7692" max="7694" width="10.109375" style="622" bestFit="1" customWidth="1"/>
    <col min="7695" max="7937" width="9.109375" style="622"/>
    <col min="7938" max="7938" width="31.44140625" style="622" customWidth="1"/>
    <col min="7939" max="7939" width="9.109375" style="622"/>
    <col min="7940" max="7940" width="10.109375" style="622" bestFit="1" customWidth="1"/>
    <col min="7941" max="7942" width="9.109375" style="622"/>
    <col min="7943" max="7943" width="10.109375" style="622" bestFit="1" customWidth="1"/>
    <col min="7944" max="7945" width="9.109375" style="622"/>
    <col min="7946" max="7947" width="11.6640625" style="622" bestFit="1" customWidth="1"/>
    <col min="7948" max="7950" width="10.109375" style="622" bestFit="1" customWidth="1"/>
    <col min="7951" max="8193" width="9.109375" style="622"/>
    <col min="8194" max="8194" width="31.44140625" style="622" customWidth="1"/>
    <col min="8195" max="8195" width="9.109375" style="622"/>
    <col min="8196" max="8196" width="10.109375" style="622" bestFit="1" customWidth="1"/>
    <col min="8197" max="8198" width="9.109375" style="622"/>
    <col min="8199" max="8199" width="10.109375" style="622" bestFit="1" customWidth="1"/>
    <col min="8200" max="8201" width="9.109375" style="622"/>
    <col min="8202" max="8203" width="11.6640625" style="622" bestFit="1" customWidth="1"/>
    <col min="8204" max="8206" width="10.109375" style="622" bestFit="1" customWidth="1"/>
    <col min="8207" max="8449" width="9.109375" style="622"/>
    <col min="8450" max="8450" width="31.44140625" style="622" customWidth="1"/>
    <col min="8451" max="8451" width="9.109375" style="622"/>
    <col min="8452" max="8452" width="10.109375" style="622" bestFit="1" customWidth="1"/>
    <col min="8453" max="8454" width="9.109375" style="622"/>
    <col min="8455" max="8455" width="10.109375" style="622" bestFit="1" customWidth="1"/>
    <col min="8456" max="8457" width="9.109375" style="622"/>
    <col min="8458" max="8459" width="11.6640625" style="622" bestFit="1" customWidth="1"/>
    <col min="8460" max="8462" width="10.109375" style="622" bestFit="1" customWidth="1"/>
    <col min="8463" max="8705" width="9.109375" style="622"/>
    <col min="8706" max="8706" width="31.44140625" style="622" customWidth="1"/>
    <col min="8707" max="8707" width="9.109375" style="622"/>
    <col min="8708" max="8708" width="10.109375" style="622" bestFit="1" customWidth="1"/>
    <col min="8709" max="8710" width="9.109375" style="622"/>
    <col min="8711" max="8711" width="10.109375" style="622" bestFit="1" customWidth="1"/>
    <col min="8712" max="8713" width="9.109375" style="622"/>
    <col min="8714" max="8715" width="11.6640625" style="622" bestFit="1" customWidth="1"/>
    <col min="8716" max="8718" width="10.109375" style="622" bestFit="1" customWidth="1"/>
    <col min="8719" max="8961" width="9.109375" style="622"/>
    <col min="8962" max="8962" width="31.44140625" style="622" customWidth="1"/>
    <col min="8963" max="8963" width="9.109375" style="622"/>
    <col min="8964" max="8964" width="10.109375" style="622" bestFit="1" customWidth="1"/>
    <col min="8965" max="8966" width="9.109375" style="622"/>
    <col min="8967" max="8967" width="10.109375" style="622" bestFit="1" customWidth="1"/>
    <col min="8968" max="8969" width="9.109375" style="622"/>
    <col min="8970" max="8971" width="11.6640625" style="622" bestFit="1" customWidth="1"/>
    <col min="8972" max="8974" width="10.109375" style="622" bestFit="1" customWidth="1"/>
    <col min="8975" max="9217" width="9.109375" style="622"/>
    <col min="9218" max="9218" width="31.44140625" style="622" customWidth="1"/>
    <col min="9219" max="9219" width="9.109375" style="622"/>
    <col min="9220" max="9220" width="10.109375" style="622" bestFit="1" customWidth="1"/>
    <col min="9221" max="9222" width="9.109375" style="622"/>
    <col min="9223" max="9223" width="10.109375" style="622" bestFit="1" customWidth="1"/>
    <col min="9224" max="9225" width="9.109375" style="622"/>
    <col min="9226" max="9227" width="11.6640625" style="622" bestFit="1" customWidth="1"/>
    <col min="9228" max="9230" width="10.109375" style="622" bestFit="1" customWidth="1"/>
    <col min="9231" max="9473" width="9.109375" style="622"/>
    <col min="9474" max="9474" width="31.44140625" style="622" customWidth="1"/>
    <col min="9475" max="9475" width="9.109375" style="622"/>
    <col min="9476" max="9476" width="10.109375" style="622" bestFit="1" customWidth="1"/>
    <col min="9477" max="9478" width="9.109375" style="622"/>
    <col min="9479" max="9479" width="10.109375" style="622" bestFit="1" customWidth="1"/>
    <col min="9480" max="9481" width="9.109375" style="622"/>
    <col min="9482" max="9483" width="11.6640625" style="622" bestFit="1" customWidth="1"/>
    <col min="9484" max="9486" width="10.109375" style="622" bestFit="1" customWidth="1"/>
    <col min="9487" max="9729" width="9.109375" style="622"/>
    <col min="9730" max="9730" width="31.44140625" style="622" customWidth="1"/>
    <col min="9731" max="9731" width="9.109375" style="622"/>
    <col min="9732" max="9732" width="10.109375" style="622" bestFit="1" customWidth="1"/>
    <col min="9733" max="9734" width="9.109375" style="622"/>
    <col min="9735" max="9735" width="10.109375" style="622" bestFit="1" customWidth="1"/>
    <col min="9736" max="9737" width="9.109375" style="622"/>
    <col min="9738" max="9739" width="11.6640625" style="622" bestFit="1" customWidth="1"/>
    <col min="9740" max="9742" width="10.109375" style="622" bestFit="1" customWidth="1"/>
    <col min="9743" max="9985" width="9.109375" style="622"/>
    <col min="9986" max="9986" width="31.44140625" style="622" customWidth="1"/>
    <col min="9987" max="9987" width="9.109375" style="622"/>
    <col min="9988" max="9988" width="10.109375" style="622" bestFit="1" customWidth="1"/>
    <col min="9989" max="9990" width="9.109375" style="622"/>
    <col min="9991" max="9991" width="10.109375" style="622" bestFit="1" customWidth="1"/>
    <col min="9992" max="9993" width="9.109375" style="622"/>
    <col min="9994" max="9995" width="11.6640625" style="622" bestFit="1" customWidth="1"/>
    <col min="9996" max="9998" width="10.109375" style="622" bestFit="1" customWidth="1"/>
    <col min="9999" max="10241" width="9.109375" style="622"/>
    <col min="10242" max="10242" width="31.44140625" style="622" customWidth="1"/>
    <col min="10243" max="10243" width="9.109375" style="622"/>
    <col min="10244" max="10244" width="10.109375" style="622" bestFit="1" customWidth="1"/>
    <col min="10245" max="10246" width="9.109375" style="622"/>
    <col min="10247" max="10247" width="10.109375" style="622" bestFit="1" customWidth="1"/>
    <col min="10248" max="10249" width="9.109375" style="622"/>
    <col min="10250" max="10251" width="11.6640625" style="622" bestFit="1" customWidth="1"/>
    <col min="10252" max="10254" width="10.109375" style="622" bestFit="1" customWidth="1"/>
    <col min="10255" max="10497" width="9.109375" style="622"/>
    <col min="10498" max="10498" width="31.44140625" style="622" customWidth="1"/>
    <col min="10499" max="10499" width="9.109375" style="622"/>
    <col min="10500" max="10500" width="10.109375" style="622" bestFit="1" customWidth="1"/>
    <col min="10501" max="10502" width="9.109375" style="622"/>
    <col min="10503" max="10503" width="10.109375" style="622" bestFit="1" customWidth="1"/>
    <col min="10504" max="10505" width="9.109375" style="622"/>
    <col min="10506" max="10507" width="11.6640625" style="622" bestFit="1" customWidth="1"/>
    <col min="10508" max="10510" width="10.109375" style="622" bestFit="1" customWidth="1"/>
    <col min="10511" max="10753" width="9.109375" style="622"/>
    <col min="10754" max="10754" width="31.44140625" style="622" customWidth="1"/>
    <col min="10755" max="10755" width="9.109375" style="622"/>
    <col min="10756" max="10756" width="10.109375" style="622" bestFit="1" customWidth="1"/>
    <col min="10757" max="10758" width="9.109375" style="622"/>
    <col min="10759" max="10759" width="10.109375" style="622" bestFit="1" customWidth="1"/>
    <col min="10760" max="10761" width="9.109375" style="622"/>
    <col min="10762" max="10763" width="11.6640625" style="622" bestFit="1" customWidth="1"/>
    <col min="10764" max="10766" width="10.109375" style="622" bestFit="1" customWidth="1"/>
    <col min="10767" max="11009" width="9.109375" style="622"/>
    <col min="11010" max="11010" width="31.44140625" style="622" customWidth="1"/>
    <col min="11011" max="11011" width="9.109375" style="622"/>
    <col min="11012" max="11012" width="10.109375" style="622" bestFit="1" customWidth="1"/>
    <col min="11013" max="11014" width="9.109375" style="622"/>
    <col min="11015" max="11015" width="10.109375" style="622" bestFit="1" customWidth="1"/>
    <col min="11016" max="11017" width="9.109375" style="622"/>
    <col min="11018" max="11019" width="11.6640625" style="622" bestFit="1" customWidth="1"/>
    <col min="11020" max="11022" width="10.109375" style="622" bestFit="1" customWidth="1"/>
    <col min="11023" max="11265" width="9.109375" style="622"/>
    <col min="11266" max="11266" width="31.44140625" style="622" customWidth="1"/>
    <col min="11267" max="11267" width="9.109375" style="622"/>
    <col min="11268" max="11268" width="10.109375" style="622" bestFit="1" customWidth="1"/>
    <col min="11269" max="11270" width="9.109375" style="622"/>
    <col min="11271" max="11271" width="10.109375" style="622" bestFit="1" customWidth="1"/>
    <col min="11272" max="11273" width="9.109375" style="622"/>
    <col min="11274" max="11275" width="11.6640625" style="622" bestFit="1" customWidth="1"/>
    <col min="11276" max="11278" width="10.109375" style="622" bestFit="1" customWidth="1"/>
    <col min="11279" max="11521" width="9.109375" style="622"/>
    <col min="11522" max="11522" width="31.44140625" style="622" customWidth="1"/>
    <col min="11523" max="11523" width="9.109375" style="622"/>
    <col min="11524" max="11524" width="10.109375" style="622" bestFit="1" customWidth="1"/>
    <col min="11525" max="11526" width="9.109375" style="622"/>
    <col min="11527" max="11527" width="10.109375" style="622" bestFit="1" customWidth="1"/>
    <col min="11528" max="11529" width="9.109375" style="622"/>
    <col min="11530" max="11531" width="11.6640625" style="622" bestFit="1" customWidth="1"/>
    <col min="11532" max="11534" width="10.109375" style="622" bestFit="1" customWidth="1"/>
    <col min="11535" max="11777" width="9.109375" style="622"/>
    <col min="11778" max="11778" width="31.44140625" style="622" customWidth="1"/>
    <col min="11779" max="11779" width="9.109375" style="622"/>
    <col min="11780" max="11780" width="10.109375" style="622" bestFit="1" customWidth="1"/>
    <col min="11781" max="11782" width="9.109375" style="622"/>
    <col min="11783" max="11783" width="10.109375" style="622" bestFit="1" customWidth="1"/>
    <col min="11784" max="11785" width="9.109375" style="622"/>
    <col min="11786" max="11787" width="11.6640625" style="622" bestFit="1" customWidth="1"/>
    <col min="11788" max="11790" width="10.109375" style="622" bestFit="1" customWidth="1"/>
    <col min="11791" max="12033" width="9.109375" style="622"/>
    <col min="12034" max="12034" width="31.44140625" style="622" customWidth="1"/>
    <col min="12035" max="12035" width="9.109375" style="622"/>
    <col min="12036" max="12036" width="10.109375" style="622" bestFit="1" customWidth="1"/>
    <col min="12037" max="12038" width="9.109375" style="622"/>
    <col min="12039" max="12039" width="10.109375" style="622" bestFit="1" customWidth="1"/>
    <col min="12040" max="12041" width="9.109375" style="622"/>
    <col min="12042" max="12043" width="11.6640625" style="622" bestFit="1" customWidth="1"/>
    <col min="12044" max="12046" width="10.109375" style="622" bestFit="1" customWidth="1"/>
    <col min="12047" max="12289" width="9.109375" style="622"/>
    <col min="12290" max="12290" width="31.44140625" style="622" customWidth="1"/>
    <col min="12291" max="12291" width="9.109375" style="622"/>
    <col min="12292" max="12292" width="10.109375" style="622" bestFit="1" customWidth="1"/>
    <col min="12293" max="12294" width="9.109375" style="622"/>
    <col min="12295" max="12295" width="10.109375" style="622" bestFit="1" customWidth="1"/>
    <col min="12296" max="12297" width="9.109375" style="622"/>
    <col min="12298" max="12299" width="11.6640625" style="622" bestFit="1" customWidth="1"/>
    <col min="12300" max="12302" width="10.109375" style="622" bestFit="1" customWidth="1"/>
    <col min="12303" max="12545" width="9.109375" style="622"/>
    <col min="12546" max="12546" width="31.44140625" style="622" customWidth="1"/>
    <col min="12547" max="12547" width="9.109375" style="622"/>
    <col min="12548" max="12548" width="10.109375" style="622" bestFit="1" customWidth="1"/>
    <col min="12549" max="12550" width="9.109375" style="622"/>
    <col min="12551" max="12551" width="10.109375" style="622" bestFit="1" customWidth="1"/>
    <col min="12552" max="12553" width="9.109375" style="622"/>
    <col min="12554" max="12555" width="11.6640625" style="622" bestFit="1" customWidth="1"/>
    <col min="12556" max="12558" width="10.109375" style="622" bestFit="1" customWidth="1"/>
    <col min="12559" max="12801" width="9.109375" style="622"/>
    <col min="12802" max="12802" width="31.44140625" style="622" customWidth="1"/>
    <col min="12803" max="12803" width="9.109375" style="622"/>
    <col min="12804" max="12804" width="10.109375" style="622" bestFit="1" customWidth="1"/>
    <col min="12805" max="12806" width="9.109375" style="622"/>
    <col min="12807" max="12807" width="10.109375" style="622" bestFit="1" customWidth="1"/>
    <col min="12808" max="12809" width="9.109375" style="622"/>
    <col min="12810" max="12811" width="11.6640625" style="622" bestFit="1" customWidth="1"/>
    <col min="12812" max="12814" width="10.109375" style="622" bestFit="1" customWidth="1"/>
    <col min="12815" max="13057" width="9.109375" style="622"/>
    <col min="13058" max="13058" width="31.44140625" style="622" customWidth="1"/>
    <col min="13059" max="13059" width="9.109375" style="622"/>
    <col min="13060" max="13060" width="10.109375" style="622" bestFit="1" customWidth="1"/>
    <col min="13061" max="13062" width="9.109375" style="622"/>
    <col min="13063" max="13063" width="10.109375" style="622" bestFit="1" customWidth="1"/>
    <col min="13064" max="13065" width="9.109375" style="622"/>
    <col min="13066" max="13067" width="11.6640625" style="622" bestFit="1" customWidth="1"/>
    <col min="13068" max="13070" width="10.109375" style="622" bestFit="1" customWidth="1"/>
    <col min="13071" max="13313" width="9.109375" style="622"/>
    <col min="13314" max="13314" width="31.44140625" style="622" customWidth="1"/>
    <col min="13315" max="13315" width="9.109375" style="622"/>
    <col min="13316" max="13316" width="10.109375" style="622" bestFit="1" customWidth="1"/>
    <col min="13317" max="13318" width="9.109375" style="622"/>
    <col min="13319" max="13319" width="10.109375" style="622" bestFit="1" customWidth="1"/>
    <col min="13320" max="13321" width="9.109375" style="622"/>
    <col min="13322" max="13323" width="11.6640625" style="622" bestFit="1" customWidth="1"/>
    <col min="13324" max="13326" width="10.109375" style="622" bestFit="1" customWidth="1"/>
    <col min="13327" max="13569" width="9.109375" style="622"/>
    <col min="13570" max="13570" width="31.44140625" style="622" customWidth="1"/>
    <col min="13571" max="13571" width="9.109375" style="622"/>
    <col min="13572" max="13572" width="10.109375" style="622" bestFit="1" customWidth="1"/>
    <col min="13573" max="13574" width="9.109375" style="622"/>
    <col min="13575" max="13575" width="10.109375" style="622" bestFit="1" customWidth="1"/>
    <col min="13576" max="13577" width="9.109375" style="622"/>
    <col min="13578" max="13579" width="11.6640625" style="622" bestFit="1" customWidth="1"/>
    <col min="13580" max="13582" width="10.109375" style="622" bestFit="1" customWidth="1"/>
    <col min="13583" max="13825" width="9.109375" style="622"/>
    <col min="13826" max="13826" width="31.44140625" style="622" customWidth="1"/>
    <col min="13827" max="13827" width="9.109375" style="622"/>
    <col min="13828" max="13828" width="10.109375" style="622" bestFit="1" customWidth="1"/>
    <col min="13829" max="13830" width="9.109375" style="622"/>
    <col min="13831" max="13831" width="10.109375" style="622" bestFit="1" customWidth="1"/>
    <col min="13832" max="13833" width="9.109375" style="622"/>
    <col min="13834" max="13835" width="11.6640625" style="622" bestFit="1" customWidth="1"/>
    <col min="13836" max="13838" width="10.109375" style="622" bestFit="1" customWidth="1"/>
    <col min="13839" max="14081" width="9.109375" style="622"/>
    <col min="14082" max="14082" width="31.44140625" style="622" customWidth="1"/>
    <col min="14083" max="14083" width="9.109375" style="622"/>
    <col min="14084" max="14084" width="10.109375" style="622" bestFit="1" customWidth="1"/>
    <col min="14085" max="14086" width="9.109375" style="622"/>
    <col min="14087" max="14087" width="10.109375" style="622" bestFit="1" customWidth="1"/>
    <col min="14088" max="14089" width="9.109375" style="622"/>
    <col min="14090" max="14091" width="11.6640625" style="622" bestFit="1" customWidth="1"/>
    <col min="14092" max="14094" width="10.109375" style="622" bestFit="1" customWidth="1"/>
    <col min="14095" max="14337" width="9.109375" style="622"/>
    <col min="14338" max="14338" width="31.44140625" style="622" customWidth="1"/>
    <col min="14339" max="14339" width="9.109375" style="622"/>
    <col min="14340" max="14340" width="10.109375" style="622" bestFit="1" customWidth="1"/>
    <col min="14341" max="14342" width="9.109375" style="622"/>
    <col min="14343" max="14343" width="10.109375" style="622" bestFit="1" customWidth="1"/>
    <col min="14344" max="14345" width="9.109375" style="622"/>
    <col min="14346" max="14347" width="11.6640625" style="622" bestFit="1" customWidth="1"/>
    <col min="14348" max="14350" width="10.109375" style="622" bestFit="1" customWidth="1"/>
    <col min="14351" max="14593" width="9.109375" style="622"/>
    <col min="14594" max="14594" width="31.44140625" style="622" customWidth="1"/>
    <col min="14595" max="14595" width="9.109375" style="622"/>
    <col min="14596" max="14596" width="10.109375" style="622" bestFit="1" customWidth="1"/>
    <col min="14597" max="14598" width="9.109375" style="622"/>
    <col min="14599" max="14599" width="10.109375" style="622" bestFit="1" customWidth="1"/>
    <col min="14600" max="14601" width="9.109375" style="622"/>
    <col min="14602" max="14603" width="11.6640625" style="622" bestFit="1" customWidth="1"/>
    <col min="14604" max="14606" width="10.109375" style="622" bestFit="1" customWidth="1"/>
    <col min="14607" max="14849" width="9.109375" style="622"/>
    <col min="14850" max="14850" width="31.44140625" style="622" customWidth="1"/>
    <col min="14851" max="14851" width="9.109375" style="622"/>
    <col min="14852" max="14852" width="10.109375" style="622" bestFit="1" customWidth="1"/>
    <col min="14853" max="14854" width="9.109375" style="622"/>
    <col min="14855" max="14855" width="10.109375" style="622" bestFit="1" customWidth="1"/>
    <col min="14856" max="14857" width="9.109375" style="622"/>
    <col min="14858" max="14859" width="11.6640625" style="622" bestFit="1" customWidth="1"/>
    <col min="14860" max="14862" width="10.109375" style="622" bestFit="1" customWidth="1"/>
    <col min="14863" max="15105" width="9.109375" style="622"/>
    <col min="15106" max="15106" width="31.44140625" style="622" customWidth="1"/>
    <col min="15107" max="15107" width="9.109375" style="622"/>
    <col min="15108" max="15108" width="10.109375" style="622" bestFit="1" customWidth="1"/>
    <col min="15109" max="15110" width="9.109375" style="622"/>
    <col min="15111" max="15111" width="10.109375" style="622" bestFit="1" customWidth="1"/>
    <col min="15112" max="15113" width="9.109375" style="622"/>
    <col min="15114" max="15115" width="11.6640625" style="622" bestFit="1" customWidth="1"/>
    <col min="15116" max="15118" width="10.109375" style="622" bestFit="1" customWidth="1"/>
    <col min="15119" max="15361" width="9.109375" style="622"/>
    <col min="15362" max="15362" width="31.44140625" style="622" customWidth="1"/>
    <col min="15363" max="15363" width="9.109375" style="622"/>
    <col min="15364" max="15364" width="10.109375" style="622" bestFit="1" customWidth="1"/>
    <col min="15365" max="15366" width="9.109375" style="622"/>
    <col min="15367" max="15367" width="10.109375" style="622" bestFit="1" customWidth="1"/>
    <col min="15368" max="15369" width="9.109375" style="622"/>
    <col min="15370" max="15371" width="11.6640625" style="622" bestFit="1" customWidth="1"/>
    <col min="15372" max="15374" width="10.109375" style="622" bestFit="1" customWidth="1"/>
    <col min="15375" max="15617" width="9.109375" style="622"/>
    <col min="15618" max="15618" width="31.44140625" style="622" customWidth="1"/>
    <col min="15619" max="15619" width="9.109375" style="622"/>
    <col min="15620" max="15620" width="10.109375" style="622" bestFit="1" customWidth="1"/>
    <col min="15621" max="15622" width="9.109375" style="622"/>
    <col min="15623" max="15623" width="10.109375" style="622" bestFit="1" customWidth="1"/>
    <col min="15624" max="15625" width="9.109375" style="622"/>
    <col min="15626" max="15627" width="11.6640625" style="622" bestFit="1" customWidth="1"/>
    <col min="15628" max="15630" width="10.109375" style="622" bestFit="1" customWidth="1"/>
    <col min="15631" max="15873" width="9.109375" style="622"/>
    <col min="15874" max="15874" width="31.44140625" style="622" customWidth="1"/>
    <col min="15875" max="15875" width="9.109375" style="622"/>
    <col min="15876" max="15876" width="10.109375" style="622" bestFit="1" customWidth="1"/>
    <col min="15877" max="15878" width="9.109375" style="622"/>
    <col min="15879" max="15879" width="10.109375" style="622" bestFit="1" customWidth="1"/>
    <col min="15880" max="15881" width="9.109375" style="622"/>
    <col min="15882" max="15883" width="11.6640625" style="622" bestFit="1" customWidth="1"/>
    <col min="15884" max="15886" width="10.109375" style="622" bestFit="1" customWidth="1"/>
    <col min="15887" max="16129" width="9.109375" style="622"/>
    <col min="16130" max="16130" width="31.44140625" style="622" customWidth="1"/>
    <col min="16131" max="16131" width="9.109375" style="622"/>
    <col min="16132" max="16132" width="10.109375" style="622" bestFit="1" customWidth="1"/>
    <col min="16133" max="16134" width="9.109375" style="622"/>
    <col min="16135" max="16135" width="10.109375" style="622" bestFit="1" customWidth="1"/>
    <col min="16136" max="16137" width="9.109375" style="622"/>
    <col min="16138" max="16139" width="11.6640625" style="622" bestFit="1" customWidth="1"/>
    <col min="16140" max="16142" width="10.109375" style="622" bestFit="1" customWidth="1"/>
    <col min="16143" max="16384" width="9.109375" style="622"/>
  </cols>
  <sheetData>
    <row r="1" spans="1:14" ht="12.75" customHeight="1">
      <c r="A1" s="1567" t="s">
        <v>491</v>
      </c>
      <c r="B1" s="1215"/>
      <c r="C1" s="1215"/>
      <c r="D1" s="1215"/>
      <c r="E1" s="1215"/>
      <c r="F1" s="1215"/>
      <c r="G1" s="1215"/>
      <c r="H1" s="1614"/>
      <c r="I1" s="1587" t="s">
        <v>492</v>
      </c>
      <c r="J1" s="1588"/>
      <c r="K1" s="1588"/>
      <c r="L1" s="1588"/>
      <c r="M1" s="1588"/>
      <c r="N1" s="1591" t="s">
        <v>337</v>
      </c>
    </row>
    <row r="2" spans="1:14">
      <c r="A2" s="1621"/>
      <c r="B2" s="1618"/>
      <c r="C2" s="1618"/>
      <c r="D2" s="1618"/>
      <c r="E2" s="1618"/>
      <c r="F2" s="1618"/>
      <c r="G2" s="1618"/>
      <c r="H2" s="1618"/>
      <c r="I2" s="1589"/>
      <c r="J2" s="1590"/>
      <c r="K2" s="1590"/>
      <c r="L2" s="1590"/>
      <c r="M2" s="1590"/>
      <c r="N2" s="1592"/>
    </row>
    <row r="3" spans="1:14">
      <c r="A3" s="749" t="s">
        <v>745</v>
      </c>
      <c r="B3" s="748" t="str">
        <f>'F1 Forecast Consultant'!C3</f>
        <v>Western</v>
      </c>
      <c r="I3" s="1595" t="s">
        <v>493</v>
      </c>
      <c r="J3" s="1596"/>
      <c r="K3" s="1578">
        <f>'F1  Cover'!K8</f>
        <v>1</v>
      </c>
      <c r="L3" s="1579"/>
      <c r="M3" s="1579"/>
      <c r="N3" s="1580"/>
    </row>
    <row r="4" spans="1:14" ht="13.8" thickBot="1">
      <c r="A4" s="1620"/>
      <c r="B4" s="1610"/>
      <c r="C4" s="1610"/>
      <c r="D4" s="1610"/>
      <c r="E4" s="1610"/>
      <c r="F4" s="1610"/>
      <c r="G4" s="1610"/>
      <c r="H4" s="1610"/>
      <c r="I4" s="1599" t="s">
        <v>494</v>
      </c>
      <c r="J4" s="1600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98</v>
      </c>
      <c r="B6" s="725" t="s">
        <v>0</v>
      </c>
      <c r="C6" s="718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0</v>
      </c>
      <c r="E10" s="722">
        <f>D10</f>
        <v>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0</v>
      </c>
      <c r="K10" s="631">
        <f t="shared" ref="K10:K16" si="1">E10*I10</f>
        <v>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80</v>
      </c>
      <c r="E11" s="722">
        <f t="shared" ref="E11:E13" si="5">D11</f>
        <v>80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223680</v>
      </c>
      <c r="K11" s="631">
        <f t="shared" si="1"/>
        <v>223680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100</v>
      </c>
      <c r="E12" s="722">
        <f t="shared" si="5"/>
        <v>100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240300</v>
      </c>
      <c r="K12" s="631">
        <f t="shared" si="1"/>
        <v>240300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50</v>
      </c>
      <c r="E13" s="722">
        <f t="shared" si="5"/>
        <v>50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58350</v>
      </c>
      <c r="K13" s="631">
        <f t="shared" si="1"/>
        <v>58350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Sums'!K345-'C3.8'!F14</f>
        <v>0</v>
      </c>
      <c r="H14" s="632">
        <f t="shared" si="0"/>
        <v>0</v>
      </c>
      <c r="I14" s="733">
        <f>'Pricing Schedule'!F324</f>
        <v>50000</v>
      </c>
      <c r="J14" s="631">
        <f>D14*I14</f>
        <v>50000</v>
      </c>
      <c r="K14" s="631">
        <f t="shared" si="1"/>
        <v>50000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50000</v>
      </c>
      <c r="E15" s="631">
        <f>K14</f>
        <v>50000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0</v>
      </c>
      <c r="E19" s="722">
        <f>D19</f>
        <v>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0</v>
      </c>
      <c r="K19" s="631">
        <f t="shared" ref="K19:K26" si="9">E19*I19</f>
        <v>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50</v>
      </c>
      <c r="E20" s="722">
        <f t="shared" ref="E20:E23" si="13">D20</f>
        <v>50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139800</v>
      </c>
      <c r="K20" s="631">
        <f t="shared" si="9"/>
        <v>139800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50</v>
      </c>
      <c r="E21" s="722">
        <f t="shared" si="13"/>
        <v>50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120150</v>
      </c>
      <c r="K21" s="631">
        <f t="shared" si="9"/>
        <v>120150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50</v>
      </c>
      <c r="E22" s="722">
        <f t="shared" si="13"/>
        <v>50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58350</v>
      </c>
      <c r="K22" s="631">
        <f t="shared" si="9"/>
        <v>58350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Sums'!K354-'C3.8'!F23</f>
        <v>0</v>
      </c>
      <c r="H23" s="632">
        <f t="shared" si="8"/>
        <v>0</v>
      </c>
      <c r="I23" s="733">
        <f>'Pricing Schedule'!F333</f>
        <v>200000</v>
      </c>
      <c r="J23" s="631">
        <f>D23*I23</f>
        <v>200000</v>
      </c>
      <c r="K23" s="631">
        <f t="shared" si="9"/>
        <v>200000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200000</v>
      </c>
      <c r="E24" s="631">
        <f>K23</f>
        <v>200000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Sums'!K362-'C3.8'!F25</f>
        <v>0</v>
      </c>
      <c r="H25" s="632">
        <f t="shared" si="8"/>
        <v>0</v>
      </c>
      <c r="I25" s="733">
        <f>'Pricing Schedule'!F335</f>
        <v>100000</v>
      </c>
      <c r="J25" s="631">
        <f>D25*I25</f>
        <v>100000</v>
      </c>
      <c r="K25" s="631">
        <f t="shared" si="9"/>
        <v>100000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28</v>
      </c>
      <c r="E26" s="722">
        <f>D26</f>
        <v>28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6"/>
      <c r="F27" s="940"/>
      <c r="G27" s="946"/>
      <c r="H27" s="941"/>
      <c r="I27" s="945"/>
      <c r="J27" s="940"/>
      <c r="K27" s="940"/>
      <c r="L27" s="940"/>
      <c r="M27" s="940"/>
      <c r="N27" s="941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Liaison/Meetings with the PLC during design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Sums'!K371-'C3.8'!F29</f>
        <v>0</v>
      </c>
      <c r="H29" s="632">
        <f t="shared" ref="H29:H31" si="18">F29+G29</f>
        <v>0</v>
      </c>
      <c r="I29" s="733">
        <f>'Pricing Schedule'!F339</f>
        <v>100000</v>
      </c>
      <c r="J29" s="631">
        <f t="shared" si="17"/>
        <v>100000</v>
      </c>
      <c r="K29" s="631">
        <f t="shared" ref="K29:K31" si="19">E29*I29</f>
        <v>100000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Sums'!K379-'C3.8'!F30</f>
        <v>0</v>
      </c>
      <c r="H30" s="632">
        <f t="shared" si="18"/>
        <v>0</v>
      </c>
      <c r="I30" s="733">
        <f>'Pricing Schedule'!F340</f>
        <v>200000</v>
      </c>
      <c r="J30" s="631">
        <f t="shared" si="17"/>
        <v>200000</v>
      </c>
      <c r="K30" s="631">
        <f t="shared" si="19"/>
        <v>200000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200000</v>
      </c>
      <c r="E31" s="631">
        <f>K30</f>
        <v>200000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Sums'!K387-'C3.8'!F32</f>
        <v>0</v>
      </c>
      <c r="H32" s="632">
        <f t="shared" ref="H32:H33" si="25">F32+G32</f>
        <v>0</v>
      </c>
      <c r="I32" s="733">
        <f>'Pricing Schedule'!F342</f>
        <v>100000</v>
      </c>
      <c r="J32" s="631">
        <f t="shared" si="17"/>
        <v>100000</v>
      </c>
      <c r="K32" s="631">
        <f t="shared" ref="K32:K33" si="26">E32*I32</f>
        <v>100000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100000</v>
      </c>
      <c r="E33" s="631">
        <f>K32</f>
        <v>100000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6"/>
      <c r="F34" s="940"/>
      <c r="G34" s="946"/>
      <c r="H34" s="941"/>
      <c r="I34" s="945"/>
      <c r="J34" s="940"/>
      <c r="K34" s="940"/>
      <c r="L34" s="940"/>
      <c r="M34" s="940"/>
      <c r="N34" s="941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18</v>
      </c>
      <c r="E36" s="1059">
        <f>D36</f>
        <v>18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6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18</v>
      </c>
      <c r="E37" s="1059">
        <f>D37</f>
        <v>18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6"/>
      <c r="F38" s="940"/>
      <c r="G38" s="946"/>
      <c r="H38" s="941"/>
      <c r="I38" s="945"/>
      <c r="J38" s="940"/>
      <c r="K38" s="940"/>
      <c r="L38" s="940"/>
      <c r="M38" s="940"/>
      <c r="N38" s="941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Sums'!K396-'C3.8'!F39</f>
        <v>0</v>
      </c>
      <c r="H39" s="632">
        <f t="shared" ref="H39:H40" si="32">F39+G39</f>
        <v>0</v>
      </c>
      <c r="I39" s="733">
        <f>'Pricing Schedule'!F349</f>
        <v>250000</v>
      </c>
      <c r="J39" s="631">
        <f t="shared" ref="J39:J40" si="33">D39*I39</f>
        <v>250000</v>
      </c>
      <c r="K39" s="631">
        <f t="shared" ref="K39:K40" si="34">E39*I39</f>
        <v>250000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7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250000</v>
      </c>
      <c r="E40" s="631">
        <f>K39</f>
        <v>250000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60" t="s">
        <v>506</v>
      </c>
      <c r="B41" s="1560"/>
      <c r="C41" s="1560"/>
      <c r="D41" s="716"/>
      <c r="E41" s="717"/>
      <c r="F41" s="717"/>
      <c r="G41" s="717"/>
      <c r="H41" s="718"/>
      <c r="I41" s="716"/>
      <c r="J41" s="720">
        <f>SUM(J8:J40)</f>
        <v>1840630</v>
      </c>
      <c r="K41" s="720">
        <f t="shared" ref="K41:N41" si="40">SUM(K8:K40)</f>
        <v>1840630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" customHeight="1">
      <c r="A44" s="817" t="s">
        <v>651</v>
      </c>
      <c r="B44" s="817"/>
      <c r="J44" s="735">
        <f>J10+J11+J12+J13+J16+J19+J20+J21+J22+J26+J28+J35+J36+J37</f>
        <v>840630</v>
      </c>
      <c r="K44" s="735">
        <f t="shared" ref="K44:N44" si="41">K10+K11+K12+K13+K16+K19+K20+K21+K22+K26+K28+K35+K36+K37</f>
        <v>840630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" customHeight="1">
      <c r="A45" s="622" t="s">
        <v>653</v>
      </c>
      <c r="J45" s="735">
        <f>+J14+J15+J23+J24+J25+J29+J30+J31+J32+J33+J39+J40</f>
        <v>1000000</v>
      </c>
      <c r="K45" s="735">
        <f t="shared" ref="K45:N45" si="42">+K14+K15+K23+K24+K25+K29+K30+K31+K32+K33+K39+K40</f>
        <v>1000000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" customHeight="1" thickBot="1">
      <c r="A46" s="622" t="s">
        <v>652</v>
      </c>
      <c r="J46" s="785">
        <f>SUM(J44:J45)</f>
        <v>1840630</v>
      </c>
      <c r="K46" s="785">
        <f t="shared" ref="K46:N46" si="43">SUM(K44:K45)</f>
        <v>1840630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8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338" priority="3">
      <formula>H36="ERROR TOO MUCH"</formula>
    </cfRule>
  </conditionalFormatting>
  <conditionalFormatting sqref="H28">
    <cfRule type="containsText" dxfId="2337" priority="8" operator="containsText" text="ERROR">
      <formula>NOT(ISERROR(SEARCH("ERROR",H28)))</formula>
    </cfRule>
  </conditionalFormatting>
  <conditionalFormatting sqref="E28">
    <cfRule type="expression" dxfId="2336" priority="7">
      <formula>H28="ERROR TOO MUCH"</formula>
    </cfRule>
  </conditionalFormatting>
  <conditionalFormatting sqref="H35">
    <cfRule type="containsText" dxfId="2335" priority="6" operator="containsText" text="ERROR">
      <formula>NOT(ISERROR(SEARCH("ERROR",H35)))</formula>
    </cfRule>
  </conditionalFormatting>
  <conditionalFormatting sqref="E35">
    <cfRule type="expression" dxfId="2334" priority="5">
      <formula>H35="ERROR TOO MUCH"</formula>
    </cfRule>
  </conditionalFormatting>
  <conditionalFormatting sqref="H36">
    <cfRule type="containsText" dxfId="2333" priority="4" operator="containsText" text="ERROR">
      <formula>NOT(ISERROR(SEARCH("ERROR",H36)))</formula>
    </cfRule>
  </conditionalFormatting>
  <conditionalFormatting sqref="E37">
    <cfRule type="expression" dxfId="2332" priority="1">
      <formula>H37="ERROR TOO MUCH"</formula>
    </cfRule>
  </conditionalFormatting>
  <conditionalFormatting sqref="H37">
    <cfRule type="containsText" dxfId="2331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3.2"/>
  <cols>
    <col min="1" max="1" width="9.33203125" style="622" bestFit="1" customWidth="1"/>
    <col min="2" max="2" width="36.88671875" style="622" customWidth="1"/>
    <col min="3" max="3" width="19.5546875" style="622" customWidth="1"/>
    <col min="4" max="8" width="11.6640625" style="622" customWidth="1"/>
    <col min="9" max="9" width="12.5546875" style="622" bestFit="1" customWidth="1"/>
    <col min="10" max="11" width="13" style="622" bestFit="1" customWidth="1"/>
    <col min="12" max="12" width="12.44140625" style="622" customWidth="1"/>
    <col min="13" max="13" width="11.44140625" style="622" bestFit="1" customWidth="1"/>
    <col min="14" max="14" width="11.88671875" style="622" bestFit="1" customWidth="1"/>
    <col min="15" max="257" width="9.109375" style="622"/>
    <col min="258" max="258" width="36.88671875" style="622" customWidth="1"/>
    <col min="259" max="259" width="9.109375" style="622"/>
    <col min="260" max="262" width="10.109375" style="622" customWidth="1"/>
    <col min="263" max="264" width="10.88671875" style="622" customWidth="1"/>
    <col min="265" max="265" width="9.109375" style="622"/>
    <col min="266" max="267" width="11.6640625" style="622" bestFit="1" customWidth="1"/>
    <col min="268" max="268" width="9.109375" style="622"/>
    <col min="269" max="269" width="10.88671875" style="622" customWidth="1"/>
    <col min="270" max="270" width="12.44140625" style="622" customWidth="1"/>
    <col min="271" max="513" width="9.109375" style="622"/>
    <col min="514" max="514" width="36.88671875" style="622" customWidth="1"/>
    <col min="515" max="515" width="9.109375" style="622"/>
    <col min="516" max="518" width="10.109375" style="622" customWidth="1"/>
    <col min="519" max="520" width="10.88671875" style="622" customWidth="1"/>
    <col min="521" max="521" width="9.109375" style="622"/>
    <col min="522" max="523" width="11.6640625" style="622" bestFit="1" customWidth="1"/>
    <col min="524" max="524" width="9.109375" style="622"/>
    <col min="525" max="525" width="10.88671875" style="622" customWidth="1"/>
    <col min="526" max="526" width="12.44140625" style="622" customWidth="1"/>
    <col min="527" max="769" width="9.109375" style="622"/>
    <col min="770" max="770" width="36.88671875" style="622" customWidth="1"/>
    <col min="771" max="771" width="9.109375" style="622"/>
    <col min="772" max="774" width="10.109375" style="622" customWidth="1"/>
    <col min="775" max="776" width="10.88671875" style="622" customWidth="1"/>
    <col min="777" max="777" width="9.109375" style="622"/>
    <col min="778" max="779" width="11.6640625" style="622" bestFit="1" customWidth="1"/>
    <col min="780" max="780" width="9.109375" style="622"/>
    <col min="781" max="781" width="10.88671875" style="622" customWidth="1"/>
    <col min="782" max="782" width="12.44140625" style="622" customWidth="1"/>
    <col min="783" max="1025" width="9.109375" style="622"/>
    <col min="1026" max="1026" width="36.88671875" style="622" customWidth="1"/>
    <col min="1027" max="1027" width="9.109375" style="622"/>
    <col min="1028" max="1030" width="10.109375" style="622" customWidth="1"/>
    <col min="1031" max="1032" width="10.88671875" style="622" customWidth="1"/>
    <col min="1033" max="1033" width="9.109375" style="622"/>
    <col min="1034" max="1035" width="11.6640625" style="622" bestFit="1" customWidth="1"/>
    <col min="1036" max="1036" width="9.109375" style="622"/>
    <col min="1037" max="1037" width="10.88671875" style="622" customWidth="1"/>
    <col min="1038" max="1038" width="12.44140625" style="622" customWidth="1"/>
    <col min="1039" max="1281" width="9.109375" style="622"/>
    <col min="1282" max="1282" width="36.88671875" style="622" customWidth="1"/>
    <col min="1283" max="1283" width="9.109375" style="622"/>
    <col min="1284" max="1286" width="10.109375" style="622" customWidth="1"/>
    <col min="1287" max="1288" width="10.88671875" style="622" customWidth="1"/>
    <col min="1289" max="1289" width="9.109375" style="622"/>
    <col min="1290" max="1291" width="11.6640625" style="622" bestFit="1" customWidth="1"/>
    <col min="1292" max="1292" width="9.109375" style="622"/>
    <col min="1293" max="1293" width="10.88671875" style="622" customWidth="1"/>
    <col min="1294" max="1294" width="12.44140625" style="622" customWidth="1"/>
    <col min="1295" max="1537" width="9.109375" style="622"/>
    <col min="1538" max="1538" width="36.88671875" style="622" customWidth="1"/>
    <col min="1539" max="1539" width="9.109375" style="622"/>
    <col min="1540" max="1542" width="10.109375" style="622" customWidth="1"/>
    <col min="1543" max="1544" width="10.88671875" style="622" customWidth="1"/>
    <col min="1545" max="1545" width="9.109375" style="622"/>
    <col min="1546" max="1547" width="11.6640625" style="622" bestFit="1" customWidth="1"/>
    <col min="1548" max="1548" width="9.109375" style="622"/>
    <col min="1549" max="1549" width="10.88671875" style="622" customWidth="1"/>
    <col min="1550" max="1550" width="12.44140625" style="622" customWidth="1"/>
    <col min="1551" max="1793" width="9.109375" style="622"/>
    <col min="1794" max="1794" width="36.88671875" style="622" customWidth="1"/>
    <col min="1795" max="1795" width="9.109375" style="622"/>
    <col min="1796" max="1798" width="10.109375" style="622" customWidth="1"/>
    <col min="1799" max="1800" width="10.88671875" style="622" customWidth="1"/>
    <col min="1801" max="1801" width="9.109375" style="622"/>
    <col min="1802" max="1803" width="11.6640625" style="622" bestFit="1" customWidth="1"/>
    <col min="1804" max="1804" width="9.109375" style="622"/>
    <col min="1805" max="1805" width="10.88671875" style="622" customWidth="1"/>
    <col min="1806" max="1806" width="12.44140625" style="622" customWidth="1"/>
    <col min="1807" max="2049" width="9.109375" style="622"/>
    <col min="2050" max="2050" width="36.88671875" style="622" customWidth="1"/>
    <col min="2051" max="2051" width="9.109375" style="622"/>
    <col min="2052" max="2054" width="10.109375" style="622" customWidth="1"/>
    <col min="2055" max="2056" width="10.88671875" style="622" customWidth="1"/>
    <col min="2057" max="2057" width="9.109375" style="622"/>
    <col min="2058" max="2059" width="11.6640625" style="622" bestFit="1" customWidth="1"/>
    <col min="2060" max="2060" width="9.109375" style="622"/>
    <col min="2061" max="2061" width="10.88671875" style="622" customWidth="1"/>
    <col min="2062" max="2062" width="12.44140625" style="622" customWidth="1"/>
    <col min="2063" max="2305" width="9.109375" style="622"/>
    <col min="2306" max="2306" width="36.88671875" style="622" customWidth="1"/>
    <col min="2307" max="2307" width="9.109375" style="622"/>
    <col min="2308" max="2310" width="10.109375" style="622" customWidth="1"/>
    <col min="2311" max="2312" width="10.88671875" style="622" customWidth="1"/>
    <col min="2313" max="2313" width="9.109375" style="622"/>
    <col min="2314" max="2315" width="11.6640625" style="622" bestFit="1" customWidth="1"/>
    <col min="2316" max="2316" width="9.109375" style="622"/>
    <col min="2317" max="2317" width="10.88671875" style="622" customWidth="1"/>
    <col min="2318" max="2318" width="12.44140625" style="622" customWidth="1"/>
    <col min="2319" max="2561" width="9.109375" style="622"/>
    <col min="2562" max="2562" width="36.88671875" style="622" customWidth="1"/>
    <col min="2563" max="2563" width="9.109375" style="622"/>
    <col min="2564" max="2566" width="10.109375" style="622" customWidth="1"/>
    <col min="2567" max="2568" width="10.88671875" style="622" customWidth="1"/>
    <col min="2569" max="2569" width="9.109375" style="622"/>
    <col min="2570" max="2571" width="11.6640625" style="622" bestFit="1" customWidth="1"/>
    <col min="2572" max="2572" width="9.109375" style="622"/>
    <col min="2573" max="2573" width="10.88671875" style="622" customWidth="1"/>
    <col min="2574" max="2574" width="12.44140625" style="622" customWidth="1"/>
    <col min="2575" max="2817" width="9.109375" style="622"/>
    <col min="2818" max="2818" width="36.88671875" style="622" customWidth="1"/>
    <col min="2819" max="2819" width="9.109375" style="622"/>
    <col min="2820" max="2822" width="10.109375" style="622" customWidth="1"/>
    <col min="2823" max="2824" width="10.88671875" style="622" customWidth="1"/>
    <col min="2825" max="2825" width="9.109375" style="622"/>
    <col min="2826" max="2827" width="11.6640625" style="622" bestFit="1" customWidth="1"/>
    <col min="2828" max="2828" width="9.109375" style="622"/>
    <col min="2829" max="2829" width="10.88671875" style="622" customWidth="1"/>
    <col min="2830" max="2830" width="12.44140625" style="622" customWidth="1"/>
    <col min="2831" max="3073" width="9.109375" style="622"/>
    <col min="3074" max="3074" width="36.88671875" style="622" customWidth="1"/>
    <col min="3075" max="3075" width="9.109375" style="622"/>
    <col min="3076" max="3078" width="10.109375" style="622" customWidth="1"/>
    <col min="3079" max="3080" width="10.88671875" style="622" customWidth="1"/>
    <col min="3081" max="3081" width="9.109375" style="622"/>
    <col min="3082" max="3083" width="11.6640625" style="622" bestFit="1" customWidth="1"/>
    <col min="3084" max="3084" width="9.109375" style="622"/>
    <col min="3085" max="3085" width="10.88671875" style="622" customWidth="1"/>
    <col min="3086" max="3086" width="12.44140625" style="622" customWidth="1"/>
    <col min="3087" max="3329" width="9.109375" style="622"/>
    <col min="3330" max="3330" width="36.88671875" style="622" customWidth="1"/>
    <col min="3331" max="3331" width="9.109375" style="622"/>
    <col min="3332" max="3334" width="10.109375" style="622" customWidth="1"/>
    <col min="3335" max="3336" width="10.88671875" style="622" customWidth="1"/>
    <col min="3337" max="3337" width="9.109375" style="622"/>
    <col min="3338" max="3339" width="11.6640625" style="622" bestFit="1" customWidth="1"/>
    <col min="3340" max="3340" width="9.109375" style="622"/>
    <col min="3341" max="3341" width="10.88671875" style="622" customWidth="1"/>
    <col min="3342" max="3342" width="12.44140625" style="622" customWidth="1"/>
    <col min="3343" max="3585" width="9.109375" style="622"/>
    <col min="3586" max="3586" width="36.88671875" style="622" customWidth="1"/>
    <col min="3587" max="3587" width="9.109375" style="622"/>
    <col min="3588" max="3590" width="10.109375" style="622" customWidth="1"/>
    <col min="3591" max="3592" width="10.88671875" style="622" customWidth="1"/>
    <col min="3593" max="3593" width="9.109375" style="622"/>
    <col min="3594" max="3595" width="11.6640625" style="622" bestFit="1" customWidth="1"/>
    <col min="3596" max="3596" width="9.109375" style="622"/>
    <col min="3597" max="3597" width="10.88671875" style="622" customWidth="1"/>
    <col min="3598" max="3598" width="12.44140625" style="622" customWidth="1"/>
    <col min="3599" max="3841" width="9.109375" style="622"/>
    <col min="3842" max="3842" width="36.88671875" style="622" customWidth="1"/>
    <col min="3843" max="3843" width="9.109375" style="622"/>
    <col min="3844" max="3846" width="10.109375" style="622" customWidth="1"/>
    <col min="3847" max="3848" width="10.88671875" style="622" customWidth="1"/>
    <col min="3849" max="3849" width="9.109375" style="622"/>
    <col min="3850" max="3851" width="11.6640625" style="622" bestFit="1" customWidth="1"/>
    <col min="3852" max="3852" width="9.109375" style="622"/>
    <col min="3853" max="3853" width="10.88671875" style="622" customWidth="1"/>
    <col min="3854" max="3854" width="12.44140625" style="622" customWidth="1"/>
    <col min="3855" max="4097" width="9.109375" style="622"/>
    <col min="4098" max="4098" width="36.88671875" style="622" customWidth="1"/>
    <col min="4099" max="4099" width="9.109375" style="622"/>
    <col min="4100" max="4102" width="10.109375" style="622" customWidth="1"/>
    <col min="4103" max="4104" width="10.88671875" style="622" customWidth="1"/>
    <col min="4105" max="4105" width="9.109375" style="622"/>
    <col min="4106" max="4107" width="11.6640625" style="622" bestFit="1" customWidth="1"/>
    <col min="4108" max="4108" width="9.109375" style="622"/>
    <col min="4109" max="4109" width="10.88671875" style="622" customWidth="1"/>
    <col min="4110" max="4110" width="12.44140625" style="622" customWidth="1"/>
    <col min="4111" max="4353" width="9.109375" style="622"/>
    <col min="4354" max="4354" width="36.88671875" style="622" customWidth="1"/>
    <col min="4355" max="4355" width="9.109375" style="622"/>
    <col min="4356" max="4358" width="10.109375" style="622" customWidth="1"/>
    <col min="4359" max="4360" width="10.88671875" style="622" customWidth="1"/>
    <col min="4361" max="4361" width="9.109375" style="622"/>
    <col min="4362" max="4363" width="11.6640625" style="622" bestFit="1" customWidth="1"/>
    <col min="4364" max="4364" width="9.109375" style="622"/>
    <col min="4365" max="4365" width="10.88671875" style="622" customWidth="1"/>
    <col min="4366" max="4366" width="12.44140625" style="622" customWidth="1"/>
    <col min="4367" max="4609" width="9.109375" style="622"/>
    <col min="4610" max="4610" width="36.88671875" style="622" customWidth="1"/>
    <col min="4611" max="4611" width="9.109375" style="622"/>
    <col min="4612" max="4614" width="10.109375" style="622" customWidth="1"/>
    <col min="4615" max="4616" width="10.88671875" style="622" customWidth="1"/>
    <col min="4617" max="4617" width="9.109375" style="622"/>
    <col min="4618" max="4619" width="11.6640625" style="622" bestFit="1" customWidth="1"/>
    <col min="4620" max="4620" width="9.109375" style="622"/>
    <col min="4621" max="4621" width="10.88671875" style="622" customWidth="1"/>
    <col min="4622" max="4622" width="12.44140625" style="622" customWidth="1"/>
    <col min="4623" max="4865" width="9.109375" style="622"/>
    <col min="4866" max="4866" width="36.88671875" style="622" customWidth="1"/>
    <col min="4867" max="4867" width="9.109375" style="622"/>
    <col min="4868" max="4870" width="10.109375" style="622" customWidth="1"/>
    <col min="4871" max="4872" width="10.88671875" style="622" customWidth="1"/>
    <col min="4873" max="4873" width="9.109375" style="622"/>
    <col min="4874" max="4875" width="11.6640625" style="622" bestFit="1" customWidth="1"/>
    <col min="4876" max="4876" width="9.109375" style="622"/>
    <col min="4877" max="4877" width="10.88671875" style="622" customWidth="1"/>
    <col min="4878" max="4878" width="12.44140625" style="622" customWidth="1"/>
    <col min="4879" max="5121" width="9.109375" style="622"/>
    <col min="5122" max="5122" width="36.88671875" style="622" customWidth="1"/>
    <col min="5123" max="5123" width="9.109375" style="622"/>
    <col min="5124" max="5126" width="10.109375" style="622" customWidth="1"/>
    <col min="5127" max="5128" width="10.88671875" style="622" customWidth="1"/>
    <col min="5129" max="5129" width="9.109375" style="622"/>
    <col min="5130" max="5131" width="11.6640625" style="622" bestFit="1" customWidth="1"/>
    <col min="5132" max="5132" width="9.109375" style="622"/>
    <col min="5133" max="5133" width="10.88671875" style="622" customWidth="1"/>
    <col min="5134" max="5134" width="12.44140625" style="622" customWidth="1"/>
    <col min="5135" max="5377" width="9.109375" style="622"/>
    <col min="5378" max="5378" width="36.88671875" style="622" customWidth="1"/>
    <col min="5379" max="5379" width="9.109375" style="622"/>
    <col min="5380" max="5382" width="10.109375" style="622" customWidth="1"/>
    <col min="5383" max="5384" width="10.88671875" style="622" customWidth="1"/>
    <col min="5385" max="5385" width="9.109375" style="622"/>
    <col min="5386" max="5387" width="11.6640625" style="622" bestFit="1" customWidth="1"/>
    <col min="5388" max="5388" width="9.109375" style="622"/>
    <col min="5389" max="5389" width="10.88671875" style="622" customWidth="1"/>
    <col min="5390" max="5390" width="12.44140625" style="622" customWidth="1"/>
    <col min="5391" max="5633" width="9.109375" style="622"/>
    <col min="5634" max="5634" width="36.88671875" style="622" customWidth="1"/>
    <col min="5635" max="5635" width="9.109375" style="622"/>
    <col min="5636" max="5638" width="10.109375" style="622" customWidth="1"/>
    <col min="5639" max="5640" width="10.88671875" style="622" customWidth="1"/>
    <col min="5641" max="5641" width="9.109375" style="622"/>
    <col min="5642" max="5643" width="11.6640625" style="622" bestFit="1" customWidth="1"/>
    <col min="5644" max="5644" width="9.109375" style="622"/>
    <col min="5645" max="5645" width="10.88671875" style="622" customWidth="1"/>
    <col min="5646" max="5646" width="12.44140625" style="622" customWidth="1"/>
    <col min="5647" max="5889" width="9.109375" style="622"/>
    <col min="5890" max="5890" width="36.88671875" style="622" customWidth="1"/>
    <col min="5891" max="5891" width="9.109375" style="622"/>
    <col min="5892" max="5894" width="10.109375" style="622" customWidth="1"/>
    <col min="5895" max="5896" width="10.88671875" style="622" customWidth="1"/>
    <col min="5897" max="5897" width="9.109375" style="622"/>
    <col min="5898" max="5899" width="11.6640625" style="622" bestFit="1" customWidth="1"/>
    <col min="5900" max="5900" width="9.109375" style="622"/>
    <col min="5901" max="5901" width="10.88671875" style="622" customWidth="1"/>
    <col min="5902" max="5902" width="12.44140625" style="622" customWidth="1"/>
    <col min="5903" max="6145" width="9.109375" style="622"/>
    <col min="6146" max="6146" width="36.88671875" style="622" customWidth="1"/>
    <col min="6147" max="6147" width="9.109375" style="622"/>
    <col min="6148" max="6150" width="10.109375" style="622" customWidth="1"/>
    <col min="6151" max="6152" width="10.88671875" style="622" customWidth="1"/>
    <col min="6153" max="6153" width="9.109375" style="622"/>
    <col min="6154" max="6155" width="11.6640625" style="622" bestFit="1" customWidth="1"/>
    <col min="6156" max="6156" width="9.109375" style="622"/>
    <col min="6157" max="6157" width="10.88671875" style="622" customWidth="1"/>
    <col min="6158" max="6158" width="12.44140625" style="622" customWidth="1"/>
    <col min="6159" max="6401" width="9.109375" style="622"/>
    <col min="6402" max="6402" width="36.88671875" style="622" customWidth="1"/>
    <col min="6403" max="6403" width="9.109375" style="622"/>
    <col min="6404" max="6406" width="10.109375" style="622" customWidth="1"/>
    <col min="6407" max="6408" width="10.88671875" style="622" customWidth="1"/>
    <col min="6409" max="6409" width="9.109375" style="622"/>
    <col min="6410" max="6411" width="11.6640625" style="622" bestFit="1" customWidth="1"/>
    <col min="6412" max="6412" width="9.109375" style="622"/>
    <col min="6413" max="6413" width="10.88671875" style="622" customWidth="1"/>
    <col min="6414" max="6414" width="12.44140625" style="622" customWidth="1"/>
    <col min="6415" max="6657" width="9.109375" style="622"/>
    <col min="6658" max="6658" width="36.88671875" style="622" customWidth="1"/>
    <col min="6659" max="6659" width="9.109375" style="622"/>
    <col min="6660" max="6662" width="10.109375" style="622" customWidth="1"/>
    <col min="6663" max="6664" width="10.88671875" style="622" customWidth="1"/>
    <col min="6665" max="6665" width="9.109375" style="622"/>
    <col min="6666" max="6667" width="11.6640625" style="622" bestFit="1" customWidth="1"/>
    <col min="6668" max="6668" width="9.109375" style="622"/>
    <col min="6669" max="6669" width="10.88671875" style="622" customWidth="1"/>
    <col min="6670" max="6670" width="12.44140625" style="622" customWidth="1"/>
    <col min="6671" max="6913" width="9.109375" style="622"/>
    <col min="6914" max="6914" width="36.88671875" style="622" customWidth="1"/>
    <col min="6915" max="6915" width="9.109375" style="622"/>
    <col min="6916" max="6918" width="10.109375" style="622" customWidth="1"/>
    <col min="6919" max="6920" width="10.88671875" style="622" customWidth="1"/>
    <col min="6921" max="6921" width="9.109375" style="622"/>
    <col min="6922" max="6923" width="11.6640625" style="622" bestFit="1" customWidth="1"/>
    <col min="6924" max="6924" width="9.109375" style="622"/>
    <col min="6925" max="6925" width="10.88671875" style="622" customWidth="1"/>
    <col min="6926" max="6926" width="12.44140625" style="622" customWidth="1"/>
    <col min="6927" max="7169" width="9.109375" style="622"/>
    <col min="7170" max="7170" width="36.88671875" style="622" customWidth="1"/>
    <col min="7171" max="7171" width="9.109375" style="622"/>
    <col min="7172" max="7174" width="10.109375" style="622" customWidth="1"/>
    <col min="7175" max="7176" width="10.88671875" style="622" customWidth="1"/>
    <col min="7177" max="7177" width="9.109375" style="622"/>
    <col min="7178" max="7179" width="11.6640625" style="622" bestFit="1" customWidth="1"/>
    <col min="7180" max="7180" width="9.109375" style="622"/>
    <col min="7181" max="7181" width="10.88671875" style="622" customWidth="1"/>
    <col min="7182" max="7182" width="12.44140625" style="622" customWidth="1"/>
    <col min="7183" max="7425" width="9.109375" style="622"/>
    <col min="7426" max="7426" width="36.88671875" style="622" customWidth="1"/>
    <col min="7427" max="7427" width="9.109375" style="622"/>
    <col min="7428" max="7430" width="10.109375" style="622" customWidth="1"/>
    <col min="7431" max="7432" width="10.88671875" style="622" customWidth="1"/>
    <col min="7433" max="7433" width="9.109375" style="622"/>
    <col min="7434" max="7435" width="11.6640625" style="622" bestFit="1" customWidth="1"/>
    <col min="7436" max="7436" width="9.109375" style="622"/>
    <col min="7437" max="7437" width="10.88671875" style="622" customWidth="1"/>
    <col min="7438" max="7438" width="12.44140625" style="622" customWidth="1"/>
    <col min="7439" max="7681" width="9.109375" style="622"/>
    <col min="7682" max="7682" width="36.88671875" style="622" customWidth="1"/>
    <col min="7683" max="7683" width="9.109375" style="622"/>
    <col min="7684" max="7686" width="10.109375" style="622" customWidth="1"/>
    <col min="7687" max="7688" width="10.88671875" style="622" customWidth="1"/>
    <col min="7689" max="7689" width="9.109375" style="622"/>
    <col min="7690" max="7691" width="11.6640625" style="622" bestFit="1" customWidth="1"/>
    <col min="7692" max="7692" width="9.109375" style="622"/>
    <col min="7693" max="7693" width="10.88671875" style="622" customWidth="1"/>
    <col min="7694" max="7694" width="12.44140625" style="622" customWidth="1"/>
    <col min="7695" max="7937" width="9.109375" style="622"/>
    <col min="7938" max="7938" width="36.88671875" style="622" customWidth="1"/>
    <col min="7939" max="7939" width="9.109375" style="622"/>
    <col min="7940" max="7942" width="10.109375" style="622" customWidth="1"/>
    <col min="7943" max="7944" width="10.88671875" style="622" customWidth="1"/>
    <col min="7945" max="7945" width="9.109375" style="622"/>
    <col min="7946" max="7947" width="11.6640625" style="622" bestFit="1" customWidth="1"/>
    <col min="7948" max="7948" width="9.109375" style="622"/>
    <col min="7949" max="7949" width="10.88671875" style="622" customWidth="1"/>
    <col min="7950" max="7950" width="12.44140625" style="622" customWidth="1"/>
    <col min="7951" max="8193" width="9.109375" style="622"/>
    <col min="8194" max="8194" width="36.88671875" style="622" customWidth="1"/>
    <col min="8195" max="8195" width="9.109375" style="622"/>
    <col min="8196" max="8198" width="10.109375" style="622" customWidth="1"/>
    <col min="8199" max="8200" width="10.88671875" style="622" customWidth="1"/>
    <col min="8201" max="8201" width="9.109375" style="622"/>
    <col min="8202" max="8203" width="11.6640625" style="622" bestFit="1" customWidth="1"/>
    <col min="8204" max="8204" width="9.109375" style="622"/>
    <col min="8205" max="8205" width="10.88671875" style="622" customWidth="1"/>
    <col min="8206" max="8206" width="12.44140625" style="622" customWidth="1"/>
    <col min="8207" max="8449" width="9.109375" style="622"/>
    <col min="8450" max="8450" width="36.88671875" style="622" customWidth="1"/>
    <col min="8451" max="8451" width="9.109375" style="622"/>
    <col min="8452" max="8454" width="10.109375" style="622" customWidth="1"/>
    <col min="8455" max="8456" width="10.88671875" style="622" customWidth="1"/>
    <col min="8457" max="8457" width="9.109375" style="622"/>
    <col min="8458" max="8459" width="11.6640625" style="622" bestFit="1" customWidth="1"/>
    <col min="8460" max="8460" width="9.109375" style="622"/>
    <col min="8461" max="8461" width="10.88671875" style="622" customWidth="1"/>
    <col min="8462" max="8462" width="12.44140625" style="622" customWidth="1"/>
    <col min="8463" max="8705" width="9.109375" style="622"/>
    <col min="8706" max="8706" width="36.88671875" style="622" customWidth="1"/>
    <col min="8707" max="8707" width="9.109375" style="622"/>
    <col min="8708" max="8710" width="10.109375" style="622" customWidth="1"/>
    <col min="8711" max="8712" width="10.88671875" style="622" customWidth="1"/>
    <col min="8713" max="8713" width="9.109375" style="622"/>
    <col min="8714" max="8715" width="11.6640625" style="622" bestFit="1" customWidth="1"/>
    <col min="8716" max="8716" width="9.109375" style="622"/>
    <col min="8717" max="8717" width="10.88671875" style="622" customWidth="1"/>
    <col min="8718" max="8718" width="12.44140625" style="622" customWidth="1"/>
    <col min="8719" max="8961" width="9.109375" style="622"/>
    <col min="8962" max="8962" width="36.88671875" style="622" customWidth="1"/>
    <col min="8963" max="8963" width="9.109375" style="622"/>
    <col min="8964" max="8966" width="10.109375" style="622" customWidth="1"/>
    <col min="8967" max="8968" width="10.88671875" style="622" customWidth="1"/>
    <col min="8969" max="8969" width="9.109375" style="622"/>
    <col min="8970" max="8971" width="11.6640625" style="622" bestFit="1" customWidth="1"/>
    <col min="8972" max="8972" width="9.109375" style="622"/>
    <col min="8973" max="8973" width="10.88671875" style="622" customWidth="1"/>
    <col min="8974" max="8974" width="12.44140625" style="622" customWidth="1"/>
    <col min="8975" max="9217" width="9.109375" style="622"/>
    <col min="9218" max="9218" width="36.88671875" style="622" customWidth="1"/>
    <col min="9219" max="9219" width="9.109375" style="622"/>
    <col min="9220" max="9222" width="10.109375" style="622" customWidth="1"/>
    <col min="9223" max="9224" width="10.88671875" style="622" customWidth="1"/>
    <col min="9225" max="9225" width="9.109375" style="622"/>
    <col min="9226" max="9227" width="11.6640625" style="622" bestFit="1" customWidth="1"/>
    <col min="9228" max="9228" width="9.109375" style="622"/>
    <col min="9229" max="9229" width="10.88671875" style="622" customWidth="1"/>
    <col min="9230" max="9230" width="12.44140625" style="622" customWidth="1"/>
    <col min="9231" max="9473" width="9.109375" style="622"/>
    <col min="9474" max="9474" width="36.88671875" style="622" customWidth="1"/>
    <col min="9475" max="9475" width="9.109375" style="622"/>
    <col min="9476" max="9478" width="10.109375" style="622" customWidth="1"/>
    <col min="9479" max="9480" width="10.88671875" style="622" customWidth="1"/>
    <col min="9481" max="9481" width="9.109375" style="622"/>
    <col min="9482" max="9483" width="11.6640625" style="622" bestFit="1" customWidth="1"/>
    <col min="9484" max="9484" width="9.109375" style="622"/>
    <col min="9485" max="9485" width="10.88671875" style="622" customWidth="1"/>
    <col min="9486" max="9486" width="12.44140625" style="622" customWidth="1"/>
    <col min="9487" max="9729" width="9.109375" style="622"/>
    <col min="9730" max="9730" width="36.88671875" style="622" customWidth="1"/>
    <col min="9731" max="9731" width="9.109375" style="622"/>
    <col min="9732" max="9734" width="10.109375" style="622" customWidth="1"/>
    <col min="9735" max="9736" width="10.88671875" style="622" customWidth="1"/>
    <col min="9737" max="9737" width="9.109375" style="622"/>
    <col min="9738" max="9739" width="11.6640625" style="622" bestFit="1" customWidth="1"/>
    <col min="9740" max="9740" width="9.109375" style="622"/>
    <col min="9741" max="9741" width="10.88671875" style="622" customWidth="1"/>
    <col min="9742" max="9742" width="12.44140625" style="622" customWidth="1"/>
    <col min="9743" max="9985" width="9.109375" style="622"/>
    <col min="9986" max="9986" width="36.88671875" style="622" customWidth="1"/>
    <col min="9987" max="9987" width="9.109375" style="622"/>
    <col min="9988" max="9990" width="10.109375" style="622" customWidth="1"/>
    <col min="9991" max="9992" width="10.88671875" style="622" customWidth="1"/>
    <col min="9993" max="9993" width="9.109375" style="622"/>
    <col min="9994" max="9995" width="11.6640625" style="622" bestFit="1" customWidth="1"/>
    <col min="9996" max="9996" width="9.109375" style="622"/>
    <col min="9997" max="9997" width="10.88671875" style="622" customWidth="1"/>
    <col min="9998" max="9998" width="12.44140625" style="622" customWidth="1"/>
    <col min="9999" max="10241" width="9.109375" style="622"/>
    <col min="10242" max="10242" width="36.88671875" style="622" customWidth="1"/>
    <col min="10243" max="10243" width="9.109375" style="622"/>
    <col min="10244" max="10246" width="10.109375" style="622" customWidth="1"/>
    <col min="10247" max="10248" width="10.88671875" style="622" customWidth="1"/>
    <col min="10249" max="10249" width="9.109375" style="622"/>
    <col min="10250" max="10251" width="11.6640625" style="622" bestFit="1" customWidth="1"/>
    <col min="10252" max="10252" width="9.109375" style="622"/>
    <col min="10253" max="10253" width="10.88671875" style="622" customWidth="1"/>
    <col min="10254" max="10254" width="12.44140625" style="622" customWidth="1"/>
    <col min="10255" max="10497" width="9.109375" style="622"/>
    <col min="10498" max="10498" width="36.88671875" style="622" customWidth="1"/>
    <col min="10499" max="10499" width="9.109375" style="622"/>
    <col min="10500" max="10502" width="10.109375" style="622" customWidth="1"/>
    <col min="10503" max="10504" width="10.88671875" style="622" customWidth="1"/>
    <col min="10505" max="10505" width="9.109375" style="622"/>
    <col min="10506" max="10507" width="11.6640625" style="622" bestFit="1" customWidth="1"/>
    <col min="10508" max="10508" width="9.109375" style="622"/>
    <col min="10509" max="10509" width="10.88671875" style="622" customWidth="1"/>
    <col min="10510" max="10510" width="12.44140625" style="622" customWidth="1"/>
    <col min="10511" max="10753" width="9.109375" style="622"/>
    <col min="10754" max="10754" width="36.88671875" style="622" customWidth="1"/>
    <col min="10755" max="10755" width="9.109375" style="622"/>
    <col min="10756" max="10758" width="10.109375" style="622" customWidth="1"/>
    <col min="10759" max="10760" width="10.88671875" style="622" customWidth="1"/>
    <col min="10761" max="10761" width="9.109375" style="622"/>
    <col min="10762" max="10763" width="11.6640625" style="622" bestFit="1" customWidth="1"/>
    <col min="10764" max="10764" width="9.109375" style="622"/>
    <col min="10765" max="10765" width="10.88671875" style="622" customWidth="1"/>
    <col min="10766" max="10766" width="12.44140625" style="622" customWidth="1"/>
    <col min="10767" max="11009" width="9.109375" style="622"/>
    <col min="11010" max="11010" width="36.88671875" style="622" customWidth="1"/>
    <col min="11011" max="11011" width="9.109375" style="622"/>
    <col min="11012" max="11014" width="10.109375" style="622" customWidth="1"/>
    <col min="11015" max="11016" width="10.88671875" style="622" customWidth="1"/>
    <col min="11017" max="11017" width="9.109375" style="622"/>
    <col min="11018" max="11019" width="11.6640625" style="622" bestFit="1" customWidth="1"/>
    <col min="11020" max="11020" width="9.109375" style="622"/>
    <col min="11021" max="11021" width="10.88671875" style="622" customWidth="1"/>
    <col min="11022" max="11022" width="12.44140625" style="622" customWidth="1"/>
    <col min="11023" max="11265" width="9.109375" style="622"/>
    <col min="11266" max="11266" width="36.88671875" style="622" customWidth="1"/>
    <col min="11267" max="11267" width="9.109375" style="622"/>
    <col min="11268" max="11270" width="10.109375" style="622" customWidth="1"/>
    <col min="11271" max="11272" width="10.88671875" style="622" customWidth="1"/>
    <col min="11273" max="11273" width="9.109375" style="622"/>
    <col min="11274" max="11275" width="11.6640625" style="622" bestFit="1" customWidth="1"/>
    <col min="11276" max="11276" width="9.109375" style="622"/>
    <col min="11277" max="11277" width="10.88671875" style="622" customWidth="1"/>
    <col min="11278" max="11278" width="12.44140625" style="622" customWidth="1"/>
    <col min="11279" max="11521" width="9.109375" style="622"/>
    <col min="11522" max="11522" width="36.88671875" style="622" customWidth="1"/>
    <col min="11523" max="11523" width="9.109375" style="622"/>
    <col min="11524" max="11526" width="10.109375" style="622" customWidth="1"/>
    <col min="11527" max="11528" width="10.88671875" style="622" customWidth="1"/>
    <col min="11529" max="11529" width="9.109375" style="622"/>
    <col min="11530" max="11531" width="11.6640625" style="622" bestFit="1" customWidth="1"/>
    <col min="11532" max="11532" width="9.109375" style="622"/>
    <col min="11533" max="11533" width="10.88671875" style="622" customWidth="1"/>
    <col min="11534" max="11534" width="12.44140625" style="622" customWidth="1"/>
    <col min="11535" max="11777" width="9.109375" style="622"/>
    <col min="11778" max="11778" width="36.88671875" style="622" customWidth="1"/>
    <col min="11779" max="11779" width="9.109375" style="622"/>
    <col min="11780" max="11782" width="10.109375" style="622" customWidth="1"/>
    <col min="11783" max="11784" width="10.88671875" style="622" customWidth="1"/>
    <col min="11785" max="11785" width="9.109375" style="622"/>
    <col min="11786" max="11787" width="11.6640625" style="622" bestFit="1" customWidth="1"/>
    <col min="11788" max="11788" width="9.109375" style="622"/>
    <col min="11789" max="11789" width="10.88671875" style="622" customWidth="1"/>
    <col min="11790" max="11790" width="12.44140625" style="622" customWidth="1"/>
    <col min="11791" max="12033" width="9.109375" style="622"/>
    <col min="12034" max="12034" width="36.88671875" style="622" customWidth="1"/>
    <col min="12035" max="12035" width="9.109375" style="622"/>
    <col min="12036" max="12038" width="10.109375" style="622" customWidth="1"/>
    <col min="12039" max="12040" width="10.88671875" style="622" customWidth="1"/>
    <col min="12041" max="12041" width="9.109375" style="622"/>
    <col min="12042" max="12043" width="11.6640625" style="622" bestFit="1" customWidth="1"/>
    <col min="12044" max="12044" width="9.109375" style="622"/>
    <col min="12045" max="12045" width="10.88671875" style="622" customWidth="1"/>
    <col min="12046" max="12046" width="12.44140625" style="622" customWidth="1"/>
    <col min="12047" max="12289" width="9.109375" style="622"/>
    <col min="12290" max="12290" width="36.88671875" style="622" customWidth="1"/>
    <col min="12291" max="12291" width="9.109375" style="622"/>
    <col min="12292" max="12294" width="10.109375" style="622" customWidth="1"/>
    <col min="12295" max="12296" width="10.88671875" style="622" customWidth="1"/>
    <col min="12297" max="12297" width="9.109375" style="622"/>
    <col min="12298" max="12299" width="11.6640625" style="622" bestFit="1" customWidth="1"/>
    <col min="12300" max="12300" width="9.109375" style="622"/>
    <col min="12301" max="12301" width="10.88671875" style="622" customWidth="1"/>
    <col min="12302" max="12302" width="12.44140625" style="622" customWidth="1"/>
    <col min="12303" max="12545" width="9.109375" style="622"/>
    <col min="12546" max="12546" width="36.88671875" style="622" customWidth="1"/>
    <col min="12547" max="12547" width="9.109375" style="622"/>
    <col min="12548" max="12550" width="10.109375" style="622" customWidth="1"/>
    <col min="12551" max="12552" width="10.88671875" style="622" customWidth="1"/>
    <col min="12553" max="12553" width="9.109375" style="622"/>
    <col min="12554" max="12555" width="11.6640625" style="622" bestFit="1" customWidth="1"/>
    <col min="12556" max="12556" width="9.109375" style="622"/>
    <col min="12557" max="12557" width="10.88671875" style="622" customWidth="1"/>
    <col min="12558" max="12558" width="12.44140625" style="622" customWidth="1"/>
    <col min="12559" max="12801" width="9.109375" style="622"/>
    <col min="12802" max="12802" width="36.88671875" style="622" customWidth="1"/>
    <col min="12803" max="12803" width="9.109375" style="622"/>
    <col min="12804" max="12806" width="10.109375" style="622" customWidth="1"/>
    <col min="12807" max="12808" width="10.88671875" style="622" customWidth="1"/>
    <col min="12809" max="12809" width="9.109375" style="622"/>
    <col min="12810" max="12811" width="11.6640625" style="622" bestFit="1" customWidth="1"/>
    <col min="12812" max="12812" width="9.109375" style="622"/>
    <col min="12813" max="12813" width="10.88671875" style="622" customWidth="1"/>
    <col min="12814" max="12814" width="12.44140625" style="622" customWidth="1"/>
    <col min="12815" max="13057" width="9.109375" style="622"/>
    <col min="13058" max="13058" width="36.88671875" style="622" customWidth="1"/>
    <col min="13059" max="13059" width="9.109375" style="622"/>
    <col min="13060" max="13062" width="10.109375" style="622" customWidth="1"/>
    <col min="13063" max="13064" width="10.88671875" style="622" customWidth="1"/>
    <col min="13065" max="13065" width="9.109375" style="622"/>
    <col min="13066" max="13067" width="11.6640625" style="622" bestFit="1" customWidth="1"/>
    <col min="13068" max="13068" width="9.109375" style="622"/>
    <col min="13069" max="13069" width="10.88671875" style="622" customWidth="1"/>
    <col min="13070" max="13070" width="12.44140625" style="622" customWidth="1"/>
    <col min="13071" max="13313" width="9.109375" style="622"/>
    <col min="13314" max="13314" width="36.88671875" style="622" customWidth="1"/>
    <col min="13315" max="13315" width="9.109375" style="622"/>
    <col min="13316" max="13318" width="10.109375" style="622" customWidth="1"/>
    <col min="13319" max="13320" width="10.88671875" style="622" customWidth="1"/>
    <col min="13321" max="13321" width="9.109375" style="622"/>
    <col min="13322" max="13323" width="11.6640625" style="622" bestFit="1" customWidth="1"/>
    <col min="13324" max="13324" width="9.109375" style="622"/>
    <col min="13325" max="13325" width="10.88671875" style="622" customWidth="1"/>
    <col min="13326" max="13326" width="12.44140625" style="622" customWidth="1"/>
    <col min="13327" max="13569" width="9.109375" style="622"/>
    <col min="13570" max="13570" width="36.88671875" style="622" customWidth="1"/>
    <col min="13571" max="13571" width="9.109375" style="622"/>
    <col min="13572" max="13574" width="10.109375" style="622" customWidth="1"/>
    <col min="13575" max="13576" width="10.88671875" style="622" customWidth="1"/>
    <col min="13577" max="13577" width="9.109375" style="622"/>
    <col min="13578" max="13579" width="11.6640625" style="622" bestFit="1" customWidth="1"/>
    <col min="13580" max="13580" width="9.109375" style="622"/>
    <col min="13581" max="13581" width="10.88671875" style="622" customWidth="1"/>
    <col min="13582" max="13582" width="12.44140625" style="622" customWidth="1"/>
    <col min="13583" max="13825" width="9.109375" style="622"/>
    <col min="13826" max="13826" width="36.88671875" style="622" customWidth="1"/>
    <col min="13827" max="13827" width="9.109375" style="622"/>
    <col min="13828" max="13830" width="10.109375" style="622" customWidth="1"/>
    <col min="13831" max="13832" width="10.88671875" style="622" customWidth="1"/>
    <col min="13833" max="13833" width="9.109375" style="622"/>
    <col min="13834" max="13835" width="11.6640625" style="622" bestFit="1" customWidth="1"/>
    <col min="13836" max="13836" width="9.109375" style="622"/>
    <col min="13837" max="13837" width="10.88671875" style="622" customWidth="1"/>
    <col min="13838" max="13838" width="12.44140625" style="622" customWidth="1"/>
    <col min="13839" max="14081" width="9.109375" style="622"/>
    <col min="14082" max="14082" width="36.88671875" style="622" customWidth="1"/>
    <col min="14083" max="14083" width="9.109375" style="622"/>
    <col min="14084" max="14086" width="10.109375" style="622" customWidth="1"/>
    <col min="14087" max="14088" width="10.88671875" style="622" customWidth="1"/>
    <col min="14089" max="14089" width="9.109375" style="622"/>
    <col min="14090" max="14091" width="11.6640625" style="622" bestFit="1" customWidth="1"/>
    <col min="14092" max="14092" width="9.109375" style="622"/>
    <col min="14093" max="14093" width="10.88671875" style="622" customWidth="1"/>
    <col min="14094" max="14094" width="12.44140625" style="622" customWidth="1"/>
    <col min="14095" max="14337" width="9.109375" style="622"/>
    <col min="14338" max="14338" width="36.88671875" style="622" customWidth="1"/>
    <col min="14339" max="14339" width="9.109375" style="622"/>
    <col min="14340" max="14342" width="10.109375" style="622" customWidth="1"/>
    <col min="14343" max="14344" width="10.88671875" style="622" customWidth="1"/>
    <col min="14345" max="14345" width="9.109375" style="622"/>
    <col min="14346" max="14347" width="11.6640625" style="622" bestFit="1" customWidth="1"/>
    <col min="14348" max="14348" width="9.109375" style="622"/>
    <col min="14349" max="14349" width="10.88671875" style="622" customWidth="1"/>
    <col min="14350" max="14350" width="12.44140625" style="622" customWidth="1"/>
    <col min="14351" max="14593" width="9.109375" style="622"/>
    <col min="14594" max="14594" width="36.88671875" style="622" customWidth="1"/>
    <col min="14595" max="14595" width="9.109375" style="622"/>
    <col min="14596" max="14598" width="10.109375" style="622" customWidth="1"/>
    <col min="14599" max="14600" width="10.88671875" style="622" customWidth="1"/>
    <col min="14601" max="14601" width="9.109375" style="622"/>
    <col min="14602" max="14603" width="11.6640625" style="622" bestFit="1" customWidth="1"/>
    <col min="14604" max="14604" width="9.109375" style="622"/>
    <col min="14605" max="14605" width="10.88671875" style="622" customWidth="1"/>
    <col min="14606" max="14606" width="12.44140625" style="622" customWidth="1"/>
    <col min="14607" max="14849" width="9.109375" style="622"/>
    <col min="14850" max="14850" width="36.88671875" style="622" customWidth="1"/>
    <col min="14851" max="14851" width="9.109375" style="622"/>
    <col min="14852" max="14854" width="10.109375" style="622" customWidth="1"/>
    <col min="14855" max="14856" width="10.88671875" style="622" customWidth="1"/>
    <col min="14857" max="14857" width="9.109375" style="622"/>
    <col min="14858" max="14859" width="11.6640625" style="622" bestFit="1" customWidth="1"/>
    <col min="14860" max="14860" width="9.109375" style="622"/>
    <col min="14861" max="14861" width="10.88671875" style="622" customWidth="1"/>
    <col min="14862" max="14862" width="12.44140625" style="622" customWidth="1"/>
    <col min="14863" max="15105" width="9.109375" style="622"/>
    <col min="15106" max="15106" width="36.88671875" style="622" customWidth="1"/>
    <col min="15107" max="15107" width="9.109375" style="622"/>
    <col min="15108" max="15110" width="10.109375" style="622" customWidth="1"/>
    <col min="15111" max="15112" width="10.88671875" style="622" customWidth="1"/>
    <col min="15113" max="15113" width="9.109375" style="622"/>
    <col min="15114" max="15115" width="11.6640625" style="622" bestFit="1" customWidth="1"/>
    <col min="15116" max="15116" width="9.109375" style="622"/>
    <col min="15117" max="15117" width="10.88671875" style="622" customWidth="1"/>
    <col min="15118" max="15118" width="12.44140625" style="622" customWidth="1"/>
    <col min="15119" max="15361" width="9.109375" style="622"/>
    <col min="15362" max="15362" width="36.88671875" style="622" customWidth="1"/>
    <col min="15363" max="15363" width="9.109375" style="622"/>
    <col min="15364" max="15366" width="10.109375" style="622" customWidth="1"/>
    <col min="15367" max="15368" width="10.88671875" style="622" customWidth="1"/>
    <col min="15369" max="15369" width="9.109375" style="622"/>
    <col min="15370" max="15371" width="11.6640625" style="622" bestFit="1" customWidth="1"/>
    <col min="15372" max="15372" width="9.109375" style="622"/>
    <col min="15373" max="15373" width="10.88671875" style="622" customWidth="1"/>
    <col min="15374" max="15374" width="12.44140625" style="622" customWidth="1"/>
    <col min="15375" max="15617" width="9.109375" style="622"/>
    <col min="15618" max="15618" width="36.88671875" style="622" customWidth="1"/>
    <col min="15619" max="15619" width="9.109375" style="622"/>
    <col min="15620" max="15622" width="10.109375" style="622" customWidth="1"/>
    <col min="15623" max="15624" width="10.88671875" style="622" customWidth="1"/>
    <col min="15625" max="15625" width="9.109375" style="622"/>
    <col min="15626" max="15627" width="11.6640625" style="622" bestFit="1" customWidth="1"/>
    <col min="15628" max="15628" width="9.109375" style="622"/>
    <col min="15629" max="15629" width="10.88671875" style="622" customWidth="1"/>
    <col min="15630" max="15630" width="12.44140625" style="622" customWidth="1"/>
    <col min="15631" max="15873" width="9.109375" style="622"/>
    <col min="15874" max="15874" width="36.88671875" style="622" customWidth="1"/>
    <col min="15875" max="15875" width="9.109375" style="622"/>
    <col min="15876" max="15878" width="10.109375" style="622" customWidth="1"/>
    <col min="15879" max="15880" width="10.88671875" style="622" customWidth="1"/>
    <col min="15881" max="15881" width="9.109375" style="622"/>
    <col min="15882" max="15883" width="11.6640625" style="622" bestFit="1" customWidth="1"/>
    <col min="15884" max="15884" width="9.109375" style="622"/>
    <col min="15885" max="15885" width="10.88671875" style="622" customWidth="1"/>
    <col min="15886" max="15886" width="12.44140625" style="622" customWidth="1"/>
    <col min="15887" max="16129" width="9.109375" style="622"/>
    <col min="16130" max="16130" width="36.88671875" style="622" customWidth="1"/>
    <col min="16131" max="16131" width="9.109375" style="622"/>
    <col min="16132" max="16134" width="10.109375" style="622" customWidth="1"/>
    <col min="16135" max="16136" width="10.88671875" style="622" customWidth="1"/>
    <col min="16137" max="16137" width="9.109375" style="622"/>
    <col min="16138" max="16139" width="11.6640625" style="622" bestFit="1" customWidth="1"/>
    <col min="16140" max="16140" width="9.109375" style="622"/>
    <col min="16141" max="16141" width="10.88671875" style="622" customWidth="1"/>
    <col min="16142" max="16142" width="12.44140625" style="622" customWidth="1"/>
    <col min="16143" max="16384" width="9.109375" style="622"/>
  </cols>
  <sheetData>
    <row r="1" spans="1:14" ht="12.75" customHeight="1">
      <c r="A1" s="1567" t="s">
        <v>491</v>
      </c>
      <c r="B1" s="1215"/>
      <c r="C1" s="1215"/>
      <c r="D1" s="1215"/>
      <c r="E1" s="1215"/>
      <c r="F1" s="1215"/>
      <c r="G1" s="1215"/>
      <c r="H1" s="1614"/>
      <c r="I1" s="1615" t="s">
        <v>492</v>
      </c>
      <c r="J1" s="1569"/>
      <c r="K1" s="1569"/>
      <c r="L1" s="1569"/>
      <c r="M1" s="1569"/>
      <c r="N1" s="1591" t="s">
        <v>338</v>
      </c>
    </row>
    <row r="2" spans="1:14" ht="9" customHeight="1">
      <c r="A2" s="1621"/>
      <c r="B2" s="1618"/>
      <c r="C2" s="1618"/>
      <c r="D2" s="1618"/>
      <c r="E2" s="1618"/>
      <c r="F2" s="1618"/>
      <c r="G2" s="1618"/>
      <c r="H2" s="1618"/>
      <c r="I2" s="1616"/>
      <c r="J2" s="1571"/>
      <c r="K2" s="1571"/>
      <c r="L2" s="1571"/>
      <c r="M2" s="1571"/>
      <c r="N2" s="1592"/>
    </row>
    <row r="3" spans="1:14" ht="11.25" customHeight="1">
      <c r="A3" s="749" t="s">
        <v>745</v>
      </c>
      <c r="B3" s="748" t="str">
        <f>'F1 Forecast Consultant'!C3</f>
        <v>Western</v>
      </c>
      <c r="I3" s="1619" t="s">
        <v>493</v>
      </c>
      <c r="J3" s="1577"/>
      <c r="K3" s="1578">
        <f>'F1  Cover'!K8</f>
        <v>1</v>
      </c>
      <c r="L3" s="1579"/>
      <c r="M3" s="1579"/>
      <c r="N3" s="1580"/>
    </row>
    <row r="4" spans="1:14" ht="13.8" thickBot="1">
      <c r="A4" s="1620"/>
      <c r="B4" s="1610"/>
      <c r="C4" s="1610"/>
      <c r="D4" s="1610"/>
      <c r="E4" s="1610"/>
      <c r="F4" s="1610"/>
      <c r="G4" s="1610"/>
      <c r="H4" s="1610"/>
      <c r="I4" s="1611" t="s">
        <v>494</v>
      </c>
      <c r="J4" s="1612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40.200000000000003" thickBot="1">
      <c r="A6" s="724" t="s">
        <v>98</v>
      </c>
      <c r="B6" s="725" t="s">
        <v>0</v>
      </c>
      <c r="C6" s="718" t="s">
        <v>1</v>
      </c>
      <c r="D6" s="766" t="s">
        <v>496</v>
      </c>
      <c r="E6" s="767" t="s">
        <v>497</v>
      </c>
      <c r="F6" s="767" t="s">
        <v>498</v>
      </c>
      <c r="G6" s="767" t="s">
        <v>499</v>
      </c>
      <c r="H6" s="76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Sums'!K418-'C3.9'!F9</f>
        <v>0</v>
      </c>
      <c r="H9" s="632">
        <f>F9+G9</f>
        <v>0</v>
      </c>
      <c r="I9" s="733">
        <f>'Pricing Schedule'!F354</f>
        <v>18000000</v>
      </c>
      <c r="J9" s="631">
        <f>D9*I9</f>
        <v>18000000</v>
      </c>
      <c r="K9" s="631">
        <f>E9*I9</f>
        <v>18000000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18000000</v>
      </c>
      <c r="E10" s="631">
        <f>K9</f>
        <v>18000000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Sums'!K426-'C3.9'!F11</f>
        <v>0</v>
      </c>
      <c r="H11" s="632">
        <f>F11+G11</f>
        <v>0</v>
      </c>
      <c r="I11" s="733">
        <f>'Pricing Schedule'!F356</f>
        <v>250000</v>
      </c>
      <c r="J11" s="631">
        <f>D11*I11</f>
        <v>250000</v>
      </c>
      <c r="K11" s="631">
        <f>E11*I11</f>
        <v>250000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250000</v>
      </c>
      <c r="E12" s="631">
        <f>K11</f>
        <v>250000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60" t="s">
        <v>506</v>
      </c>
      <c r="B13" s="1560"/>
      <c r="C13" s="1560"/>
      <c r="D13" s="716"/>
      <c r="E13" s="717"/>
      <c r="F13" s="717"/>
      <c r="G13" s="717"/>
      <c r="H13" s="718"/>
      <c r="I13" s="716"/>
      <c r="J13" s="720">
        <f>SUM(J8:J12)</f>
        <v>18250000</v>
      </c>
      <c r="K13" s="720">
        <f>SUM(K8:K12)</f>
        <v>18250000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" customHeight="1">
      <c r="A16" s="817" t="s">
        <v>651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" customHeight="1">
      <c r="A17" s="622" t="s">
        <v>653</v>
      </c>
      <c r="J17" s="735">
        <f>J9+J10+J11+J12</f>
        <v>18250000</v>
      </c>
      <c r="K17" s="735">
        <f t="shared" ref="K17:N17" si="3">K9+K10+K11+K12</f>
        <v>18250000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" customHeight="1" thickBot="1">
      <c r="A18" s="622" t="s">
        <v>652</v>
      </c>
      <c r="J18" s="785">
        <f>SUM(J16:J17)</f>
        <v>18250000</v>
      </c>
      <c r="K18" s="785">
        <f t="shared" ref="K18:N18" si="4">SUM(K16:K17)</f>
        <v>18250000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8" thickTop="1"/>
  </sheetData>
  <mergeCells count="10">
    <mergeCell ref="A13:C13"/>
    <mergeCell ref="A1:H1"/>
    <mergeCell ref="A2:H2"/>
    <mergeCell ref="I3:J3"/>
    <mergeCell ref="I1:M2"/>
    <mergeCell ref="N1:N2"/>
    <mergeCell ref="K3:N3"/>
    <mergeCell ref="A4:H4"/>
    <mergeCell ref="I4:J4"/>
    <mergeCell ref="K4:N4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3.2"/>
  <cols>
    <col min="1" max="1" width="9.33203125" style="314" bestFit="1" customWidth="1"/>
    <col min="2" max="2" width="36.88671875" style="314" customWidth="1"/>
    <col min="3" max="3" width="19.5546875" style="314" customWidth="1"/>
    <col min="4" max="8" width="11.6640625" style="314" customWidth="1"/>
    <col min="9" max="9" width="12.5546875" style="314" bestFit="1" customWidth="1"/>
    <col min="10" max="11" width="13" style="314" bestFit="1" customWidth="1"/>
    <col min="12" max="12" width="12.44140625" style="314" customWidth="1"/>
    <col min="13" max="13" width="11.44140625" style="314" bestFit="1" customWidth="1"/>
    <col min="14" max="14" width="11.88671875" style="314" bestFit="1" customWidth="1"/>
    <col min="15" max="257" width="9.109375" style="314"/>
    <col min="258" max="258" width="36.88671875" style="314" customWidth="1"/>
    <col min="259" max="259" width="9.109375" style="314"/>
    <col min="260" max="262" width="10.109375" style="314" customWidth="1"/>
    <col min="263" max="264" width="10.88671875" style="314" customWidth="1"/>
    <col min="265" max="265" width="9.109375" style="314"/>
    <col min="266" max="267" width="11.6640625" style="314" bestFit="1" customWidth="1"/>
    <col min="268" max="268" width="9.109375" style="314"/>
    <col min="269" max="269" width="10.88671875" style="314" customWidth="1"/>
    <col min="270" max="270" width="12.44140625" style="314" customWidth="1"/>
    <col min="271" max="513" width="9.109375" style="314"/>
    <col min="514" max="514" width="36.88671875" style="314" customWidth="1"/>
    <col min="515" max="515" width="9.109375" style="314"/>
    <col min="516" max="518" width="10.109375" style="314" customWidth="1"/>
    <col min="519" max="520" width="10.88671875" style="314" customWidth="1"/>
    <col min="521" max="521" width="9.109375" style="314"/>
    <col min="522" max="523" width="11.6640625" style="314" bestFit="1" customWidth="1"/>
    <col min="524" max="524" width="9.109375" style="314"/>
    <col min="525" max="525" width="10.88671875" style="314" customWidth="1"/>
    <col min="526" max="526" width="12.44140625" style="314" customWidth="1"/>
    <col min="527" max="769" width="9.109375" style="314"/>
    <col min="770" max="770" width="36.88671875" style="314" customWidth="1"/>
    <col min="771" max="771" width="9.109375" style="314"/>
    <col min="772" max="774" width="10.109375" style="314" customWidth="1"/>
    <col min="775" max="776" width="10.88671875" style="314" customWidth="1"/>
    <col min="777" max="777" width="9.109375" style="314"/>
    <col min="778" max="779" width="11.6640625" style="314" bestFit="1" customWidth="1"/>
    <col min="780" max="780" width="9.109375" style="314"/>
    <col min="781" max="781" width="10.88671875" style="314" customWidth="1"/>
    <col min="782" max="782" width="12.44140625" style="314" customWidth="1"/>
    <col min="783" max="1025" width="9.109375" style="314"/>
    <col min="1026" max="1026" width="36.88671875" style="314" customWidth="1"/>
    <col min="1027" max="1027" width="9.109375" style="314"/>
    <col min="1028" max="1030" width="10.109375" style="314" customWidth="1"/>
    <col min="1031" max="1032" width="10.88671875" style="314" customWidth="1"/>
    <col min="1033" max="1033" width="9.109375" style="314"/>
    <col min="1034" max="1035" width="11.6640625" style="314" bestFit="1" customWidth="1"/>
    <col min="1036" max="1036" width="9.109375" style="314"/>
    <col min="1037" max="1037" width="10.88671875" style="314" customWidth="1"/>
    <col min="1038" max="1038" width="12.44140625" style="314" customWidth="1"/>
    <col min="1039" max="1281" width="9.109375" style="314"/>
    <col min="1282" max="1282" width="36.88671875" style="314" customWidth="1"/>
    <col min="1283" max="1283" width="9.109375" style="314"/>
    <col min="1284" max="1286" width="10.109375" style="314" customWidth="1"/>
    <col min="1287" max="1288" width="10.88671875" style="314" customWidth="1"/>
    <col min="1289" max="1289" width="9.109375" style="314"/>
    <col min="1290" max="1291" width="11.6640625" style="314" bestFit="1" customWidth="1"/>
    <col min="1292" max="1292" width="9.109375" style="314"/>
    <col min="1293" max="1293" width="10.88671875" style="314" customWidth="1"/>
    <col min="1294" max="1294" width="12.44140625" style="314" customWidth="1"/>
    <col min="1295" max="1537" width="9.109375" style="314"/>
    <col min="1538" max="1538" width="36.88671875" style="314" customWidth="1"/>
    <col min="1539" max="1539" width="9.109375" style="314"/>
    <col min="1540" max="1542" width="10.109375" style="314" customWidth="1"/>
    <col min="1543" max="1544" width="10.88671875" style="314" customWidth="1"/>
    <col min="1545" max="1545" width="9.109375" style="314"/>
    <col min="1546" max="1547" width="11.6640625" style="314" bestFit="1" customWidth="1"/>
    <col min="1548" max="1548" width="9.109375" style="314"/>
    <col min="1549" max="1549" width="10.88671875" style="314" customWidth="1"/>
    <col min="1550" max="1550" width="12.44140625" style="314" customWidth="1"/>
    <col min="1551" max="1793" width="9.109375" style="314"/>
    <col min="1794" max="1794" width="36.88671875" style="314" customWidth="1"/>
    <col min="1795" max="1795" width="9.109375" style="314"/>
    <col min="1796" max="1798" width="10.109375" style="314" customWidth="1"/>
    <col min="1799" max="1800" width="10.88671875" style="314" customWidth="1"/>
    <col min="1801" max="1801" width="9.109375" style="314"/>
    <col min="1802" max="1803" width="11.6640625" style="314" bestFit="1" customWidth="1"/>
    <col min="1804" max="1804" width="9.109375" style="314"/>
    <col min="1805" max="1805" width="10.88671875" style="314" customWidth="1"/>
    <col min="1806" max="1806" width="12.44140625" style="314" customWidth="1"/>
    <col min="1807" max="2049" width="9.109375" style="314"/>
    <col min="2050" max="2050" width="36.88671875" style="314" customWidth="1"/>
    <col min="2051" max="2051" width="9.109375" style="314"/>
    <col min="2052" max="2054" width="10.109375" style="314" customWidth="1"/>
    <col min="2055" max="2056" width="10.88671875" style="314" customWidth="1"/>
    <col min="2057" max="2057" width="9.109375" style="314"/>
    <col min="2058" max="2059" width="11.6640625" style="314" bestFit="1" customWidth="1"/>
    <col min="2060" max="2060" width="9.109375" style="314"/>
    <col min="2061" max="2061" width="10.88671875" style="314" customWidth="1"/>
    <col min="2062" max="2062" width="12.44140625" style="314" customWidth="1"/>
    <col min="2063" max="2305" width="9.109375" style="314"/>
    <col min="2306" max="2306" width="36.88671875" style="314" customWidth="1"/>
    <col min="2307" max="2307" width="9.109375" style="314"/>
    <col min="2308" max="2310" width="10.109375" style="314" customWidth="1"/>
    <col min="2311" max="2312" width="10.88671875" style="314" customWidth="1"/>
    <col min="2313" max="2313" width="9.109375" style="314"/>
    <col min="2314" max="2315" width="11.6640625" style="314" bestFit="1" customWidth="1"/>
    <col min="2316" max="2316" width="9.109375" style="314"/>
    <col min="2317" max="2317" width="10.88671875" style="314" customWidth="1"/>
    <col min="2318" max="2318" width="12.44140625" style="314" customWidth="1"/>
    <col min="2319" max="2561" width="9.109375" style="314"/>
    <col min="2562" max="2562" width="36.88671875" style="314" customWidth="1"/>
    <col min="2563" max="2563" width="9.109375" style="314"/>
    <col min="2564" max="2566" width="10.109375" style="314" customWidth="1"/>
    <col min="2567" max="2568" width="10.88671875" style="314" customWidth="1"/>
    <col min="2569" max="2569" width="9.109375" style="314"/>
    <col min="2570" max="2571" width="11.6640625" style="314" bestFit="1" customWidth="1"/>
    <col min="2572" max="2572" width="9.109375" style="314"/>
    <col min="2573" max="2573" width="10.88671875" style="314" customWidth="1"/>
    <col min="2574" max="2574" width="12.44140625" style="314" customWidth="1"/>
    <col min="2575" max="2817" width="9.109375" style="314"/>
    <col min="2818" max="2818" width="36.88671875" style="314" customWidth="1"/>
    <col min="2819" max="2819" width="9.109375" style="314"/>
    <col min="2820" max="2822" width="10.109375" style="314" customWidth="1"/>
    <col min="2823" max="2824" width="10.88671875" style="314" customWidth="1"/>
    <col min="2825" max="2825" width="9.109375" style="314"/>
    <col min="2826" max="2827" width="11.6640625" style="314" bestFit="1" customWidth="1"/>
    <col min="2828" max="2828" width="9.109375" style="314"/>
    <col min="2829" max="2829" width="10.88671875" style="314" customWidth="1"/>
    <col min="2830" max="2830" width="12.44140625" style="314" customWidth="1"/>
    <col min="2831" max="3073" width="9.109375" style="314"/>
    <col min="3074" max="3074" width="36.88671875" style="314" customWidth="1"/>
    <col min="3075" max="3075" width="9.109375" style="314"/>
    <col min="3076" max="3078" width="10.109375" style="314" customWidth="1"/>
    <col min="3079" max="3080" width="10.88671875" style="314" customWidth="1"/>
    <col min="3081" max="3081" width="9.109375" style="314"/>
    <col min="3082" max="3083" width="11.6640625" style="314" bestFit="1" customWidth="1"/>
    <col min="3084" max="3084" width="9.109375" style="314"/>
    <col min="3085" max="3085" width="10.88671875" style="314" customWidth="1"/>
    <col min="3086" max="3086" width="12.44140625" style="314" customWidth="1"/>
    <col min="3087" max="3329" width="9.109375" style="314"/>
    <col min="3330" max="3330" width="36.88671875" style="314" customWidth="1"/>
    <col min="3331" max="3331" width="9.109375" style="314"/>
    <col min="3332" max="3334" width="10.109375" style="314" customWidth="1"/>
    <col min="3335" max="3336" width="10.88671875" style="314" customWidth="1"/>
    <col min="3337" max="3337" width="9.109375" style="314"/>
    <col min="3338" max="3339" width="11.6640625" style="314" bestFit="1" customWidth="1"/>
    <col min="3340" max="3340" width="9.109375" style="314"/>
    <col min="3341" max="3341" width="10.88671875" style="314" customWidth="1"/>
    <col min="3342" max="3342" width="12.44140625" style="314" customWidth="1"/>
    <col min="3343" max="3585" width="9.109375" style="314"/>
    <col min="3586" max="3586" width="36.88671875" style="314" customWidth="1"/>
    <col min="3587" max="3587" width="9.109375" style="314"/>
    <col min="3588" max="3590" width="10.109375" style="314" customWidth="1"/>
    <col min="3591" max="3592" width="10.88671875" style="314" customWidth="1"/>
    <col min="3593" max="3593" width="9.109375" style="314"/>
    <col min="3594" max="3595" width="11.6640625" style="314" bestFit="1" customWidth="1"/>
    <col min="3596" max="3596" width="9.109375" style="314"/>
    <col min="3597" max="3597" width="10.88671875" style="314" customWidth="1"/>
    <col min="3598" max="3598" width="12.44140625" style="314" customWidth="1"/>
    <col min="3599" max="3841" width="9.109375" style="314"/>
    <col min="3842" max="3842" width="36.88671875" style="314" customWidth="1"/>
    <col min="3843" max="3843" width="9.109375" style="314"/>
    <col min="3844" max="3846" width="10.109375" style="314" customWidth="1"/>
    <col min="3847" max="3848" width="10.88671875" style="314" customWidth="1"/>
    <col min="3849" max="3849" width="9.109375" style="314"/>
    <col min="3850" max="3851" width="11.6640625" style="314" bestFit="1" customWidth="1"/>
    <col min="3852" max="3852" width="9.109375" style="314"/>
    <col min="3853" max="3853" width="10.88671875" style="314" customWidth="1"/>
    <col min="3854" max="3854" width="12.44140625" style="314" customWidth="1"/>
    <col min="3855" max="4097" width="9.109375" style="314"/>
    <col min="4098" max="4098" width="36.88671875" style="314" customWidth="1"/>
    <col min="4099" max="4099" width="9.109375" style="314"/>
    <col min="4100" max="4102" width="10.109375" style="314" customWidth="1"/>
    <col min="4103" max="4104" width="10.88671875" style="314" customWidth="1"/>
    <col min="4105" max="4105" width="9.109375" style="314"/>
    <col min="4106" max="4107" width="11.6640625" style="314" bestFit="1" customWidth="1"/>
    <col min="4108" max="4108" width="9.109375" style="314"/>
    <col min="4109" max="4109" width="10.88671875" style="314" customWidth="1"/>
    <col min="4110" max="4110" width="12.44140625" style="314" customWidth="1"/>
    <col min="4111" max="4353" width="9.109375" style="314"/>
    <col min="4354" max="4354" width="36.88671875" style="314" customWidth="1"/>
    <col min="4355" max="4355" width="9.109375" style="314"/>
    <col min="4356" max="4358" width="10.109375" style="314" customWidth="1"/>
    <col min="4359" max="4360" width="10.88671875" style="314" customWidth="1"/>
    <col min="4361" max="4361" width="9.109375" style="314"/>
    <col min="4362" max="4363" width="11.6640625" style="314" bestFit="1" customWidth="1"/>
    <col min="4364" max="4364" width="9.109375" style="314"/>
    <col min="4365" max="4365" width="10.88671875" style="314" customWidth="1"/>
    <col min="4366" max="4366" width="12.44140625" style="314" customWidth="1"/>
    <col min="4367" max="4609" width="9.109375" style="314"/>
    <col min="4610" max="4610" width="36.88671875" style="314" customWidth="1"/>
    <col min="4611" max="4611" width="9.109375" style="314"/>
    <col min="4612" max="4614" width="10.109375" style="314" customWidth="1"/>
    <col min="4615" max="4616" width="10.88671875" style="314" customWidth="1"/>
    <col min="4617" max="4617" width="9.109375" style="314"/>
    <col min="4618" max="4619" width="11.6640625" style="314" bestFit="1" customWidth="1"/>
    <col min="4620" max="4620" width="9.109375" style="314"/>
    <col min="4621" max="4621" width="10.88671875" style="314" customWidth="1"/>
    <col min="4622" max="4622" width="12.44140625" style="314" customWidth="1"/>
    <col min="4623" max="4865" width="9.109375" style="314"/>
    <col min="4866" max="4866" width="36.88671875" style="314" customWidth="1"/>
    <col min="4867" max="4867" width="9.109375" style="314"/>
    <col min="4868" max="4870" width="10.109375" style="314" customWidth="1"/>
    <col min="4871" max="4872" width="10.88671875" style="314" customWidth="1"/>
    <col min="4873" max="4873" width="9.109375" style="314"/>
    <col min="4874" max="4875" width="11.6640625" style="314" bestFit="1" customWidth="1"/>
    <col min="4876" max="4876" width="9.109375" style="314"/>
    <col min="4877" max="4877" width="10.88671875" style="314" customWidth="1"/>
    <col min="4878" max="4878" width="12.44140625" style="314" customWidth="1"/>
    <col min="4879" max="5121" width="9.109375" style="314"/>
    <col min="5122" max="5122" width="36.88671875" style="314" customWidth="1"/>
    <col min="5123" max="5123" width="9.109375" style="314"/>
    <col min="5124" max="5126" width="10.109375" style="314" customWidth="1"/>
    <col min="5127" max="5128" width="10.88671875" style="314" customWidth="1"/>
    <col min="5129" max="5129" width="9.109375" style="314"/>
    <col min="5130" max="5131" width="11.6640625" style="314" bestFit="1" customWidth="1"/>
    <col min="5132" max="5132" width="9.109375" style="314"/>
    <col min="5133" max="5133" width="10.88671875" style="314" customWidth="1"/>
    <col min="5134" max="5134" width="12.44140625" style="314" customWidth="1"/>
    <col min="5135" max="5377" width="9.109375" style="314"/>
    <col min="5378" max="5378" width="36.88671875" style="314" customWidth="1"/>
    <col min="5379" max="5379" width="9.109375" style="314"/>
    <col min="5380" max="5382" width="10.109375" style="314" customWidth="1"/>
    <col min="5383" max="5384" width="10.88671875" style="314" customWidth="1"/>
    <col min="5385" max="5385" width="9.109375" style="314"/>
    <col min="5386" max="5387" width="11.6640625" style="314" bestFit="1" customWidth="1"/>
    <col min="5388" max="5388" width="9.109375" style="314"/>
    <col min="5389" max="5389" width="10.88671875" style="314" customWidth="1"/>
    <col min="5390" max="5390" width="12.44140625" style="314" customWidth="1"/>
    <col min="5391" max="5633" width="9.109375" style="314"/>
    <col min="5634" max="5634" width="36.88671875" style="314" customWidth="1"/>
    <col min="5635" max="5635" width="9.109375" style="314"/>
    <col min="5636" max="5638" width="10.109375" style="314" customWidth="1"/>
    <col min="5639" max="5640" width="10.88671875" style="314" customWidth="1"/>
    <col min="5641" max="5641" width="9.109375" style="314"/>
    <col min="5642" max="5643" width="11.6640625" style="314" bestFit="1" customWidth="1"/>
    <col min="5644" max="5644" width="9.109375" style="314"/>
    <col min="5645" max="5645" width="10.88671875" style="314" customWidth="1"/>
    <col min="5646" max="5646" width="12.44140625" style="314" customWidth="1"/>
    <col min="5647" max="5889" width="9.109375" style="314"/>
    <col min="5890" max="5890" width="36.88671875" style="314" customWidth="1"/>
    <col min="5891" max="5891" width="9.109375" style="314"/>
    <col min="5892" max="5894" width="10.109375" style="314" customWidth="1"/>
    <col min="5895" max="5896" width="10.88671875" style="314" customWidth="1"/>
    <col min="5897" max="5897" width="9.109375" style="314"/>
    <col min="5898" max="5899" width="11.6640625" style="314" bestFit="1" customWidth="1"/>
    <col min="5900" max="5900" width="9.109375" style="314"/>
    <col min="5901" max="5901" width="10.88671875" style="314" customWidth="1"/>
    <col min="5902" max="5902" width="12.44140625" style="314" customWidth="1"/>
    <col min="5903" max="6145" width="9.109375" style="314"/>
    <col min="6146" max="6146" width="36.88671875" style="314" customWidth="1"/>
    <col min="6147" max="6147" width="9.109375" style="314"/>
    <col min="6148" max="6150" width="10.109375" style="314" customWidth="1"/>
    <col min="6151" max="6152" width="10.88671875" style="314" customWidth="1"/>
    <col min="6153" max="6153" width="9.109375" style="314"/>
    <col min="6154" max="6155" width="11.6640625" style="314" bestFit="1" customWidth="1"/>
    <col min="6156" max="6156" width="9.109375" style="314"/>
    <col min="6157" max="6157" width="10.88671875" style="314" customWidth="1"/>
    <col min="6158" max="6158" width="12.44140625" style="314" customWidth="1"/>
    <col min="6159" max="6401" width="9.109375" style="314"/>
    <col min="6402" max="6402" width="36.88671875" style="314" customWidth="1"/>
    <col min="6403" max="6403" width="9.109375" style="314"/>
    <col min="6404" max="6406" width="10.109375" style="314" customWidth="1"/>
    <col min="6407" max="6408" width="10.88671875" style="314" customWidth="1"/>
    <col min="6409" max="6409" width="9.109375" style="314"/>
    <col min="6410" max="6411" width="11.6640625" style="314" bestFit="1" customWidth="1"/>
    <col min="6412" max="6412" width="9.109375" style="314"/>
    <col min="6413" max="6413" width="10.88671875" style="314" customWidth="1"/>
    <col min="6414" max="6414" width="12.44140625" style="314" customWidth="1"/>
    <col min="6415" max="6657" width="9.109375" style="314"/>
    <col min="6658" max="6658" width="36.88671875" style="314" customWidth="1"/>
    <col min="6659" max="6659" width="9.109375" style="314"/>
    <col min="6660" max="6662" width="10.109375" style="314" customWidth="1"/>
    <col min="6663" max="6664" width="10.88671875" style="314" customWidth="1"/>
    <col min="6665" max="6665" width="9.109375" style="314"/>
    <col min="6666" max="6667" width="11.6640625" style="314" bestFit="1" customWidth="1"/>
    <col min="6668" max="6668" width="9.109375" style="314"/>
    <col min="6669" max="6669" width="10.88671875" style="314" customWidth="1"/>
    <col min="6670" max="6670" width="12.44140625" style="314" customWidth="1"/>
    <col min="6671" max="6913" width="9.109375" style="314"/>
    <col min="6914" max="6914" width="36.88671875" style="314" customWidth="1"/>
    <col min="6915" max="6915" width="9.109375" style="314"/>
    <col min="6916" max="6918" width="10.109375" style="314" customWidth="1"/>
    <col min="6919" max="6920" width="10.88671875" style="314" customWidth="1"/>
    <col min="6921" max="6921" width="9.109375" style="314"/>
    <col min="6922" max="6923" width="11.6640625" style="314" bestFit="1" customWidth="1"/>
    <col min="6924" max="6924" width="9.109375" style="314"/>
    <col min="6925" max="6925" width="10.88671875" style="314" customWidth="1"/>
    <col min="6926" max="6926" width="12.44140625" style="314" customWidth="1"/>
    <col min="6927" max="7169" width="9.109375" style="314"/>
    <col min="7170" max="7170" width="36.88671875" style="314" customWidth="1"/>
    <col min="7171" max="7171" width="9.109375" style="314"/>
    <col min="7172" max="7174" width="10.109375" style="314" customWidth="1"/>
    <col min="7175" max="7176" width="10.88671875" style="314" customWidth="1"/>
    <col min="7177" max="7177" width="9.109375" style="314"/>
    <col min="7178" max="7179" width="11.6640625" style="314" bestFit="1" customWidth="1"/>
    <col min="7180" max="7180" width="9.109375" style="314"/>
    <col min="7181" max="7181" width="10.88671875" style="314" customWidth="1"/>
    <col min="7182" max="7182" width="12.44140625" style="314" customWidth="1"/>
    <col min="7183" max="7425" width="9.109375" style="314"/>
    <col min="7426" max="7426" width="36.88671875" style="314" customWidth="1"/>
    <col min="7427" max="7427" width="9.109375" style="314"/>
    <col min="7428" max="7430" width="10.109375" style="314" customWidth="1"/>
    <col min="7431" max="7432" width="10.88671875" style="314" customWidth="1"/>
    <col min="7433" max="7433" width="9.109375" style="314"/>
    <col min="7434" max="7435" width="11.6640625" style="314" bestFit="1" customWidth="1"/>
    <col min="7436" max="7436" width="9.109375" style="314"/>
    <col min="7437" max="7437" width="10.88671875" style="314" customWidth="1"/>
    <col min="7438" max="7438" width="12.44140625" style="314" customWidth="1"/>
    <col min="7439" max="7681" width="9.109375" style="314"/>
    <col min="7682" max="7682" width="36.88671875" style="314" customWidth="1"/>
    <col min="7683" max="7683" width="9.109375" style="314"/>
    <col min="7684" max="7686" width="10.109375" style="314" customWidth="1"/>
    <col min="7687" max="7688" width="10.88671875" style="314" customWidth="1"/>
    <col min="7689" max="7689" width="9.109375" style="314"/>
    <col min="7690" max="7691" width="11.6640625" style="314" bestFit="1" customWidth="1"/>
    <col min="7692" max="7692" width="9.109375" style="314"/>
    <col min="7693" max="7693" width="10.88671875" style="314" customWidth="1"/>
    <col min="7694" max="7694" width="12.44140625" style="314" customWidth="1"/>
    <col min="7695" max="7937" width="9.109375" style="314"/>
    <col min="7938" max="7938" width="36.88671875" style="314" customWidth="1"/>
    <col min="7939" max="7939" width="9.109375" style="314"/>
    <col min="7940" max="7942" width="10.109375" style="314" customWidth="1"/>
    <col min="7943" max="7944" width="10.88671875" style="314" customWidth="1"/>
    <col min="7945" max="7945" width="9.109375" style="314"/>
    <col min="7946" max="7947" width="11.6640625" style="314" bestFit="1" customWidth="1"/>
    <col min="7948" max="7948" width="9.109375" style="314"/>
    <col min="7949" max="7949" width="10.88671875" style="314" customWidth="1"/>
    <col min="7950" max="7950" width="12.44140625" style="314" customWidth="1"/>
    <col min="7951" max="8193" width="9.109375" style="314"/>
    <col min="8194" max="8194" width="36.88671875" style="314" customWidth="1"/>
    <col min="8195" max="8195" width="9.109375" style="314"/>
    <col min="8196" max="8198" width="10.109375" style="314" customWidth="1"/>
    <col min="8199" max="8200" width="10.88671875" style="314" customWidth="1"/>
    <col min="8201" max="8201" width="9.109375" style="314"/>
    <col min="8202" max="8203" width="11.6640625" style="314" bestFit="1" customWidth="1"/>
    <col min="8204" max="8204" width="9.109375" style="314"/>
    <col min="8205" max="8205" width="10.88671875" style="314" customWidth="1"/>
    <col min="8206" max="8206" width="12.44140625" style="314" customWidth="1"/>
    <col min="8207" max="8449" width="9.109375" style="314"/>
    <col min="8450" max="8450" width="36.88671875" style="314" customWidth="1"/>
    <col min="8451" max="8451" width="9.109375" style="314"/>
    <col min="8452" max="8454" width="10.109375" style="314" customWidth="1"/>
    <col min="8455" max="8456" width="10.88671875" style="314" customWidth="1"/>
    <col min="8457" max="8457" width="9.109375" style="314"/>
    <col min="8458" max="8459" width="11.6640625" style="314" bestFit="1" customWidth="1"/>
    <col min="8460" max="8460" width="9.109375" style="314"/>
    <col min="8461" max="8461" width="10.88671875" style="314" customWidth="1"/>
    <col min="8462" max="8462" width="12.44140625" style="314" customWidth="1"/>
    <col min="8463" max="8705" width="9.109375" style="314"/>
    <col min="8706" max="8706" width="36.88671875" style="314" customWidth="1"/>
    <col min="8707" max="8707" width="9.109375" style="314"/>
    <col min="8708" max="8710" width="10.109375" style="314" customWidth="1"/>
    <col min="8711" max="8712" width="10.88671875" style="314" customWidth="1"/>
    <col min="8713" max="8713" width="9.109375" style="314"/>
    <col min="8714" max="8715" width="11.6640625" style="314" bestFit="1" customWidth="1"/>
    <col min="8716" max="8716" width="9.109375" style="314"/>
    <col min="8717" max="8717" width="10.88671875" style="314" customWidth="1"/>
    <col min="8718" max="8718" width="12.44140625" style="314" customWidth="1"/>
    <col min="8719" max="8961" width="9.109375" style="314"/>
    <col min="8962" max="8962" width="36.88671875" style="314" customWidth="1"/>
    <col min="8963" max="8963" width="9.109375" style="314"/>
    <col min="8964" max="8966" width="10.109375" style="314" customWidth="1"/>
    <col min="8967" max="8968" width="10.88671875" style="314" customWidth="1"/>
    <col min="8969" max="8969" width="9.109375" style="314"/>
    <col min="8970" max="8971" width="11.6640625" style="314" bestFit="1" customWidth="1"/>
    <col min="8972" max="8972" width="9.109375" style="314"/>
    <col min="8973" max="8973" width="10.88671875" style="314" customWidth="1"/>
    <col min="8974" max="8974" width="12.44140625" style="314" customWidth="1"/>
    <col min="8975" max="9217" width="9.109375" style="314"/>
    <col min="9218" max="9218" width="36.88671875" style="314" customWidth="1"/>
    <col min="9219" max="9219" width="9.109375" style="314"/>
    <col min="9220" max="9222" width="10.109375" style="314" customWidth="1"/>
    <col min="9223" max="9224" width="10.88671875" style="314" customWidth="1"/>
    <col min="9225" max="9225" width="9.109375" style="314"/>
    <col min="9226" max="9227" width="11.6640625" style="314" bestFit="1" customWidth="1"/>
    <col min="9228" max="9228" width="9.109375" style="314"/>
    <col min="9229" max="9229" width="10.88671875" style="314" customWidth="1"/>
    <col min="9230" max="9230" width="12.44140625" style="314" customWidth="1"/>
    <col min="9231" max="9473" width="9.109375" style="314"/>
    <col min="9474" max="9474" width="36.88671875" style="314" customWidth="1"/>
    <col min="9475" max="9475" width="9.109375" style="314"/>
    <col min="9476" max="9478" width="10.109375" style="314" customWidth="1"/>
    <col min="9479" max="9480" width="10.88671875" style="314" customWidth="1"/>
    <col min="9481" max="9481" width="9.109375" style="314"/>
    <col min="9482" max="9483" width="11.6640625" style="314" bestFit="1" customWidth="1"/>
    <col min="9484" max="9484" width="9.109375" style="314"/>
    <col min="9485" max="9485" width="10.88671875" style="314" customWidth="1"/>
    <col min="9486" max="9486" width="12.44140625" style="314" customWidth="1"/>
    <col min="9487" max="9729" width="9.109375" style="314"/>
    <col min="9730" max="9730" width="36.88671875" style="314" customWidth="1"/>
    <col min="9731" max="9731" width="9.109375" style="314"/>
    <col min="9732" max="9734" width="10.109375" style="314" customWidth="1"/>
    <col min="9735" max="9736" width="10.88671875" style="314" customWidth="1"/>
    <col min="9737" max="9737" width="9.109375" style="314"/>
    <col min="9738" max="9739" width="11.6640625" style="314" bestFit="1" customWidth="1"/>
    <col min="9740" max="9740" width="9.109375" style="314"/>
    <col min="9741" max="9741" width="10.88671875" style="314" customWidth="1"/>
    <col min="9742" max="9742" width="12.44140625" style="314" customWidth="1"/>
    <col min="9743" max="9985" width="9.109375" style="314"/>
    <col min="9986" max="9986" width="36.88671875" style="314" customWidth="1"/>
    <col min="9987" max="9987" width="9.109375" style="314"/>
    <col min="9988" max="9990" width="10.109375" style="314" customWidth="1"/>
    <col min="9991" max="9992" width="10.88671875" style="314" customWidth="1"/>
    <col min="9993" max="9993" width="9.109375" style="314"/>
    <col min="9994" max="9995" width="11.6640625" style="314" bestFit="1" customWidth="1"/>
    <col min="9996" max="9996" width="9.109375" style="314"/>
    <col min="9997" max="9997" width="10.88671875" style="314" customWidth="1"/>
    <col min="9998" max="9998" width="12.44140625" style="314" customWidth="1"/>
    <col min="9999" max="10241" width="9.109375" style="314"/>
    <col min="10242" max="10242" width="36.88671875" style="314" customWidth="1"/>
    <col min="10243" max="10243" width="9.109375" style="314"/>
    <col min="10244" max="10246" width="10.109375" style="314" customWidth="1"/>
    <col min="10247" max="10248" width="10.88671875" style="314" customWidth="1"/>
    <col min="10249" max="10249" width="9.109375" style="314"/>
    <col min="10250" max="10251" width="11.6640625" style="314" bestFit="1" customWidth="1"/>
    <col min="10252" max="10252" width="9.109375" style="314"/>
    <col min="10253" max="10253" width="10.88671875" style="314" customWidth="1"/>
    <col min="10254" max="10254" width="12.44140625" style="314" customWidth="1"/>
    <col min="10255" max="10497" width="9.109375" style="314"/>
    <col min="10498" max="10498" width="36.88671875" style="314" customWidth="1"/>
    <col min="10499" max="10499" width="9.109375" style="314"/>
    <col min="10500" max="10502" width="10.109375" style="314" customWidth="1"/>
    <col min="10503" max="10504" width="10.88671875" style="314" customWidth="1"/>
    <col min="10505" max="10505" width="9.109375" style="314"/>
    <col min="10506" max="10507" width="11.6640625" style="314" bestFit="1" customWidth="1"/>
    <col min="10508" max="10508" width="9.109375" style="314"/>
    <col min="10509" max="10509" width="10.88671875" style="314" customWidth="1"/>
    <col min="10510" max="10510" width="12.44140625" style="314" customWidth="1"/>
    <col min="10511" max="10753" width="9.109375" style="314"/>
    <col min="10754" max="10754" width="36.88671875" style="314" customWidth="1"/>
    <col min="10755" max="10755" width="9.109375" style="314"/>
    <col min="10756" max="10758" width="10.109375" style="314" customWidth="1"/>
    <col min="10759" max="10760" width="10.88671875" style="314" customWidth="1"/>
    <col min="10761" max="10761" width="9.109375" style="314"/>
    <col min="10762" max="10763" width="11.6640625" style="314" bestFit="1" customWidth="1"/>
    <col min="10764" max="10764" width="9.109375" style="314"/>
    <col min="10765" max="10765" width="10.88671875" style="314" customWidth="1"/>
    <col min="10766" max="10766" width="12.44140625" style="314" customWidth="1"/>
    <col min="10767" max="11009" width="9.109375" style="314"/>
    <col min="11010" max="11010" width="36.88671875" style="314" customWidth="1"/>
    <col min="11011" max="11011" width="9.109375" style="314"/>
    <col min="11012" max="11014" width="10.109375" style="314" customWidth="1"/>
    <col min="11015" max="11016" width="10.88671875" style="314" customWidth="1"/>
    <col min="11017" max="11017" width="9.109375" style="314"/>
    <col min="11018" max="11019" width="11.6640625" style="314" bestFit="1" customWidth="1"/>
    <col min="11020" max="11020" width="9.109375" style="314"/>
    <col min="11021" max="11021" width="10.88671875" style="314" customWidth="1"/>
    <col min="11022" max="11022" width="12.44140625" style="314" customWidth="1"/>
    <col min="11023" max="11265" width="9.109375" style="314"/>
    <col min="11266" max="11266" width="36.88671875" style="314" customWidth="1"/>
    <col min="11267" max="11267" width="9.109375" style="314"/>
    <col min="11268" max="11270" width="10.109375" style="314" customWidth="1"/>
    <col min="11271" max="11272" width="10.88671875" style="314" customWidth="1"/>
    <col min="11273" max="11273" width="9.109375" style="314"/>
    <col min="11274" max="11275" width="11.6640625" style="314" bestFit="1" customWidth="1"/>
    <col min="11276" max="11276" width="9.109375" style="314"/>
    <col min="11277" max="11277" width="10.88671875" style="314" customWidth="1"/>
    <col min="11278" max="11278" width="12.44140625" style="314" customWidth="1"/>
    <col min="11279" max="11521" width="9.109375" style="314"/>
    <col min="11522" max="11522" width="36.88671875" style="314" customWidth="1"/>
    <col min="11523" max="11523" width="9.109375" style="314"/>
    <col min="11524" max="11526" width="10.109375" style="314" customWidth="1"/>
    <col min="11527" max="11528" width="10.88671875" style="314" customWidth="1"/>
    <col min="11529" max="11529" width="9.109375" style="314"/>
    <col min="11530" max="11531" width="11.6640625" style="314" bestFit="1" customWidth="1"/>
    <col min="11532" max="11532" width="9.109375" style="314"/>
    <col min="11533" max="11533" width="10.88671875" style="314" customWidth="1"/>
    <col min="11534" max="11534" width="12.44140625" style="314" customWidth="1"/>
    <col min="11535" max="11777" width="9.109375" style="314"/>
    <col min="11778" max="11778" width="36.88671875" style="314" customWidth="1"/>
    <col min="11779" max="11779" width="9.109375" style="314"/>
    <col min="11780" max="11782" width="10.109375" style="314" customWidth="1"/>
    <col min="11783" max="11784" width="10.88671875" style="314" customWidth="1"/>
    <col min="11785" max="11785" width="9.109375" style="314"/>
    <col min="11786" max="11787" width="11.6640625" style="314" bestFit="1" customWidth="1"/>
    <col min="11788" max="11788" width="9.109375" style="314"/>
    <col min="11789" max="11789" width="10.88671875" style="314" customWidth="1"/>
    <col min="11790" max="11790" width="12.44140625" style="314" customWidth="1"/>
    <col min="11791" max="12033" width="9.109375" style="314"/>
    <col min="12034" max="12034" width="36.88671875" style="314" customWidth="1"/>
    <col min="12035" max="12035" width="9.109375" style="314"/>
    <col min="12036" max="12038" width="10.109375" style="314" customWidth="1"/>
    <col min="12039" max="12040" width="10.88671875" style="314" customWidth="1"/>
    <col min="12041" max="12041" width="9.109375" style="314"/>
    <col min="12042" max="12043" width="11.6640625" style="314" bestFit="1" customWidth="1"/>
    <col min="12044" max="12044" width="9.109375" style="314"/>
    <col min="12045" max="12045" width="10.88671875" style="314" customWidth="1"/>
    <col min="12046" max="12046" width="12.44140625" style="314" customWidth="1"/>
    <col min="12047" max="12289" width="9.109375" style="314"/>
    <col min="12290" max="12290" width="36.88671875" style="314" customWidth="1"/>
    <col min="12291" max="12291" width="9.109375" style="314"/>
    <col min="12292" max="12294" width="10.109375" style="314" customWidth="1"/>
    <col min="12295" max="12296" width="10.88671875" style="314" customWidth="1"/>
    <col min="12297" max="12297" width="9.109375" style="314"/>
    <col min="12298" max="12299" width="11.6640625" style="314" bestFit="1" customWidth="1"/>
    <col min="12300" max="12300" width="9.109375" style="314"/>
    <col min="12301" max="12301" width="10.88671875" style="314" customWidth="1"/>
    <col min="12302" max="12302" width="12.44140625" style="314" customWidth="1"/>
    <col min="12303" max="12545" width="9.109375" style="314"/>
    <col min="12546" max="12546" width="36.88671875" style="314" customWidth="1"/>
    <col min="12547" max="12547" width="9.109375" style="314"/>
    <col min="12548" max="12550" width="10.109375" style="314" customWidth="1"/>
    <col min="12551" max="12552" width="10.88671875" style="314" customWidth="1"/>
    <col min="12553" max="12553" width="9.109375" style="314"/>
    <col min="12554" max="12555" width="11.6640625" style="314" bestFit="1" customWidth="1"/>
    <col min="12556" max="12556" width="9.109375" style="314"/>
    <col min="12557" max="12557" width="10.88671875" style="314" customWidth="1"/>
    <col min="12558" max="12558" width="12.44140625" style="314" customWidth="1"/>
    <col min="12559" max="12801" width="9.109375" style="314"/>
    <col min="12802" max="12802" width="36.88671875" style="314" customWidth="1"/>
    <col min="12803" max="12803" width="9.109375" style="314"/>
    <col min="12804" max="12806" width="10.109375" style="314" customWidth="1"/>
    <col min="12807" max="12808" width="10.88671875" style="314" customWidth="1"/>
    <col min="12809" max="12809" width="9.109375" style="314"/>
    <col min="12810" max="12811" width="11.6640625" style="314" bestFit="1" customWidth="1"/>
    <col min="12812" max="12812" width="9.109375" style="314"/>
    <col min="12813" max="12813" width="10.88671875" style="314" customWidth="1"/>
    <col min="12814" max="12814" width="12.44140625" style="314" customWidth="1"/>
    <col min="12815" max="13057" width="9.109375" style="314"/>
    <col min="13058" max="13058" width="36.88671875" style="314" customWidth="1"/>
    <col min="13059" max="13059" width="9.109375" style="314"/>
    <col min="13060" max="13062" width="10.109375" style="314" customWidth="1"/>
    <col min="13063" max="13064" width="10.88671875" style="314" customWidth="1"/>
    <col min="13065" max="13065" width="9.109375" style="314"/>
    <col min="13066" max="13067" width="11.6640625" style="314" bestFit="1" customWidth="1"/>
    <col min="13068" max="13068" width="9.109375" style="314"/>
    <col min="13069" max="13069" width="10.88671875" style="314" customWidth="1"/>
    <col min="13070" max="13070" width="12.44140625" style="314" customWidth="1"/>
    <col min="13071" max="13313" width="9.109375" style="314"/>
    <col min="13314" max="13314" width="36.88671875" style="314" customWidth="1"/>
    <col min="13315" max="13315" width="9.109375" style="314"/>
    <col min="13316" max="13318" width="10.109375" style="314" customWidth="1"/>
    <col min="13319" max="13320" width="10.88671875" style="314" customWidth="1"/>
    <col min="13321" max="13321" width="9.109375" style="314"/>
    <col min="13322" max="13323" width="11.6640625" style="314" bestFit="1" customWidth="1"/>
    <col min="13324" max="13324" width="9.109375" style="314"/>
    <col min="13325" max="13325" width="10.88671875" style="314" customWidth="1"/>
    <col min="13326" max="13326" width="12.44140625" style="314" customWidth="1"/>
    <col min="13327" max="13569" width="9.109375" style="314"/>
    <col min="13570" max="13570" width="36.88671875" style="314" customWidth="1"/>
    <col min="13571" max="13571" width="9.109375" style="314"/>
    <col min="13572" max="13574" width="10.109375" style="314" customWidth="1"/>
    <col min="13575" max="13576" width="10.88671875" style="314" customWidth="1"/>
    <col min="13577" max="13577" width="9.109375" style="314"/>
    <col min="13578" max="13579" width="11.6640625" style="314" bestFit="1" customWidth="1"/>
    <col min="13580" max="13580" width="9.109375" style="314"/>
    <col min="13581" max="13581" width="10.88671875" style="314" customWidth="1"/>
    <col min="13582" max="13582" width="12.44140625" style="314" customWidth="1"/>
    <col min="13583" max="13825" width="9.109375" style="314"/>
    <col min="13826" max="13826" width="36.88671875" style="314" customWidth="1"/>
    <col min="13827" max="13827" width="9.109375" style="314"/>
    <col min="13828" max="13830" width="10.109375" style="314" customWidth="1"/>
    <col min="13831" max="13832" width="10.88671875" style="314" customWidth="1"/>
    <col min="13833" max="13833" width="9.109375" style="314"/>
    <col min="13834" max="13835" width="11.6640625" style="314" bestFit="1" customWidth="1"/>
    <col min="13836" max="13836" width="9.109375" style="314"/>
    <col min="13837" max="13837" width="10.88671875" style="314" customWidth="1"/>
    <col min="13838" max="13838" width="12.44140625" style="314" customWidth="1"/>
    <col min="13839" max="14081" width="9.109375" style="314"/>
    <col min="14082" max="14082" width="36.88671875" style="314" customWidth="1"/>
    <col min="14083" max="14083" width="9.109375" style="314"/>
    <col min="14084" max="14086" width="10.109375" style="314" customWidth="1"/>
    <col min="14087" max="14088" width="10.88671875" style="314" customWidth="1"/>
    <col min="14089" max="14089" width="9.109375" style="314"/>
    <col min="14090" max="14091" width="11.6640625" style="314" bestFit="1" customWidth="1"/>
    <col min="14092" max="14092" width="9.109375" style="314"/>
    <col min="14093" max="14093" width="10.88671875" style="314" customWidth="1"/>
    <col min="14094" max="14094" width="12.44140625" style="314" customWidth="1"/>
    <col min="14095" max="14337" width="9.109375" style="314"/>
    <col min="14338" max="14338" width="36.88671875" style="314" customWidth="1"/>
    <col min="14339" max="14339" width="9.109375" style="314"/>
    <col min="14340" max="14342" width="10.109375" style="314" customWidth="1"/>
    <col min="14343" max="14344" width="10.88671875" style="314" customWidth="1"/>
    <col min="14345" max="14345" width="9.109375" style="314"/>
    <col min="14346" max="14347" width="11.6640625" style="314" bestFit="1" customWidth="1"/>
    <col min="14348" max="14348" width="9.109375" style="314"/>
    <col min="14349" max="14349" width="10.88671875" style="314" customWidth="1"/>
    <col min="14350" max="14350" width="12.44140625" style="314" customWidth="1"/>
    <col min="14351" max="14593" width="9.109375" style="314"/>
    <col min="14594" max="14594" width="36.88671875" style="314" customWidth="1"/>
    <col min="14595" max="14595" width="9.109375" style="314"/>
    <col min="14596" max="14598" width="10.109375" style="314" customWidth="1"/>
    <col min="14599" max="14600" width="10.88671875" style="314" customWidth="1"/>
    <col min="14601" max="14601" width="9.109375" style="314"/>
    <col min="14602" max="14603" width="11.6640625" style="314" bestFit="1" customWidth="1"/>
    <col min="14604" max="14604" width="9.109375" style="314"/>
    <col min="14605" max="14605" width="10.88671875" style="314" customWidth="1"/>
    <col min="14606" max="14606" width="12.44140625" style="314" customWidth="1"/>
    <col min="14607" max="14849" width="9.109375" style="314"/>
    <col min="14850" max="14850" width="36.88671875" style="314" customWidth="1"/>
    <col min="14851" max="14851" width="9.109375" style="314"/>
    <col min="14852" max="14854" width="10.109375" style="314" customWidth="1"/>
    <col min="14855" max="14856" width="10.88671875" style="314" customWidth="1"/>
    <col min="14857" max="14857" width="9.109375" style="314"/>
    <col min="14858" max="14859" width="11.6640625" style="314" bestFit="1" customWidth="1"/>
    <col min="14860" max="14860" width="9.109375" style="314"/>
    <col min="14861" max="14861" width="10.88671875" style="314" customWidth="1"/>
    <col min="14862" max="14862" width="12.44140625" style="314" customWidth="1"/>
    <col min="14863" max="15105" width="9.109375" style="314"/>
    <col min="15106" max="15106" width="36.88671875" style="314" customWidth="1"/>
    <col min="15107" max="15107" width="9.109375" style="314"/>
    <col min="15108" max="15110" width="10.109375" style="314" customWidth="1"/>
    <col min="15111" max="15112" width="10.88671875" style="314" customWidth="1"/>
    <col min="15113" max="15113" width="9.109375" style="314"/>
    <col min="15114" max="15115" width="11.6640625" style="314" bestFit="1" customWidth="1"/>
    <col min="15116" max="15116" width="9.109375" style="314"/>
    <col min="15117" max="15117" width="10.88671875" style="314" customWidth="1"/>
    <col min="15118" max="15118" width="12.44140625" style="314" customWidth="1"/>
    <col min="15119" max="15361" width="9.109375" style="314"/>
    <col min="15362" max="15362" width="36.88671875" style="314" customWidth="1"/>
    <col min="15363" max="15363" width="9.109375" style="314"/>
    <col min="15364" max="15366" width="10.109375" style="314" customWidth="1"/>
    <col min="15367" max="15368" width="10.88671875" style="314" customWidth="1"/>
    <col min="15369" max="15369" width="9.109375" style="314"/>
    <col min="15370" max="15371" width="11.6640625" style="314" bestFit="1" customWidth="1"/>
    <col min="15372" max="15372" width="9.109375" style="314"/>
    <col min="15373" max="15373" width="10.88671875" style="314" customWidth="1"/>
    <col min="15374" max="15374" width="12.44140625" style="314" customWidth="1"/>
    <col min="15375" max="15617" width="9.109375" style="314"/>
    <col min="15618" max="15618" width="36.88671875" style="314" customWidth="1"/>
    <col min="15619" max="15619" width="9.109375" style="314"/>
    <col min="15620" max="15622" width="10.109375" style="314" customWidth="1"/>
    <col min="15623" max="15624" width="10.88671875" style="314" customWidth="1"/>
    <col min="15625" max="15625" width="9.109375" style="314"/>
    <col min="15626" max="15627" width="11.6640625" style="314" bestFit="1" customWidth="1"/>
    <col min="15628" max="15628" width="9.109375" style="314"/>
    <col min="15629" max="15629" width="10.88671875" style="314" customWidth="1"/>
    <col min="15630" max="15630" width="12.44140625" style="314" customWidth="1"/>
    <col min="15631" max="15873" width="9.109375" style="314"/>
    <col min="15874" max="15874" width="36.88671875" style="314" customWidth="1"/>
    <col min="15875" max="15875" width="9.109375" style="314"/>
    <col min="15876" max="15878" width="10.109375" style="314" customWidth="1"/>
    <col min="15879" max="15880" width="10.88671875" style="314" customWidth="1"/>
    <col min="15881" max="15881" width="9.109375" style="314"/>
    <col min="15882" max="15883" width="11.6640625" style="314" bestFit="1" customWidth="1"/>
    <col min="15884" max="15884" width="9.109375" style="314"/>
    <col min="15885" max="15885" width="10.88671875" style="314" customWidth="1"/>
    <col min="15886" max="15886" width="12.44140625" style="314" customWidth="1"/>
    <col min="15887" max="16129" width="9.109375" style="314"/>
    <col min="16130" max="16130" width="36.88671875" style="314" customWidth="1"/>
    <col min="16131" max="16131" width="9.109375" style="314"/>
    <col min="16132" max="16134" width="10.109375" style="314" customWidth="1"/>
    <col min="16135" max="16136" width="10.88671875" style="314" customWidth="1"/>
    <col min="16137" max="16137" width="9.109375" style="314"/>
    <col min="16138" max="16139" width="11.6640625" style="314" bestFit="1" customWidth="1"/>
    <col min="16140" max="16140" width="9.109375" style="314"/>
    <col min="16141" max="16141" width="10.88671875" style="314" customWidth="1"/>
    <col min="16142" max="16142" width="12.44140625" style="314" customWidth="1"/>
    <col min="16143" max="16384" width="9.109375" style="314"/>
  </cols>
  <sheetData>
    <row r="1" spans="1:14" ht="12.75" customHeight="1">
      <c r="A1" s="1622" t="s">
        <v>491</v>
      </c>
      <c r="B1" s="1226"/>
      <c r="C1" s="1226"/>
      <c r="D1" s="1226"/>
      <c r="E1" s="1226"/>
      <c r="F1" s="1226"/>
      <c r="G1" s="1226"/>
      <c r="H1" s="1623"/>
      <c r="I1" s="1615" t="s">
        <v>492</v>
      </c>
      <c r="J1" s="1569"/>
      <c r="K1" s="1569"/>
      <c r="L1" s="1569"/>
      <c r="M1" s="1569"/>
      <c r="N1" s="1591" t="s">
        <v>597</v>
      </c>
    </row>
    <row r="2" spans="1:14" ht="9" customHeight="1">
      <c r="A2" s="1617"/>
      <c r="B2" s="1618"/>
      <c r="C2" s="1618"/>
      <c r="D2" s="1618"/>
      <c r="E2" s="1618"/>
      <c r="F2" s="1618"/>
      <c r="G2" s="1618"/>
      <c r="H2" s="1618"/>
      <c r="I2" s="1616"/>
      <c r="J2" s="1571"/>
      <c r="K2" s="1571"/>
      <c r="L2" s="1571"/>
      <c r="M2" s="1571"/>
      <c r="N2" s="1592"/>
    </row>
    <row r="3" spans="1:14" ht="11.25" customHeight="1">
      <c r="A3" s="749" t="s">
        <v>745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619" t="s">
        <v>493</v>
      </c>
      <c r="J3" s="1577"/>
      <c r="K3" s="1578">
        <f>'F1  Cover'!K8</f>
        <v>1</v>
      </c>
      <c r="L3" s="1579"/>
      <c r="M3" s="1579"/>
      <c r="N3" s="1580"/>
    </row>
    <row r="4" spans="1:14" ht="13.8" thickBot="1">
      <c r="A4" s="1609"/>
      <c r="B4" s="1610"/>
      <c r="C4" s="1610"/>
      <c r="D4" s="1610"/>
      <c r="E4" s="1610"/>
      <c r="F4" s="1610"/>
      <c r="G4" s="1610"/>
      <c r="H4" s="1610"/>
      <c r="I4" s="1611" t="s">
        <v>494</v>
      </c>
      <c r="J4" s="1612"/>
      <c r="K4" s="1601" t="str">
        <f>'F1 Forecast Combined'!E3</f>
        <v>NRA.N.007-040-2024/1F</v>
      </c>
      <c r="L4" s="1601"/>
      <c r="M4" s="1601"/>
      <c r="N4" s="1602"/>
    </row>
    <row r="5" spans="1:14" ht="13.8" thickBot="1">
      <c r="A5" s="727" t="s">
        <v>495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98</v>
      </c>
      <c r="B6" s="725" t="s">
        <v>0</v>
      </c>
      <c r="C6" s="718" t="s">
        <v>1</v>
      </c>
      <c r="D6" s="716" t="s">
        <v>496</v>
      </c>
      <c r="E6" s="717" t="s">
        <v>497</v>
      </c>
      <c r="F6" s="717" t="s">
        <v>498</v>
      </c>
      <c r="G6" s="717" t="s">
        <v>499</v>
      </c>
      <c r="H6" s="718" t="s">
        <v>500</v>
      </c>
      <c r="I6" s="716" t="s">
        <v>3</v>
      </c>
      <c r="J6" s="717" t="s">
        <v>501</v>
      </c>
      <c r="K6" s="717" t="s">
        <v>502</v>
      </c>
      <c r="L6" s="717" t="s">
        <v>503</v>
      </c>
      <c r="M6" s="717" t="s">
        <v>504</v>
      </c>
      <c r="N6" s="718" t="s">
        <v>505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'ADJ-Summary'!$J$13</f>
        <v>0</v>
      </c>
      <c r="K11" s="631">
        <f>'ADJ-Summary'!$J$20</f>
        <v>0</v>
      </c>
      <c r="L11" s="855">
        <f>DATA!$IV$52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'ADJ-Summary'!$J$36</f>
        <v>0</v>
      </c>
      <c r="K14" s="631">
        <f>'ADJ-Summary'!$J$43</f>
        <v>0</v>
      </c>
      <c r="L14" s="855">
        <f>DATA!$IX$52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'ADJ-Summary'!$J$60</f>
        <v>0</v>
      </c>
      <c r="K17" s="631">
        <f>'ADJ-Summary'!$J$67</f>
        <v>0</v>
      </c>
      <c r="L17" s="855">
        <f>DATA!$IZ$52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'ADJ-Summary'!$J$83</f>
        <v>0</v>
      </c>
      <c r="K20" s="631">
        <f>'ADJ-Summary'!$J$90</f>
        <v>0</v>
      </c>
      <c r="L20" s="855">
        <f>DATA!$JB$52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'ADJ-Summary'!$J$106</f>
        <v>0</v>
      </c>
      <c r="K23" s="631">
        <f>'ADJ-Summary'!$J$113</f>
        <v>0</v>
      </c>
      <c r="L23" s="855">
        <f>DATA!$JD$52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'ADJ-Summary'!$J$129</f>
        <v>0</v>
      </c>
      <c r="K26" s="631">
        <f>'ADJ-Summary'!$J$136</f>
        <v>0</v>
      </c>
      <c r="L26" s="855">
        <f>DATA!$JF$52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'ADJ-Summary'!$J$152</f>
        <v>0</v>
      </c>
      <c r="K29" s="631">
        <f>'ADJ-Summary'!$J$159</f>
        <v>0</v>
      </c>
      <c r="L29" s="855">
        <f>DATA!$JH$52</f>
        <v>0</v>
      </c>
      <c r="M29" s="631">
        <f>+(G29+F29)*K29-L29</f>
        <v>0</v>
      </c>
      <c r="N29" s="632">
        <f>L29+M29</f>
        <v>0</v>
      </c>
    </row>
    <row r="30" spans="1:14" ht="31.5" customHeight="1" thickBot="1">
      <c r="A30" s="1560" t="s">
        <v>506</v>
      </c>
      <c r="B30" s="1560"/>
      <c r="C30" s="1560"/>
      <c r="D30" s="716"/>
      <c r="E30" s="717"/>
      <c r="F30" s="717"/>
      <c r="G30" s="717"/>
      <c r="H30" s="718"/>
      <c r="I30" s="716"/>
      <c r="J30" s="720">
        <f>SUM(J8:J29)</f>
        <v>0</v>
      </c>
      <c r="K30" s="720">
        <f>SUM(K8:K29)</f>
        <v>0</v>
      </c>
      <c r="L30" s="720">
        <f>SUM(L8:L29)</f>
        <v>0</v>
      </c>
      <c r="M30" s="720">
        <f>SUM(M8:M29)</f>
        <v>0</v>
      </c>
      <c r="N30" s="721">
        <f>SUM(N8:N29)</f>
        <v>0</v>
      </c>
    </row>
    <row r="33" spans="1:14" ht="30.9" customHeight="1">
      <c r="A33" s="817" t="s">
        <v>651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" customHeight="1">
      <c r="A34" s="622" t="s">
        <v>653</v>
      </c>
      <c r="B34" s="622"/>
      <c r="C34" s="622"/>
      <c r="D34" s="622"/>
      <c r="E34" s="622"/>
      <c r="F34" s="622"/>
      <c r="G34" s="622"/>
      <c r="H34" s="622"/>
      <c r="I34" s="622"/>
      <c r="J34" s="735">
        <f>J10+J11+J13+J14+J16+J17+J19+J20+J22+J23+J25+J26+J28+J29</f>
        <v>0</v>
      </c>
      <c r="K34" s="735">
        <f t="shared" ref="K34:N34" si="0">K10+K11+K13+K14+K16+K17+K19+K20+K22+K23+K25+K26+K28+K29</f>
        <v>0</v>
      </c>
      <c r="L34" s="735">
        <f t="shared" si="0"/>
        <v>0</v>
      </c>
      <c r="M34" s="735">
        <f t="shared" si="0"/>
        <v>0</v>
      </c>
      <c r="N34" s="735">
        <f t="shared" si="0"/>
        <v>0</v>
      </c>
    </row>
    <row r="35" spans="1:14" ht="30.9" customHeight="1" thickBot="1">
      <c r="A35" s="622" t="s">
        <v>652</v>
      </c>
      <c r="B35" s="622"/>
      <c r="C35" s="622"/>
      <c r="D35" s="622"/>
      <c r="E35" s="622"/>
      <c r="F35" s="622"/>
      <c r="G35" s="622"/>
      <c r="H35" s="622"/>
      <c r="I35" s="622"/>
      <c r="J35" s="785">
        <f>SUM(J33:J34)</f>
        <v>0</v>
      </c>
      <c r="K35" s="785">
        <f t="shared" ref="K35:N35" si="1">SUM(K33:K34)</f>
        <v>0</v>
      </c>
      <c r="L35" s="785">
        <f t="shared" si="1"/>
        <v>0</v>
      </c>
      <c r="M35" s="785">
        <f t="shared" si="1"/>
        <v>0</v>
      </c>
      <c r="N35" s="785">
        <f t="shared" si="1"/>
        <v>0</v>
      </c>
    </row>
    <row r="36" spans="1:14" ht="13.8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330" priority="27">
      <formula>H10="ERROR TOO MUCH"</formula>
    </cfRule>
  </conditionalFormatting>
  <conditionalFormatting sqref="E13">
    <cfRule type="expression" dxfId="2329" priority="25">
      <formula>H13="ERROR TOO MUCH"</formula>
    </cfRule>
  </conditionalFormatting>
  <conditionalFormatting sqref="E16">
    <cfRule type="expression" dxfId="2328" priority="23">
      <formula>H16="ERROR TOO MUCH"</formula>
    </cfRule>
  </conditionalFormatting>
  <conditionalFormatting sqref="E19">
    <cfRule type="expression" dxfId="2327" priority="21">
      <formula>H19="ERROR TOO MUCH"</formula>
    </cfRule>
  </conditionalFormatting>
  <conditionalFormatting sqref="E22">
    <cfRule type="expression" dxfId="2326" priority="19">
      <formula>H22="ERROR TOO MUCH"</formula>
    </cfRule>
  </conditionalFormatting>
  <conditionalFormatting sqref="E25">
    <cfRule type="expression" dxfId="2325" priority="17">
      <formula>H25="ERROR TOO MUCH"</formula>
    </cfRule>
  </conditionalFormatting>
  <conditionalFormatting sqref="E28">
    <cfRule type="expression" dxfId="2324" priority="15">
      <formula>H28="ERROR TOO MUCH"</formula>
    </cfRule>
  </conditionalFormatting>
  <conditionalFormatting sqref="H10:H11">
    <cfRule type="containsText" dxfId="2323" priority="7" operator="containsText" text="ERROR">
      <formula>NOT(ISERROR(SEARCH("ERROR",H10)))</formula>
    </cfRule>
  </conditionalFormatting>
  <conditionalFormatting sqref="H13:H14">
    <cfRule type="containsText" dxfId="2322" priority="6" operator="containsText" text="ERROR">
      <formula>NOT(ISERROR(SEARCH("ERROR",H13)))</formula>
    </cfRule>
  </conditionalFormatting>
  <conditionalFormatting sqref="H16:H17">
    <cfRule type="containsText" dxfId="2321" priority="5" operator="containsText" text="ERROR">
      <formula>NOT(ISERROR(SEARCH("ERROR",H16)))</formula>
    </cfRule>
  </conditionalFormatting>
  <conditionalFormatting sqref="H19:H20">
    <cfRule type="containsText" dxfId="2320" priority="4" operator="containsText" text="ERROR">
      <formula>NOT(ISERROR(SEARCH("ERROR",H19)))</formula>
    </cfRule>
  </conditionalFormatting>
  <conditionalFormatting sqref="H22:H23">
    <cfRule type="containsText" dxfId="2319" priority="3" operator="containsText" text="ERROR">
      <formula>NOT(ISERROR(SEARCH("ERROR",H22)))</formula>
    </cfRule>
  </conditionalFormatting>
  <conditionalFormatting sqref="H25:H26">
    <cfRule type="containsText" dxfId="2318" priority="2" operator="containsText" text="ERROR">
      <formula>NOT(ISERROR(SEARCH("ERROR",H25)))</formula>
    </cfRule>
  </conditionalFormatting>
  <conditionalFormatting sqref="H28:H29">
    <cfRule type="containsText" dxfId="2317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3.2"/>
  <cols>
    <col min="1" max="1" width="10.88671875" style="314" customWidth="1"/>
    <col min="2" max="2" width="15.6640625" style="314" customWidth="1"/>
    <col min="3" max="3" width="12.88671875" style="314" customWidth="1"/>
    <col min="4" max="4" width="12.109375" style="314" customWidth="1"/>
    <col min="5" max="5" width="7.6640625" style="314" customWidth="1"/>
    <col min="6" max="6" width="7.33203125" style="314" customWidth="1"/>
    <col min="7" max="7" width="28.6640625" style="314" customWidth="1"/>
    <col min="8" max="8" width="42.6640625" style="314" customWidth="1"/>
    <col min="9" max="256" width="9.109375" style="314"/>
    <col min="257" max="257" width="10.88671875" style="314" customWidth="1"/>
    <col min="258" max="258" width="15.6640625" style="314" customWidth="1"/>
    <col min="259" max="259" width="12.88671875" style="314" customWidth="1"/>
    <col min="260" max="260" width="12.109375" style="314" customWidth="1"/>
    <col min="261" max="261" width="7.6640625" style="314" customWidth="1"/>
    <col min="262" max="262" width="5.33203125" style="314" customWidth="1"/>
    <col min="263" max="263" width="28.6640625" style="314" customWidth="1"/>
    <col min="264" max="264" width="42.6640625" style="314" customWidth="1"/>
    <col min="265" max="512" width="9.109375" style="314"/>
    <col min="513" max="513" width="10.88671875" style="314" customWidth="1"/>
    <col min="514" max="514" width="15.6640625" style="314" customWidth="1"/>
    <col min="515" max="515" width="12.88671875" style="314" customWidth="1"/>
    <col min="516" max="516" width="12.109375" style="314" customWidth="1"/>
    <col min="517" max="517" width="7.6640625" style="314" customWidth="1"/>
    <col min="518" max="518" width="5.33203125" style="314" customWidth="1"/>
    <col min="519" max="519" width="28.6640625" style="314" customWidth="1"/>
    <col min="520" max="520" width="42.6640625" style="314" customWidth="1"/>
    <col min="521" max="768" width="9.109375" style="314"/>
    <col min="769" max="769" width="10.88671875" style="314" customWidth="1"/>
    <col min="770" max="770" width="15.6640625" style="314" customWidth="1"/>
    <col min="771" max="771" width="12.88671875" style="314" customWidth="1"/>
    <col min="772" max="772" width="12.109375" style="314" customWidth="1"/>
    <col min="773" max="773" width="7.6640625" style="314" customWidth="1"/>
    <col min="774" max="774" width="5.33203125" style="314" customWidth="1"/>
    <col min="775" max="775" width="28.6640625" style="314" customWidth="1"/>
    <col min="776" max="776" width="42.6640625" style="314" customWidth="1"/>
    <col min="777" max="1024" width="9.109375" style="314"/>
    <col min="1025" max="1025" width="10.88671875" style="314" customWidth="1"/>
    <col min="1026" max="1026" width="15.6640625" style="314" customWidth="1"/>
    <col min="1027" max="1027" width="12.88671875" style="314" customWidth="1"/>
    <col min="1028" max="1028" width="12.109375" style="314" customWidth="1"/>
    <col min="1029" max="1029" width="7.6640625" style="314" customWidth="1"/>
    <col min="1030" max="1030" width="5.33203125" style="314" customWidth="1"/>
    <col min="1031" max="1031" width="28.6640625" style="314" customWidth="1"/>
    <col min="1032" max="1032" width="42.6640625" style="314" customWidth="1"/>
    <col min="1033" max="1280" width="9.109375" style="314"/>
    <col min="1281" max="1281" width="10.88671875" style="314" customWidth="1"/>
    <col min="1282" max="1282" width="15.6640625" style="314" customWidth="1"/>
    <col min="1283" max="1283" width="12.88671875" style="314" customWidth="1"/>
    <col min="1284" max="1284" width="12.109375" style="314" customWidth="1"/>
    <col min="1285" max="1285" width="7.6640625" style="314" customWidth="1"/>
    <col min="1286" max="1286" width="5.33203125" style="314" customWidth="1"/>
    <col min="1287" max="1287" width="28.6640625" style="314" customWidth="1"/>
    <col min="1288" max="1288" width="42.6640625" style="314" customWidth="1"/>
    <col min="1289" max="1536" width="9.109375" style="314"/>
    <col min="1537" max="1537" width="10.88671875" style="314" customWidth="1"/>
    <col min="1538" max="1538" width="15.6640625" style="314" customWidth="1"/>
    <col min="1539" max="1539" width="12.88671875" style="314" customWidth="1"/>
    <col min="1540" max="1540" width="12.109375" style="314" customWidth="1"/>
    <col min="1541" max="1541" width="7.6640625" style="314" customWidth="1"/>
    <col min="1542" max="1542" width="5.33203125" style="314" customWidth="1"/>
    <col min="1543" max="1543" width="28.6640625" style="314" customWidth="1"/>
    <col min="1544" max="1544" width="42.6640625" style="314" customWidth="1"/>
    <col min="1545" max="1792" width="9.109375" style="314"/>
    <col min="1793" max="1793" width="10.88671875" style="314" customWidth="1"/>
    <col min="1794" max="1794" width="15.6640625" style="314" customWidth="1"/>
    <col min="1795" max="1795" width="12.88671875" style="314" customWidth="1"/>
    <col min="1796" max="1796" width="12.109375" style="314" customWidth="1"/>
    <col min="1797" max="1797" width="7.6640625" style="314" customWidth="1"/>
    <col min="1798" max="1798" width="5.33203125" style="314" customWidth="1"/>
    <col min="1799" max="1799" width="28.6640625" style="314" customWidth="1"/>
    <col min="1800" max="1800" width="42.6640625" style="314" customWidth="1"/>
    <col min="1801" max="2048" width="9.109375" style="314"/>
    <col min="2049" max="2049" width="10.88671875" style="314" customWidth="1"/>
    <col min="2050" max="2050" width="15.6640625" style="314" customWidth="1"/>
    <col min="2051" max="2051" width="12.88671875" style="314" customWidth="1"/>
    <col min="2052" max="2052" width="12.109375" style="314" customWidth="1"/>
    <col min="2053" max="2053" width="7.6640625" style="314" customWidth="1"/>
    <col min="2054" max="2054" width="5.33203125" style="314" customWidth="1"/>
    <col min="2055" max="2055" width="28.6640625" style="314" customWidth="1"/>
    <col min="2056" max="2056" width="42.6640625" style="314" customWidth="1"/>
    <col min="2057" max="2304" width="9.109375" style="314"/>
    <col min="2305" max="2305" width="10.88671875" style="314" customWidth="1"/>
    <col min="2306" max="2306" width="15.6640625" style="314" customWidth="1"/>
    <col min="2307" max="2307" width="12.88671875" style="314" customWidth="1"/>
    <col min="2308" max="2308" width="12.109375" style="314" customWidth="1"/>
    <col min="2309" max="2309" width="7.6640625" style="314" customWidth="1"/>
    <col min="2310" max="2310" width="5.33203125" style="314" customWidth="1"/>
    <col min="2311" max="2311" width="28.6640625" style="314" customWidth="1"/>
    <col min="2312" max="2312" width="42.6640625" style="314" customWidth="1"/>
    <col min="2313" max="2560" width="9.109375" style="314"/>
    <col min="2561" max="2561" width="10.88671875" style="314" customWidth="1"/>
    <col min="2562" max="2562" width="15.6640625" style="314" customWidth="1"/>
    <col min="2563" max="2563" width="12.88671875" style="314" customWidth="1"/>
    <col min="2564" max="2564" width="12.109375" style="314" customWidth="1"/>
    <col min="2565" max="2565" width="7.6640625" style="314" customWidth="1"/>
    <col min="2566" max="2566" width="5.33203125" style="314" customWidth="1"/>
    <col min="2567" max="2567" width="28.6640625" style="314" customWidth="1"/>
    <col min="2568" max="2568" width="42.6640625" style="314" customWidth="1"/>
    <col min="2569" max="2816" width="9.109375" style="314"/>
    <col min="2817" max="2817" width="10.88671875" style="314" customWidth="1"/>
    <col min="2818" max="2818" width="15.6640625" style="314" customWidth="1"/>
    <col min="2819" max="2819" width="12.88671875" style="314" customWidth="1"/>
    <col min="2820" max="2820" width="12.109375" style="314" customWidth="1"/>
    <col min="2821" max="2821" width="7.6640625" style="314" customWidth="1"/>
    <col min="2822" max="2822" width="5.33203125" style="314" customWidth="1"/>
    <col min="2823" max="2823" width="28.6640625" style="314" customWidth="1"/>
    <col min="2824" max="2824" width="42.6640625" style="314" customWidth="1"/>
    <col min="2825" max="3072" width="9.109375" style="314"/>
    <col min="3073" max="3073" width="10.88671875" style="314" customWidth="1"/>
    <col min="3074" max="3074" width="15.6640625" style="314" customWidth="1"/>
    <col min="3075" max="3075" width="12.88671875" style="314" customWidth="1"/>
    <col min="3076" max="3076" width="12.109375" style="314" customWidth="1"/>
    <col min="3077" max="3077" width="7.6640625" style="314" customWidth="1"/>
    <col min="3078" max="3078" width="5.33203125" style="314" customWidth="1"/>
    <col min="3079" max="3079" width="28.6640625" style="314" customWidth="1"/>
    <col min="3080" max="3080" width="42.6640625" style="314" customWidth="1"/>
    <col min="3081" max="3328" width="9.109375" style="314"/>
    <col min="3329" max="3329" width="10.88671875" style="314" customWidth="1"/>
    <col min="3330" max="3330" width="15.6640625" style="314" customWidth="1"/>
    <col min="3331" max="3331" width="12.88671875" style="314" customWidth="1"/>
    <col min="3332" max="3332" width="12.109375" style="314" customWidth="1"/>
    <col min="3333" max="3333" width="7.6640625" style="314" customWidth="1"/>
    <col min="3334" max="3334" width="5.33203125" style="314" customWidth="1"/>
    <col min="3335" max="3335" width="28.6640625" style="314" customWidth="1"/>
    <col min="3336" max="3336" width="42.6640625" style="314" customWidth="1"/>
    <col min="3337" max="3584" width="9.109375" style="314"/>
    <col min="3585" max="3585" width="10.88671875" style="314" customWidth="1"/>
    <col min="3586" max="3586" width="15.6640625" style="314" customWidth="1"/>
    <col min="3587" max="3587" width="12.88671875" style="314" customWidth="1"/>
    <col min="3588" max="3588" width="12.109375" style="314" customWidth="1"/>
    <col min="3589" max="3589" width="7.6640625" style="314" customWidth="1"/>
    <col min="3590" max="3590" width="5.33203125" style="314" customWidth="1"/>
    <col min="3591" max="3591" width="28.6640625" style="314" customWidth="1"/>
    <col min="3592" max="3592" width="42.6640625" style="314" customWidth="1"/>
    <col min="3593" max="3840" width="9.109375" style="314"/>
    <col min="3841" max="3841" width="10.88671875" style="314" customWidth="1"/>
    <col min="3842" max="3842" width="15.6640625" style="314" customWidth="1"/>
    <col min="3843" max="3843" width="12.88671875" style="314" customWidth="1"/>
    <col min="3844" max="3844" width="12.109375" style="314" customWidth="1"/>
    <col min="3845" max="3845" width="7.6640625" style="314" customWidth="1"/>
    <col min="3846" max="3846" width="5.33203125" style="314" customWidth="1"/>
    <col min="3847" max="3847" width="28.6640625" style="314" customWidth="1"/>
    <col min="3848" max="3848" width="42.6640625" style="314" customWidth="1"/>
    <col min="3849" max="4096" width="9.109375" style="314"/>
    <col min="4097" max="4097" width="10.88671875" style="314" customWidth="1"/>
    <col min="4098" max="4098" width="15.6640625" style="314" customWidth="1"/>
    <col min="4099" max="4099" width="12.88671875" style="314" customWidth="1"/>
    <col min="4100" max="4100" width="12.109375" style="314" customWidth="1"/>
    <col min="4101" max="4101" width="7.6640625" style="314" customWidth="1"/>
    <col min="4102" max="4102" width="5.33203125" style="314" customWidth="1"/>
    <col min="4103" max="4103" width="28.6640625" style="314" customWidth="1"/>
    <col min="4104" max="4104" width="42.6640625" style="314" customWidth="1"/>
    <col min="4105" max="4352" width="9.109375" style="314"/>
    <col min="4353" max="4353" width="10.88671875" style="314" customWidth="1"/>
    <col min="4354" max="4354" width="15.6640625" style="314" customWidth="1"/>
    <col min="4355" max="4355" width="12.88671875" style="314" customWidth="1"/>
    <col min="4356" max="4356" width="12.109375" style="314" customWidth="1"/>
    <col min="4357" max="4357" width="7.6640625" style="314" customWidth="1"/>
    <col min="4358" max="4358" width="5.33203125" style="314" customWidth="1"/>
    <col min="4359" max="4359" width="28.6640625" style="314" customWidth="1"/>
    <col min="4360" max="4360" width="42.6640625" style="314" customWidth="1"/>
    <col min="4361" max="4608" width="9.109375" style="314"/>
    <col min="4609" max="4609" width="10.88671875" style="314" customWidth="1"/>
    <col min="4610" max="4610" width="15.6640625" style="314" customWidth="1"/>
    <col min="4611" max="4611" width="12.88671875" style="314" customWidth="1"/>
    <col min="4612" max="4612" width="12.109375" style="314" customWidth="1"/>
    <col min="4613" max="4613" width="7.6640625" style="314" customWidth="1"/>
    <col min="4614" max="4614" width="5.33203125" style="314" customWidth="1"/>
    <col min="4615" max="4615" width="28.6640625" style="314" customWidth="1"/>
    <col min="4616" max="4616" width="42.6640625" style="314" customWidth="1"/>
    <col min="4617" max="4864" width="9.109375" style="314"/>
    <col min="4865" max="4865" width="10.88671875" style="314" customWidth="1"/>
    <col min="4866" max="4866" width="15.6640625" style="314" customWidth="1"/>
    <col min="4867" max="4867" width="12.88671875" style="314" customWidth="1"/>
    <col min="4868" max="4868" width="12.109375" style="314" customWidth="1"/>
    <col min="4869" max="4869" width="7.6640625" style="314" customWidth="1"/>
    <col min="4870" max="4870" width="5.33203125" style="314" customWidth="1"/>
    <col min="4871" max="4871" width="28.6640625" style="314" customWidth="1"/>
    <col min="4872" max="4872" width="42.6640625" style="314" customWidth="1"/>
    <col min="4873" max="5120" width="9.109375" style="314"/>
    <col min="5121" max="5121" width="10.88671875" style="314" customWidth="1"/>
    <col min="5122" max="5122" width="15.6640625" style="314" customWidth="1"/>
    <col min="5123" max="5123" width="12.88671875" style="314" customWidth="1"/>
    <col min="5124" max="5124" width="12.109375" style="314" customWidth="1"/>
    <col min="5125" max="5125" width="7.6640625" style="314" customWidth="1"/>
    <col min="5126" max="5126" width="5.33203125" style="314" customWidth="1"/>
    <col min="5127" max="5127" width="28.6640625" style="314" customWidth="1"/>
    <col min="5128" max="5128" width="42.6640625" style="314" customWidth="1"/>
    <col min="5129" max="5376" width="9.109375" style="314"/>
    <col min="5377" max="5377" width="10.88671875" style="314" customWidth="1"/>
    <col min="5378" max="5378" width="15.6640625" style="314" customWidth="1"/>
    <col min="5379" max="5379" width="12.88671875" style="314" customWidth="1"/>
    <col min="5380" max="5380" width="12.109375" style="314" customWidth="1"/>
    <col min="5381" max="5381" width="7.6640625" style="314" customWidth="1"/>
    <col min="5382" max="5382" width="5.33203125" style="314" customWidth="1"/>
    <col min="5383" max="5383" width="28.6640625" style="314" customWidth="1"/>
    <col min="5384" max="5384" width="42.6640625" style="314" customWidth="1"/>
    <col min="5385" max="5632" width="9.109375" style="314"/>
    <col min="5633" max="5633" width="10.88671875" style="314" customWidth="1"/>
    <col min="5634" max="5634" width="15.6640625" style="314" customWidth="1"/>
    <col min="5635" max="5635" width="12.88671875" style="314" customWidth="1"/>
    <col min="5636" max="5636" width="12.109375" style="314" customWidth="1"/>
    <col min="5637" max="5637" width="7.6640625" style="314" customWidth="1"/>
    <col min="5638" max="5638" width="5.33203125" style="314" customWidth="1"/>
    <col min="5639" max="5639" width="28.6640625" style="314" customWidth="1"/>
    <col min="5640" max="5640" width="42.6640625" style="314" customWidth="1"/>
    <col min="5641" max="5888" width="9.109375" style="314"/>
    <col min="5889" max="5889" width="10.88671875" style="314" customWidth="1"/>
    <col min="5890" max="5890" width="15.6640625" style="314" customWidth="1"/>
    <col min="5891" max="5891" width="12.88671875" style="314" customWidth="1"/>
    <col min="5892" max="5892" width="12.109375" style="314" customWidth="1"/>
    <col min="5893" max="5893" width="7.6640625" style="314" customWidth="1"/>
    <col min="5894" max="5894" width="5.33203125" style="314" customWidth="1"/>
    <col min="5895" max="5895" width="28.6640625" style="314" customWidth="1"/>
    <col min="5896" max="5896" width="42.6640625" style="314" customWidth="1"/>
    <col min="5897" max="6144" width="9.109375" style="314"/>
    <col min="6145" max="6145" width="10.88671875" style="314" customWidth="1"/>
    <col min="6146" max="6146" width="15.6640625" style="314" customWidth="1"/>
    <col min="6147" max="6147" width="12.88671875" style="314" customWidth="1"/>
    <col min="6148" max="6148" width="12.109375" style="314" customWidth="1"/>
    <col min="6149" max="6149" width="7.6640625" style="314" customWidth="1"/>
    <col min="6150" max="6150" width="5.33203125" style="314" customWidth="1"/>
    <col min="6151" max="6151" width="28.6640625" style="314" customWidth="1"/>
    <col min="6152" max="6152" width="42.6640625" style="314" customWidth="1"/>
    <col min="6153" max="6400" width="9.109375" style="314"/>
    <col min="6401" max="6401" width="10.88671875" style="314" customWidth="1"/>
    <col min="6402" max="6402" width="15.6640625" style="314" customWidth="1"/>
    <col min="6403" max="6403" width="12.88671875" style="314" customWidth="1"/>
    <col min="6404" max="6404" width="12.109375" style="314" customWidth="1"/>
    <col min="6405" max="6405" width="7.6640625" style="314" customWidth="1"/>
    <col min="6406" max="6406" width="5.33203125" style="314" customWidth="1"/>
    <col min="6407" max="6407" width="28.6640625" style="314" customWidth="1"/>
    <col min="6408" max="6408" width="42.6640625" style="314" customWidth="1"/>
    <col min="6409" max="6656" width="9.109375" style="314"/>
    <col min="6657" max="6657" width="10.88671875" style="314" customWidth="1"/>
    <col min="6658" max="6658" width="15.6640625" style="314" customWidth="1"/>
    <col min="6659" max="6659" width="12.88671875" style="314" customWidth="1"/>
    <col min="6660" max="6660" width="12.109375" style="314" customWidth="1"/>
    <col min="6661" max="6661" width="7.6640625" style="314" customWidth="1"/>
    <col min="6662" max="6662" width="5.33203125" style="314" customWidth="1"/>
    <col min="6663" max="6663" width="28.6640625" style="314" customWidth="1"/>
    <col min="6664" max="6664" width="42.6640625" style="314" customWidth="1"/>
    <col min="6665" max="6912" width="9.109375" style="314"/>
    <col min="6913" max="6913" width="10.88671875" style="314" customWidth="1"/>
    <col min="6914" max="6914" width="15.6640625" style="314" customWidth="1"/>
    <col min="6915" max="6915" width="12.88671875" style="314" customWidth="1"/>
    <col min="6916" max="6916" width="12.109375" style="314" customWidth="1"/>
    <col min="6917" max="6917" width="7.6640625" style="314" customWidth="1"/>
    <col min="6918" max="6918" width="5.33203125" style="314" customWidth="1"/>
    <col min="6919" max="6919" width="28.6640625" style="314" customWidth="1"/>
    <col min="6920" max="6920" width="42.6640625" style="314" customWidth="1"/>
    <col min="6921" max="7168" width="9.109375" style="314"/>
    <col min="7169" max="7169" width="10.88671875" style="314" customWidth="1"/>
    <col min="7170" max="7170" width="15.6640625" style="314" customWidth="1"/>
    <col min="7171" max="7171" width="12.88671875" style="314" customWidth="1"/>
    <col min="7172" max="7172" width="12.109375" style="314" customWidth="1"/>
    <col min="7173" max="7173" width="7.6640625" style="314" customWidth="1"/>
    <col min="7174" max="7174" width="5.33203125" style="314" customWidth="1"/>
    <col min="7175" max="7175" width="28.6640625" style="314" customWidth="1"/>
    <col min="7176" max="7176" width="42.6640625" style="314" customWidth="1"/>
    <col min="7177" max="7424" width="9.109375" style="314"/>
    <col min="7425" max="7425" width="10.88671875" style="314" customWidth="1"/>
    <col min="7426" max="7426" width="15.6640625" style="314" customWidth="1"/>
    <col min="7427" max="7427" width="12.88671875" style="314" customWidth="1"/>
    <col min="7428" max="7428" width="12.109375" style="314" customWidth="1"/>
    <col min="7429" max="7429" width="7.6640625" style="314" customWidth="1"/>
    <col min="7430" max="7430" width="5.33203125" style="314" customWidth="1"/>
    <col min="7431" max="7431" width="28.6640625" style="314" customWidth="1"/>
    <col min="7432" max="7432" width="42.6640625" style="314" customWidth="1"/>
    <col min="7433" max="7680" width="9.109375" style="314"/>
    <col min="7681" max="7681" width="10.88671875" style="314" customWidth="1"/>
    <col min="7682" max="7682" width="15.6640625" style="314" customWidth="1"/>
    <col min="7683" max="7683" width="12.88671875" style="314" customWidth="1"/>
    <col min="7684" max="7684" width="12.109375" style="314" customWidth="1"/>
    <col min="7685" max="7685" width="7.6640625" style="314" customWidth="1"/>
    <col min="7686" max="7686" width="5.33203125" style="314" customWidth="1"/>
    <col min="7687" max="7687" width="28.6640625" style="314" customWidth="1"/>
    <col min="7688" max="7688" width="42.6640625" style="314" customWidth="1"/>
    <col min="7689" max="7936" width="9.109375" style="314"/>
    <col min="7937" max="7937" width="10.88671875" style="314" customWidth="1"/>
    <col min="7938" max="7938" width="15.6640625" style="314" customWidth="1"/>
    <col min="7939" max="7939" width="12.88671875" style="314" customWidth="1"/>
    <col min="7940" max="7940" width="12.109375" style="314" customWidth="1"/>
    <col min="7941" max="7941" width="7.6640625" style="314" customWidth="1"/>
    <col min="7942" max="7942" width="5.33203125" style="314" customWidth="1"/>
    <col min="7943" max="7943" width="28.6640625" style="314" customWidth="1"/>
    <col min="7944" max="7944" width="42.6640625" style="314" customWidth="1"/>
    <col min="7945" max="8192" width="9.109375" style="314"/>
    <col min="8193" max="8193" width="10.88671875" style="314" customWidth="1"/>
    <col min="8194" max="8194" width="15.6640625" style="314" customWidth="1"/>
    <col min="8195" max="8195" width="12.88671875" style="314" customWidth="1"/>
    <col min="8196" max="8196" width="12.109375" style="314" customWidth="1"/>
    <col min="8197" max="8197" width="7.6640625" style="314" customWidth="1"/>
    <col min="8198" max="8198" width="5.33203125" style="314" customWidth="1"/>
    <col min="8199" max="8199" width="28.6640625" style="314" customWidth="1"/>
    <col min="8200" max="8200" width="42.6640625" style="314" customWidth="1"/>
    <col min="8201" max="8448" width="9.109375" style="314"/>
    <col min="8449" max="8449" width="10.88671875" style="314" customWidth="1"/>
    <col min="8450" max="8450" width="15.6640625" style="314" customWidth="1"/>
    <col min="8451" max="8451" width="12.88671875" style="314" customWidth="1"/>
    <col min="8452" max="8452" width="12.109375" style="314" customWidth="1"/>
    <col min="8453" max="8453" width="7.6640625" style="314" customWidth="1"/>
    <col min="8454" max="8454" width="5.33203125" style="314" customWidth="1"/>
    <col min="8455" max="8455" width="28.6640625" style="314" customWidth="1"/>
    <col min="8456" max="8456" width="42.6640625" style="314" customWidth="1"/>
    <col min="8457" max="8704" width="9.109375" style="314"/>
    <col min="8705" max="8705" width="10.88671875" style="314" customWidth="1"/>
    <col min="8706" max="8706" width="15.6640625" style="314" customWidth="1"/>
    <col min="8707" max="8707" width="12.88671875" style="314" customWidth="1"/>
    <col min="8708" max="8708" width="12.109375" style="314" customWidth="1"/>
    <col min="8709" max="8709" width="7.6640625" style="314" customWidth="1"/>
    <col min="8710" max="8710" width="5.33203125" style="314" customWidth="1"/>
    <col min="8711" max="8711" width="28.6640625" style="314" customWidth="1"/>
    <col min="8712" max="8712" width="42.6640625" style="314" customWidth="1"/>
    <col min="8713" max="8960" width="9.109375" style="314"/>
    <col min="8961" max="8961" width="10.88671875" style="314" customWidth="1"/>
    <col min="8962" max="8962" width="15.6640625" style="314" customWidth="1"/>
    <col min="8963" max="8963" width="12.88671875" style="314" customWidth="1"/>
    <col min="8964" max="8964" width="12.109375" style="314" customWidth="1"/>
    <col min="8965" max="8965" width="7.6640625" style="314" customWidth="1"/>
    <col min="8966" max="8966" width="5.33203125" style="314" customWidth="1"/>
    <col min="8967" max="8967" width="28.6640625" style="314" customWidth="1"/>
    <col min="8968" max="8968" width="42.6640625" style="314" customWidth="1"/>
    <col min="8969" max="9216" width="9.109375" style="314"/>
    <col min="9217" max="9217" width="10.88671875" style="314" customWidth="1"/>
    <col min="9218" max="9218" width="15.6640625" style="314" customWidth="1"/>
    <col min="9219" max="9219" width="12.88671875" style="314" customWidth="1"/>
    <col min="9220" max="9220" width="12.109375" style="314" customWidth="1"/>
    <col min="9221" max="9221" width="7.6640625" style="314" customWidth="1"/>
    <col min="9222" max="9222" width="5.33203125" style="314" customWidth="1"/>
    <col min="9223" max="9223" width="28.6640625" style="314" customWidth="1"/>
    <col min="9224" max="9224" width="42.6640625" style="314" customWidth="1"/>
    <col min="9225" max="9472" width="9.109375" style="314"/>
    <col min="9473" max="9473" width="10.88671875" style="314" customWidth="1"/>
    <col min="9474" max="9474" width="15.6640625" style="314" customWidth="1"/>
    <col min="9475" max="9475" width="12.88671875" style="314" customWidth="1"/>
    <col min="9476" max="9476" width="12.109375" style="314" customWidth="1"/>
    <col min="9477" max="9477" width="7.6640625" style="314" customWidth="1"/>
    <col min="9478" max="9478" width="5.33203125" style="314" customWidth="1"/>
    <col min="9479" max="9479" width="28.6640625" style="314" customWidth="1"/>
    <col min="9480" max="9480" width="42.6640625" style="314" customWidth="1"/>
    <col min="9481" max="9728" width="9.109375" style="314"/>
    <col min="9729" max="9729" width="10.88671875" style="314" customWidth="1"/>
    <col min="9730" max="9730" width="15.6640625" style="314" customWidth="1"/>
    <col min="9731" max="9731" width="12.88671875" style="314" customWidth="1"/>
    <col min="9732" max="9732" width="12.109375" style="314" customWidth="1"/>
    <col min="9733" max="9733" width="7.6640625" style="314" customWidth="1"/>
    <col min="9734" max="9734" width="5.33203125" style="314" customWidth="1"/>
    <col min="9735" max="9735" width="28.6640625" style="314" customWidth="1"/>
    <col min="9736" max="9736" width="42.6640625" style="314" customWidth="1"/>
    <col min="9737" max="9984" width="9.109375" style="314"/>
    <col min="9985" max="9985" width="10.88671875" style="314" customWidth="1"/>
    <col min="9986" max="9986" width="15.6640625" style="314" customWidth="1"/>
    <col min="9987" max="9987" width="12.88671875" style="314" customWidth="1"/>
    <col min="9988" max="9988" width="12.109375" style="314" customWidth="1"/>
    <col min="9989" max="9989" width="7.6640625" style="314" customWidth="1"/>
    <col min="9990" max="9990" width="5.33203125" style="314" customWidth="1"/>
    <col min="9991" max="9991" width="28.6640625" style="314" customWidth="1"/>
    <col min="9992" max="9992" width="42.6640625" style="314" customWidth="1"/>
    <col min="9993" max="10240" width="9.109375" style="314"/>
    <col min="10241" max="10241" width="10.88671875" style="314" customWidth="1"/>
    <col min="10242" max="10242" width="15.6640625" style="314" customWidth="1"/>
    <col min="10243" max="10243" width="12.88671875" style="314" customWidth="1"/>
    <col min="10244" max="10244" width="12.109375" style="314" customWidth="1"/>
    <col min="10245" max="10245" width="7.6640625" style="314" customWidth="1"/>
    <col min="10246" max="10246" width="5.33203125" style="314" customWidth="1"/>
    <col min="10247" max="10247" width="28.6640625" style="314" customWidth="1"/>
    <col min="10248" max="10248" width="42.6640625" style="314" customWidth="1"/>
    <col min="10249" max="10496" width="9.109375" style="314"/>
    <col min="10497" max="10497" width="10.88671875" style="314" customWidth="1"/>
    <col min="10498" max="10498" width="15.6640625" style="314" customWidth="1"/>
    <col min="10499" max="10499" width="12.88671875" style="314" customWidth="1"/>
    <col min="10500" max="10500" width="12.109375" style="314" customWidth="1"/>
    <col min="10501" max="10501" width="7.6640625" style="314" customWidth="1"/>
    <col min="10502" max="10502" width="5.33203125" style="314" customWidth="1"/>
    <col min="10503" max="10503" width="28.6640625" style="314" customWidth="1"/>
    <col min="10504" max="10504" width="42.6640625" style="314" customWidth="1"/>
    <col min="10505" max="10752" width="9.109375" style="314"/>
    <col min="10753" max="10753" width="10.88671875" style="314" customWidth="1"/>
    <col min="10754" max="10754" width="15.6640625" style="314" customWidth="1"/>
    <col min="10755" max="10755" width="12.88671875" style="314" customWidth="1"/>
    <col min="10756" max="10756" width="12.109375" style="314" customWidth="1"/>
    <col min="10757" max="10757" width="7.6640625" style="314" customWidth="1"/>
    <col min="10758" max="10758" width="5.33203125" style="314" customWidth="1"/>
    <col min="10759" max="10759" width="28.6640625" style="314" customWidth="1"/>
    <col min="10760" max="10760" width="42.6640625" style="314" customWidth="1"/>
    <col min="10761" max="11008" width="9.109375" style="314"/>
    <col min="11009" max="11009" width="10.88671875" style="314" customWidth="1"/>
    <col min="11010" max="11010" width="15.6640625" style="314" customWidth="1"/>
    <col min="11011" max="11011" width="12.88671875" style="314" customWidth="1"/>
    <col min="11012" max="11012" width="12.109375" style="314" customWidth="1"/>
    <col min="11013" max="11013" width="7.6640625" style="314" customWidth="1"/>
    <col min="11014" max="11014" width="5.33203125" style="314" customWidth="1"/>
    <col min="11015" max="11015" width="28.6640625" style="314" customWidth="1"/>
    <col min="11016" max="11016" width="42.6640625" style="314" customWidth="1"/>
    <col min="11017" max="11264" width="9.109375" style="314"/>
    <col min="11265" max="11265" width="10.88671875" style="314" customWidth="1"/>
    <col min="11266" max="11266" width="15.6640625" style="314" customWidth="1"/>
    <col min="11267" max="11267" width="12.88671875" style="314" customWidth="1"/>
    <col min="11268" max="11268" width="12.109375" style="314" customWidth="1"/>
    <col min="11269" max="11269" width="7.6640625" style="314" customWidth="1"/>
    <col min="11270" max="11270" width="5.33203125" style="314" customWidth="1"/>
    <col min="11271" max="11271" width="28.6640625" style="314" customWidth="1"/>
    <col min="11272" max="11272" width="42.6640625" style="314" customWidth="1"/>
    <col min="11273" max="11520" width="9.109375" style="314"/>
    <col min="11521" max="11521" width="10.88671875" style="314" customWidth="1"/>
    <col min="11522" max="11522" width="15.6640625" style="314" customWidth="1"/>
    <col min="11523" max="11523" width="12.88671875" style="314" customWidth="1"/>
    <col min="11524" max="11524" width="12.109375" style="314" customWidth="1"/>
    <col min="11525" max="11525" width="7.6640625" style="314" customWidth="1"/>
    <col min="11526" max="11526" width="5.33203125" style="314" customWidth="1"/>
    <col min="11527" max="11527" width="28.6640625" style="314" customWidth="1"/>
    <col min="11528" max="11528" width="42.6640625" style="314" customWidth="1"/>
    <col min="11529" max="11776" width="9.109375" style="314"/>
    <col min="11777" max="11777" width="10.88671875" style="314" customWidth="1"/>
    <col min="11778" max="11778" width="15.6640625" style="314" customWidth="1"/>
    <col min="11779" max="11779" width="12.88671875" style="314" customWidth="1"/>
    <col min="11780" max="11780" width="12.109375" style="314" customWidth="1"/>
    <col min="11781" max="11781" width="7.6640625" style="314" customWidth="1"/>
    <col min="11782" max="11782" width="5.33203125" style="314" customWidth="1"/>
    <col min="11783" max="11783" width="28.6640625" style="314" customWidth="1"/>
    <col min="11784" max="11784" width="42.6640625" style="314" customWidth="1"/>
    <col min="11785" max="12032" width="9.109375" style="314"/>
    <col min="12033" max="12033" width="10.88671875" style="314" customWidth="1"/>
    <col min="12034" max="12034" width="15.6640625" style="314" customWidth="1"/>
    <col min="12035" max="12035" width="12.88671875" style="314" customWidth="1"/>
    <col min="12036" max="12036" width="12.109375" style="314" customWidth="1"/>
    <col min="12037" max="12037" width="7.6640625" style="314" customWidth="1"/>
    <col min="12038" max="12038" width="5.33203125" style="314" customWidth="1"/>
    <col min="12039" max="12039" width="28.6640625" style="314" customWidth="1"/>
    <col min="12040" max="12040" width="42.6640625" style="314" customWidth="1"/>
    <col min="12041" max="12288" width="9.109375" style="314"/>
    <col min="12289" max="12289" width="10.88671875" style="314" customWidth="1"/>
    <col min="12290" max="12290" width="15.6640625" style="314" customWidth="1"/>
    <col min="12291" max="12291" width="12.88671875" style="314" customWidth="1"/>
    <col min="12292" max="12292" width="12.109375" style="314" customWidth="1"/>
    <col min="12293" max="12293" width="7.6640625" style="314" customWidth="1"/>
    <col min="12294" max="12294" width="5.33203125" style="314" customWidth="1"/>
    <col min="12295" max="12295" width="28.6640625" style="314" customWidth="1"/>
    <col min="12296" max="12296" width="42.6640625" style="314" customWidth="1"/>
    <col min="12297" max="12544" width="9.109375" style="314"/>
    <col min="12545" max="12545" width="10.88671875" style="314" customWidth="1"/>
    <col min="12546" max="12546" width="15.6640625" style="314" customWidth="1"/>
    <col min="12547" max="12547" width="12.88671875" style="314" customWidth="1"/>
    <col min="12548" max="12548" width="12.109375" style="314" customWidth="1"/>
    <col min="12549" max="12549" width="7.6640625" style="314" customWidth="1"/>
    <col min="12550" max="12550" width="5.33203125" style="314" customWidth="1"/>
    <col min="12551" max="12551" width="28.6640625" style="314" customWidth="1"/>
    <col min="12552" max="12552" width="42.6640625" style="314" customWidth="1"/>
    <col min="12553" max="12800" width="9.109375" style="314"/>
    <col min="12801" max="12801" width="10.88671875" style="314" customWidth="1"/>
    <col min="12802" max="12802" width="15.6640625" style="314" customWidth="1"/>
    <col min="12803" max="12803" width="12.88671875" style="314" customWidth="1"/>
    <col min="12804" max="12804" width="12.109375" style="314" customWidth="1"/>
    <col min="12805" max="12805" width="7.6640625" style="314" customWidth="1"/>
    <col min="12806" max="12806" width="5.33203125" style="314" customWidth="1"/>
    <col min="12807" max="12807" width="28.6640625" style="314" customWidth="1"/>
    <col min="12808" max="12808" width="42.6640625" style="314" customWidth="1"/>
    <col min="12809" max="13056" width="9.109375" style="314"/>
    <col min="13057" max="13057" width="10.88671875" style="314" customWidth="1"/>
    <col min="13058" max="13058" width="15.6640625" style="314" customWidth="1"/>
    <col min="13059" max="13059" width="12.88671875" style="314" customWidth="1"/>
    <col min="13060" max="13060" width="12.109375" style="314" customWidth="1"/>
    <col min="13061" max="13061" width="7.6640625" style="314" customWidth="1"/>
    <col min="13062" max="13062" width="5.33203125" style="314" customWidth="1"/>
    <col min="13063" max="13063" width="28.6640625" style="314" customWidth="1"/>
    <col min="13064" max="13064" width="42.6640625" style="314" customWidth="1"/>
    <col min="13065" max="13312" width="9.109375" style="314"/>
    <col min="13313" max="13313" width="10.88671875" style="314" customWidth="1"/>
    <col min="13314" max="13314" width="15.6640625" style="314" customWidth="1"/>
    <col min="13315" max="13315" width="12.88671875" style="314" customWidth="1"/>
    <col min="13316" max="13316" width="12.109375" style="314" customWidth="1"/>
    <col min="13317" max="13317" width="7.6640625" style="314" customWidth="1"/>
    <col min="13318" max="13318" width="5.33203125" style="314" customWidth="1"/>
    <col min="13319" max="13319" width="28.6640625" style="314" customWidth="1"/>
    <col min="13320" max="13320" width="42.6640625" style="314" customWidth="1"/>
    <col min="13321" max="13568" width="9.109375" style="314"/>
    <col min="13569" max="13569" width="10.88671875" style="314" customWidth="1"/>
    <col min="13570" max="13570" width="15.6640625" style="314" customWidth="1"/>
    <col min="13571" max="13571" width="12.88671875" style="314" customWidth="1"/>
    <col min="13572" max="13572" width="12.109375" style="314" customWidth="1"/>
    <col min="13573" max="13573" width="7.6640625" style="314" customWidth="1"/>
    <col min="13574" max="13574" width="5.33203125" style="314" customWidth="1"/>
    <col min="13575" max="13575" width="28.6640625" style="314" customWidth="1"/>
    <col min="13576" max="13576" width="42.6640625" style="314" customWidth="1"/>
    <col min="13577" max="13824" width="9.109375" style="314"/>
    <col min="13825" max="13825" width="10.88671875" style="314" customWidth="1"/>
    <col min="13826" max="13826" width="15.6640625" style="314" customWidth="1"/>
    <col min="13827" max="13827" width="12.88671875" style="314" customWidth="1"/>
    <col min="13828" max="13828" width="12.109375" style="314" customWidth="1"/>
    <col min="13829" max="13829" width="7.6640625" style="314" customWidth="1"/>
    <col min="13830" max="13830" width="5.33203125" style="314" customWidth="1"/>
    <col min="13831" max="13831" width="28.6640625" style="314" customWidth="1"/>
    <col min="13832" max="13832" width="42.6640625" style="314" customWidth="1"/>
    <col min="13833" max="14080" width="9.109375" style="314"/>
    <col min="14081" max="14081" width="10.88671875" style="314" customWidth="1"/>
    <col min="14082" max="14082" width="15.6640625" style="314" customWidth="1"/>
    <col min="14083" max="14083" width="12.88671875" style="314" customWidth="1"/>
    <col min="14084" max="14084" width="12.109375" style="314" customWidth="1"/>
    <col min="14085" max="14085" width="7.6640625" style="314" customWidth="1"/>
    <col min="14086" max="14086" width="5.33203125" style="314" customWidth="1"/>
    <col min="14087" max="14087" width="28.6640625" style="314" customWidth="1"/>
    <col min="14088" max="14088" width="42.6640625" style="314" customWidth="1"/>
    <col min="14089" max="14336" width="9.109375" style="314"/>
    <col min="14337" max="14337" width="10.88671875" style="314" customWidth="1"/>
    <col min="14338" max="14338" width="15.6640625" style="314" customWidth="1"/>
    <col min="14339" max="14339" width="12.88671875" style="314" customWidth="1"/>
    <col min="14340" max="14340" width="12.109375" style="314" customWidth="1"/>
    <col min="14341" max="14341" width="7.6640625" style="314" customWidth="1"/>
    <col min="14342" max="14342" width="5.33203125" style="314" customWidth="1"/>
    <col min="14343" max="14343" width="28.6640625" style="314" customWidth="1"/>
    <col min="14344" max="14344" width="42.6640625" style="314" customWidth="1"/>
    <col min="14345" max="14592" width="9.109375" style="314"/>
    <col min="14593" max="14593" width="10.88671875" style="314" customWidth="1"/>
    <col min="14594" max="14594" width="15.6640625" style="314" customWidth="1"/>
    <col min="14595" max="14595" width="12.88671875" style="314" customWidth="1"/>
    <col min="14596" max="14596" width="12.109375" style="314" customWidth="1"/>
    <col min="14597" max="14597" width="7.6640625" style="314" customWidth="1"/>
    <col min="14598" max="14598" width="5.33203125" style="314" customWidth="1"/>
    <col min="14599" max="14599" width="28.6640625" style="314" customWidth="1"/>
    <col min="14600" max="14600" width="42.6640625" style="314" customWidth="1"/>
    <col min="14601" max="14848" width="9.109375" style="314"/>
    <col min="14849" max="14849" width="10.88671875" style="314" customWidth="1"/>
    <col min="14850" max="14850" width="15.6640625" style="314" customWidth="1"/>
    <col min="14851" max="14851" width="12.88671875" style="314" customWidth="1"/>
    <col min="14852" max="14852" width="12.109375" style="314" customWidth="1"/>
    <col min="14853" max="14853" width="7.6640625" style="314" customWidth="1"/>
    <col min="14854" max="14854" width="5.33203125" style="314" customWidth="1"/>
    <col min="14855" max="14855" width="28.6640625" style="314" customWidth="1"/>
    <col min="14856" max="14856" width="42.6640625" style="314" customWidth="1"/>
    <col min="14857" max="15104" width="9.109375" style="314"/>
    <col min="15105" max="15105" width="10.88671875" style="314" customWidth="1"/>
    <col min="15106" max="15106" width="15.6640625" style="314" customWidth="1"/>
    <col min="15107" max="15107" width="12.88671875" style="314" customWidth="1"/>
    <col min="15108" max="15108" width="12.109375" style="314" customWidth="1"/>
    <col min="15109" max="15109" width="7.6640625" style="314" customWidth="1"/>
    <col min="15110" max="15110" width="5.33203125" style="314" customWidth="1"/>
    <col min="15111" max="15111" width="28.6640625" style="314" customWidth="1"/>
    <col min="15112" max="15112" width="42.6640625" style="314" customWidth="1"/>
    <col min="15113" max="15360" width="9.109375" style="314"/>
    <col min="15361" max="15361" width="10.88671875" style="314" customWidth="1"/>
    <col min="15362" max="15362" width="15.6640625" style="314" customWidth="1"/>
    <col min="15363" max="15363" width="12.88671875" style="314" customWidth="1"/>
    <col min="15364" max="15364" width="12.109375" style="314" customWidth="1"/>
    <col min="15365" max="15365" width="7.6640625" style="314" customWidth="1"/>
    <col min="15366" max="15366" width="5.33203125" style="314" customWidth="1"/>
    <col min="15367" max="15367" width="28.6640625" style="314" customWidth="1"/>
    <col min="15368" max="15368" width="42.6640625" style="314" customWidth="1"/>
    <col min="15369" max="15616" width="9.109375" style="314"/>
    <col min="15617" max="15617" width="10.88671875" style="314" customWidth="1"/>
    <col min="15618" max="15618" width="15.6640625" style="314" customWidth="1"/>
    <col min="15619" max="15619" width="12.88671875" style="314" customWidth="1"/>
    <col min="15620" max="15620" width="12.109375" style="314" customWidth="1"/>
    <col min="15621" max="15621" width="7.6640625" style="314" customWidth="1"/>
    <col min="15622" max="15622" width="5.33203125" style="314" customWidth="1"/>
    <col min="15623" max="15623" width="28.6640625" style="314" customWidth="1"/>
    <col min="15624" max="15624" width="42.6640625" style="314" customWidth="1"/>
    <col min="15625" max="15872" width="9.109375" style="314"/>
    <col min="15873" max="15873" width="10.88671875" style="314" customWidth="1"/>
    <col min="15874" max="15874" width="15.6640625" style="314" customWidth="1"/>
    <col min="15875" max="15875" width="12.88671875" style="314" customWidth="1"/>
    <col min="15876" max="15876" width="12.109375" style="314" customWidth="1"/>
    <col min="15877" max="15877" width="7.6640625" style="314" customWidth="1"/>
    <col min="15878" max="15878" width="5.33203125" style="314" customWidth="1"/>
    <col min="15879" max="15879" width="28.6640625" style="314" customWidth="1"/>
    <col min="15880" max="15880" width="42.6640625" style="314" customWidth="1"/>
    <col min="15881" max="16128" width="9.109375" style="314"/>
    <col min="16129" max="16129" width="10.88671875" style="314" customWidth="1"/>
    <col min="16130" max="16130" width="15.6640625" style="314" customWidth="1"/>
    <col min="16131" max="16131" width="12.88671875" style="314" customWidth="1"/>
    <col min="16132" max="16132" width="12.109375" style="314" customWidth="1"/>
    <col min="16133" max="16133" width="7.6640625" style="314" customWidth="1"/>
    <col min="16134" max="16134" width="5.33203125" style="314" customWidth="1"/>
    <col min="16135" max="16135" width="28.6640625" style="314" customWidth="1"/>
    <col min="16136" max="16136" width="42.6640625" style="314" customWidth="1"/>
    <col min="16137" max="16384" width="9.109375" style="314"/>
  </cols>
  <sheetData>
    <row r="1" spans="1:8" ht="15.75" customHeight="1">
      <c r="A1" s="1156" t="s">
        <v>509</v>
      </c>
      <c r="B1" s="1624"/>
      <c r="C1" s="1624"/>
      <c r="D1" s="1624"/>
      <c r="E1" s="1624"/>
      <c r="F1" s="1624"/>
      <c r="G1" s="1624"/>
      <c r="H1" s="1625"/>
    </row>
    <row r="2" spans="1:8" ht="15.75" customHeight="1">
      <c r="A2" s="601" t="str">
        <f>'F1 Forecast Combined'!E3</f>
        <v>NRA.N.007-040-2024/1F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510</v>
      </c>
      <c r="B4" s="1626"/>
      <c r="C4" s="1626"/>
      <c r="D4" s="1626"/>
      <c r="E4" s="1627" t="s">
        <v>511</v>
      </c>
      <c r="F4" s="1506"/>
      <c r="G4" s="1628"/>
      <c r="H4" s="1629"/>
    </row>
    <row r="5" spans="1:8" ht="31.5" customHeight="1">
      <c r="A5" s="608" t="s">
        <v>512</v>
      </c>
      <c r="B5" s="1630"/>
      <c r="C5" s="1630"/>
      <c r="D5" s="1630"/>
      <c r="E5" s="1457" t="s">
        <v>513</v>
      </c>
      <c r="F5" s="1487"/>
      <c r="G5" s="1631"/>
      <c r="H5" s="1632"/>
    </row>
    <row r="6" spans="1:8" ht="31.5" customHeight="1" thickBot="1">
      <c r="A6" s="608" t="s">
        <v>514</v>
      </c>
      <c r="B6" s="1634"/>
      <c r="C6" s="1634"/>
      <c r="D6" s="1634"/>
      <c r="E6" s="1457" t="s">
        <v>515</v>
      </c>
      <c r="F6" s="1487"/>
      <c r="G6" s="1631"/>
      <c r="H6" s="1632"/>
    </row>
    <row r="7" spans="1:8" ht="21.75" customHeight="1">
      <c r="A7" s="1635" t="s">
        <v>374</v>
      </c>
      <c r="B7" s="1637" t="s">
        <v>516</v>
      </c>
      <c r="C7" s="1445" t="s">
        <v>517</v>
      </c>
      <c r="D7" s="1446"/>
      <c r="E7" s="1446"/>
      <c r="F7" s="1447"/>
      <c r="G7" s="1639" t="s">
        <v>518</v>
      </c>
      <c r="H7" s="1641" t="s">
        <v>519</v>
      </c>
    </row>
    <row r="8" spans="1:8" ht="27" customHeight="1" thickBot="1">
      <c r="A8" s="1636"/>
      <c r="B8" s="1638"/>
      <c r="C8" s="609" t="s">
        <v>520</v>
      </c>
      <c r="D8" s="610" t="s">
        <v>521</v>
      </c>
      <c r="E8" s="1643" t="s">
        <v>522</v>
      </c>
      <c r="F8" s="1643"/>
      <c r="G8" s="1640"/>
      <c r="H8" s="1642"/>
    </row>
    <row r="9" spans="1:8" ht="24.9" customHeight="1">
      <c r="A9" s="774" t="s">
        <v>523</v>
      </c>
      <c r="B9" s="771"/>
      <c r="C9" s="611"/>
      <c r="D9" s="611"/>
      <c r="E9" s="1644"/>
      <c r="F9" s="1644"/>
      <c r="G9" s="611"/>
      <c r="H9" s="612"/>
    </row>
    <row r="10" spans="1:8" ht="24.9" customHeight="1">
      <c r="A10" s="775">
        <v>1</v>
      </c>
      <c r="B10" s="772"/>
      <c r="C10" s="614"/>
      <c r="D10" s="614"/>
      <c r="E10" s="1633"/>
      <c r="F10" s="1633"/>
      <c r="G10" s="613"/>
      <c r="H10" s="615"/>
    </row>
    <row r="11" spans="1:8" ht="24.9" customHeight="1">
      <c r="A11" s="775">
        <v>2</v>
      </c>
      <c r="B11" s="772"/>
      <c r="C11" s="614"/>
      <c r="D11" s="614"/>
      <c r="E11" s="1633"/>
      <c r="F11" s="1633"/>
      <c r="G11" s="613"/>
      <c r="H11" s="615"/>
    </row>
    <row r="12" spans="1:8" ht="24.9" customHeight="1">
      <c r="A12" s="775">
        <v>3</v>
      </c>
      <c r="B12" s="772"/>
      <c r="C12" s="614"/>
      <c r="D12" s="614"/>
      <c r="E12" s="1633"/>
      <c r="F12" s="1633"/>
      <c r="G12" s="613"/>
      <c r="H12" s="615"/>
    </row>
    <row r="13" spans="1:8" ht="24.9" customHeight="1">
      <c r="A13" s="775">
        <v>4</v>
      </c>
      <c r="B13" s="772"/>
      <c r="C13" s="614"/>
      <c r="D13" s="614"/>
      <c r="E13" s="1633"/>
      <c r="F13" s="1633"/>
      <c r="G13" s="613"/>
      <c r="H13" s="615"/>
    </row>
    <row r="14" spans="1:8" ht="24.9" customHeight="1">
      <c r="A14" s="775">
        <v>5</v>
      </c>
      <c r="B14" s="772"/>
      <c r="C14" s="614"/>
      <c r="D14" s="614"/>
      <c r="E14" s="1633"/>
      <c r="F14" s="1633"/>
      <c r="G14" s="613"/>
      <c r="H14" s="615"/>
    </row>
    <row r="15" spans="1:8" ht="24.9" customHeight="1">
      <c r="A15" s="775">
        <v>6</v>
      </c>
      <c r="B15" s="772"/>
      <c r="C15" s="614"/>
      <c r="D15" s="614"/>
      <c r="E15" s="1633"/>
      <c r="F15" s="1633"/>
      <c r="G15" s="613"/>
      <c r="H15" s="615"/>
    </row>
    <row r="16" spans="1:8" ht="24.9" customHeight="1">
      <c r="A16" s="775">
        <v>7</v>
      </c>
      <c r="B16" s="772"/>
      <c r="C16" s="614"/>
      <c r="D16" s="614"/>
      <c r="E16" s="1633"/>
      <c r="F16" s="1633"/>
      <c r="G16" s="613"/>
      <c r="H16" s="615"/>
    </row>
    <row r="17" spans="1:8" ht="24.9" customHeight="1">
      <c r="A17" s="775">
        <v>8</v>
      </c>
      <c r="B17" s="772"/>
      <c r="C17" s="614"/>
      <c r="D17" s="614"/>
      <c r="E17" s="1633"/>
      <c r="F17" s="1633"/>
      <c r="G17" s="613"/>
      <c r="H17" s="615"/>
    </row>
    <row r="18" spans="1:8" ht="24.9" customHeight="1">
      <c r="A18" s="775">
        <v>9</v>
      </c>
      <c r="B18" s="772"/>
      <c r="C18" s="614"/>
      <c r="D18" s="614"/>
      <c r="E18" s="1633"/>
      <c r="F18" s="1633"/>
      <c r="G18" s="613"/>
      <c r="H18" s="615"/>
    </row>
    <row r="19" spans="1:8" ht="24.9" customHeight="1">
      <c r="A19" s="775">
        <v>10</v>
      </c>
      <c r="B19" s="772"/>
      <c r="C19" s="614"/>
      <c r="D19" s="614"/>
      <c r="E19" s="1633"/>
      <c r="F19" s="1633"/>
      <c r="G19" s="613"/>
      <c r="H19" s="615"/>
    </row>
    <row r="20" spans="1:8" ht="24.9" customHeight="1">
      <c r="A20" s="775">
        <v>11</v>
      </c>
      <c r="B20" s="772"/>
      <c r="C20" s="614"/>
      <c r="D20" s="614"/>
      <c r="E20" s="1633"/>
      <c r="F20" s="1633"/>
      <c r="G20" s="613"/>
      <c r="H20" s="615"/>
    </row>
    <row r="21" spans="1:8" ht="24.9" customHeight="1">
      <c r="A21" s="775">
        <v>12</v>
      </c>
      <c r="B21" s="772"/>
      <c r="C21" s="614"/>
      <c r="D21" s="614"/>
      <c r="E21" s="1633"/>
      <c r="F21" s="1633"/>
      <c r="G21" s="613"/>
      <c r="H21" s="615"/>
    </row>
    <row r="22" spans="1:8" ht="24.9" customHeight="1">
      <c r="A22" s="775">
        <v>13</v>
      </c>
      <c r="B22" s="772"/>
      <c r="C22" s="614"/>
      <c r="D22" s="614"/>
      <c r="E22" s="1633"/>
      <c r="F22" s="1633"/>
      <c r="G22" s="613"/>
      <c r="H22" s="615"/>
    </row>
    <row r="23" spans="1:8" ht="24.9" customHeight="1">
      <c r="A23" s="775">
        <v>14</v>
      </c>
      <c r="B23" s="772"/>
      <c r="C23" s="614"/>
      <c r="D23" s="614"/>
      <c r="E23" s="1633"/>
      <c r="F23" s="1633"/>
      <c r="G23" s="613"/>
      <c r="H23" s="615"/>
    </row>
    <row r="24" spans="1:8" ht="24.9" customHeight="1">
      <c r="A24" s="775">
        <v>15</v>
      </c>
      <c r="B24" s="772"/>
      <c r="C24" s="614"/>
      <c r="D24" s="614"/>
      <c r="E24" s="1633"/>
      <c r="F24" s="1633"/>
      <c r="G24" s="613"/>
      <c r="H24" s="615"/>
    </row>
    <row r="25" spans="1:8" ht="24.9" customHeight="1">
      <c r="A25" s="775">
        <v>16</v>
      </c>
      <c r="B25" s="772"/>
      <c r="C25" s="614"/>
      <c r="D25" s="614"/>
      <c r="E25" s="1633"/>
      <c r="F25" s="1633"/>
      <c r="G25" s="613"/>
      <c r="H25" s="615"/>
    </row>
    <row r="26" spans="1:8" ht="24.9" customHeight="1">
      <c r="A26" s="775">
        <v>17</v>
      </c>
      <c r="B26" s="772"/>
      <c r="C26" s="614"/>
      <c r="D26" s="614"/>
      <c r="E26" s="1633"/>
      <c r="F26" s="1633"/>
      <c r="G26" s="613"/>
      <c r="H26" s="615"/>
    </row>
    <row r="27" spans="1:8" ht="24.9" customHeight="1">
      <c r="A27" s="775">
        <v>18</v>
      </c>
      <c r="B27" s="772"/>
      <c r="C27" s="614"/>
      <c r="D27" s="614"/>
      <c r="E27" s="1633"/>
      <c r="F27" s="1633"/>
      <c r="G27" s="613"/>
      <c r="H27" s="615"/>
    </row>
    <row r="28" spans="1:8" ht="24.9" customHeight="1">
      <c r="A28" s="775">
        <v>19</v>
      </c>
      <c r="B28" s="772"/>
      <c r="C28" s="614"/>
      <c r="D28" s="614"/>
      <c r="E28" s="1633"/>
      <c r="F28" s="1633"/>
      <c r="G28" s="613"/>
      <c r="H28" s="615"/>
    </row>
    <row r="29" spans="1:8" ht="24.9" customHeight="1">
      <c r="A29" s="775">
        <v>20</v>
      </c>
      <c r="B29" s="772"/>
      <c r="C29" s="614"/>
      <c r="D29" s="614"/>
      <c r="E29" s="1633"/>
      <c r="F29" s="1633"/>
      <c r="G29" s="613"/>
      <c r="H29" s="615"/>
    </row>
    <row r="30" spans="1:8" ht="24.9" customHeight="1">
      <c r="A30" s="775">
        <v>21</v>
      </c>
      <c r="B30" s="772"/>
      <c r="C30" s="614"/>
      <c r="D30" s="614"/>
      <c r="E30" s="1633"/>
      <c r="F30" s="1633"/>
      <c r="G30" s="613"/>
      <c r="H30" s="615"/>
    </row>
    <row r="31" spans="1:8" ht="24.9" customHeight="1">
      <c r="A31" s="775">
        <v>22</v>
      </c>
      <c r="B31" s="772"/>
      <c r="C31" s="614"/>
      <c r="D31" s="614"/>
      <c r="E31" s="1633"/>
      <c r="F31" s="1633"/>
      <c r="G31" s="613"/>
      <c r="H31" s="615"/>
    </row>
    <row r="32" spans="1:8" ht="24.9" customHeight="1">
      <c r="A32" s="775">
        <v>23</v>
      </c>
      <c r="B32" s="772"/>
      <c r="C32" s="614"/>
      <c r="D32" s="614"/>
      <c r="E32" s="1633"/>
      <c r="F32" s="1633"/>
      <c r="G32" s="613"/>
      <c r="H32" s="615"/>
    </row>
    <row r="33" spans="1:8" ht="24.9" customHeight="1">
      <c r="A33" s="775">
        <v>24</v>
      </c>
      <c r="B33" s="772"/>
      <c r="C33" s="614"/>
      <c r="D33" s="614"/>
      <c r="E33" s="1633"/>
      <c r="F33" s="1633"/>
      <c r="G33" s="613"/>
      <c r="H33" s="615"/>
    </row>
    <row r="34" spans="1:8" ht="24.9" customHeight="1">
      <c r="A34" s="775">
        <v>25</v>
      </c>
      <c r="B34" s="772"/>
      <c r="C34" s="614"/>
      <c r="D34" s="614"/>
      <c r="E34" s="1633"/>
      <c r="F34" s="1633"/>
      <c r="G34" s="613"/>
      <c r="H34" s="615"/>
    </row>
    <row r="35" spans="1:8" ht="24.9" customHeight="1">
      <c r="A35" s="775">
        <v>26</v>
      </c>
      <c r="B35" s="772"/>
      <c r="C35" s="614"/>
      <c r="D35" s="614"/>
      <c r="E35" s="1633"/>
      <c r="F35" s="1633"/>
      <c r="G35" s="613"/>
      <c r="H35" s="615"/>
    </row>
    <row r="36" spans="1:8" ht="24.9" customHeight="1">
      <c r="A36" s="775">
        <v>27</v>
      </c>
      <c r="B36" s="772"/>
      <c r="C36" s="614"/>
      <c r="D36" s="614"/>
      <c r="E36" s="1633"/>
      <c r="F36" s="1633"/>
      <c r="G36" s="613"/>
      <c r="H36" s="615"/>
    </row>
    <row r="37" spans="1:8" ht="24.9" customHeight="1">
      <c r="A37" s="775">
        <v>28</v>
      </c>
      <c r="B37" s="772"/>
      <c r="C37" s="614"/>
      <c r="D37" s="614"/>
      <c r="E37" s="1633"/>
      <c r="F37" s="1633"/>
      <c r="G37" s="613"/>
      <c r="H37" s="615"/>
    </row>
    <row r="38" spans="1:8" ht="24.9" customHeight="1">
      <c r="A38" s="775">
        <v>29</v>
      </c>
      <c r="B38" s="772"/>
      <c r="C38" s="614"/>
      <c r="D38" s="614"/>
      <c r="E38" s="1633"/>
      <c r="F38" s="1633"/>
      <c r="G38" s="613"/>
      <c r="H38" s="615"/>
    </row>
    <row r="39" spans="1:8" ht="24.9" customHeight="1">
      <c r="A39" s="775">
        <v>30</v>
      </c>
      <c r="B39" s="772"/>
      <c r="C39" s="614"/>
      <c r="D39" s="614"/>
      <c r="E39" s="1633"/>
      <c r="F39" s="1633"/>
      <c r="G39" s="613"/>
      <c r="H39" s="615"/>
    </row>
    <row r="40" spans="1:8" ht="24.9" customHeight="1" thickBot="1">
      <c r="A40" s="776">
        <v>31</v>
      </c>
      <c r="B40" s="773"/>
      <c r="C40" s="617"/>
      <c r="D40" s="617"/>
      <c r="E40" s="1648"/>
      <c r="F40" s="1648"/>
      <c r="G40" s="616"/>
      <c r="H40" s="618"/>
    </row>
    <row r="41" spans="1:8" ht="24.9" customHeight="1" thickBot="1">
      <c r="A41" s="619" t="s">
        <v>391</v>
      </c>
      <c r="B41" s="777"/>
      <c r="C41" s="778">
        <f>SUM(C10:C40)</f>
        <v>0</v>
      </c>
      <c r="D41" s="778">
        <f>SUM(D10:D40)</f>
        <v>0</v>
      </c>
      <c r="E41" s="1649">
        <v>0</v>
      </c>
      <c r="F41" s="1649"/>
      <c r="G41" s="1650"/>
      <c r="H41" s="1651"/>
    </row>
    <row r="42" spans="1:8" ht="24.75" customHeight="1">
      <c r="A42" s="1652"/>
      <c r="B42" s="1534"/>
      <c r="C42" s="1534"/>
      <c r="D42" s="1534"/>
      <c r="E42" s="1534"/>
      <c r="F42" s="1534"/>
      <c r="G42" s="1534"/>
      <c r="H42" s="1653"/>
    </row>
    <row r="43" spans="1:8" ht="24.75" customHeight="1">
      <c r="A43" s="1654" t="s">
        <v>524</v>
      </c>
      <c r="B43" s="1655"/>
      <c r="C43" s="1656"/>
      <c r="D43" s="1656"/>
      <c r="E43" s="1657"/>
      <c r="F43" s="1657"/>
      <c r="G43" s="620" t="s">
        <v>525</v>
      </c>
      <c r="H43" s="621"/>
    </row>
    <row r="44" spans="1:8" ht="24.75" customHeight="1" thickBot="1">
      <c r="A44" s="1645"/>
      <c r="B44" s="1646"/>
      <c r="C44" s="1646"/>
      <c r="D44" s="1646"/>
      <c r="E44" s="1646"/>
      <c r="F44" s="1646"/>
      <c r="G44" s="1646"/>
      <c r="H44" s="1647"/>
    </row>
  </sheetData>
  <mergeCells count="55"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A1:H1"/>
    <mergeCell ref="B4:D4"/>
    <mergeCell ref="E4:F4"/>
    <mergeCell ref="G4:H4"/>
    <mergeCell ref="B5:D5"/>
    <mergeCell ref="E5:F5"/>
    <mergeCell ref="G5:H5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topLeftCell="A4" workbookViewId="0">
      <selection activeCell="A20" sqref="A20"/>
    </sheetView>
  </sheetViews>
  <sheetFormatPr defaultRowHeight="14.4"/>
  <cols>
    <col min="1" max="1" width="34" bestFit="1" customWidth="1"/>
    <col min="2" max="2" width="5.6640625" customWidth="1"/>
    <col min="3" max="3" width="19" bestFit="1" customWidth="1"/>
    <col min="4" max="4" width="19.6640625" customWidth="1"/>
    <col min="5" max="5" width="23.109375" bestFit="1" customWidth="1"/>
    <col min="6" max="6" width="24.33203125" bestFit="1" customWidth="1"/>
    <col min="7" max="7" width="19" bestFit="1" customWidth="1"/>
    <col min="8" max="8" width="22.109375" customWidth="1"/>
    <col min="9" max="9" width="8.109375" customWidth="1"/>
    <col min="10" max="10" width="19.109375" bestFit="1" customWidth="1"/>
    <col min="11" max="11" width="18.88671875" customWidth="1"/>
    <col min="12" max="13" width="15" bestFit="1" customWidth="1"/>
  </cols>
  <sheetData>
    <row r="1" spans="1:11" ht="30.75" customHeight="1">
      <c r="A1" s="263" t="str">
        <f>DATA!$C$1004</f>
        <v>NRA.N.007-040-2024/1F</v>
      </c>
      <c r="C1" s="1658" t="str">
        <f>DATA!C1005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</row>
    <row r="2" spans="1:11">
      <c r="A2" s="232" t="str">
        <f>'All Hours'!D1</f>
        <v>PLEASE INSERT TENDERER NAME ON INPUT DATA SHEET</v>
      </c>
      <c r="G2" s="280" t="s">
        <v>607</v>
      </c>
      <c r="H2" s="736">
        <f>'F1  Cover'!L8</f>
        <v>45169</v>
      </c>
    </row>
    <row r="3" spans="1:11" ht="28.5" customHeight="1">
      <c r="C3" s="163" t="s">
        <v>220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45135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34</v>
      </c>
      <c r="D5" s="177">
        <f t="shared" ref="D5:H5" si="0">$H$2-D4</f>
        <v>-356599</v>
      </c>
      <c r="E5" s="177">
        <f t="shared" si="0"/>
        <v>-356599</v>
      </c>
      <c r="F5" s="177">
        <f t="shared" si="0"/>
        <v>-356599</v>
      </c>
      <c r="G5" s="177">
        <f t="shared" si="0"/>
        <v>-356599</v>
      </c>
      <c r="H5" s="177">
        <f t="shared" si="0"/>
        <v>-356599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608</v>
      </c>
      <c r="K7" s="124" t="s">
        <v>197</v>
      </c>
    </row>
    <row r="8" spans="1:11">
      <c r="A8" s="124" t="str">
        <f>'ADJ-1'!A9</f>
        <v>EST</v>
      </c>
      <c r="C8" s="152">
        <f>'SUMMARY TENDERED FEE'!B17</f>
        <v>145000000</v>
      </c>
      <c r="D8" s="158">
        <f>'ADJ-1'!B9</f>
        <v>145000000</v>
      </c>
      <c r="E8" s="139">
        <f>'ADJ-2'!B9</f>
        <v>145000000</v>
      </c>
      <c r="F8" s="139">
        <f>'ADJ-3'!B9</f>
        <v>145000000</v>
      </c>
      <c r="G8" s="139">
        <f>'ADJ-4'!B9</f>
        <v>145000000</v>
      </c>
      <c r="H8" s="139">
        <f>'ADJ-5'!B9</f>
        <v>145000000</v>
      </c>
      <c r="I8" s="140"/>
      <c r="J8" s="173">
        <f>DATA!$N$44</f>
        <v>45135</v>
      </c>
      <c r="K8" s="158">
        <f>IF(J8=0,C8,INDEX(C11:H11,1,MATCH(J8,$C$4:$H$4,0)))</f>
        <v>145000000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73</v>
      </c>
      <c r="J9" s="158">
        <f>IF(J8=0,C22,INDEX(C22:H22,1,MATCH(J8,$C$4:$H$4,0)))</f>
        <v>0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74</v>
      </c>
      <c r="J10" s="158">
        <f>IF(J8=0,C23,INDEX(C23:H23,1,MATCH(J8,$C$4:$H$4,0)))</f>
        <v>0</v>
      </c>
    </row>
    <row r="11" spans="1:11">
      <c r="A11" s="124" t="str">
        <f>'ADJ-1'!A12</f>
        <v>updated COW</v>
      </c>
      <c r="C11" s="140">
        <f>C8</f>
        <v>145000000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75</v>
      </c>
      <c r="J11" s="158">
        <f>IF(J8=0,C24,INDEX(C24:H24,1,MATCH(J8,$C$4:$H$4,0)))</f>
        <v>0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76</v>
      </c>
      <c r="J12" s="158">
        <f>IF(J8=0,C25,INDEX(C25:H25,1,MATCH(J8,$C$4:$H$4,0)))</f>
        <v>0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77</v>
      </c>
      <c r="J13" s="158">
        <f>IF(J8=0,C26,INDEX(C26:H26,1,MATCH(J8,$C$4:$H$4,0)))</f>
        <v>0</v>
      </c>
      <c r="K13" s="140">
        <f>SUM(J9:J13)</f>
        <v>0</v>
      </c>
    </row>
    <row r="14" spans="1:11">
      <c r="C14" s="170"/>
      <c r="D14" s="170"/>
      <c r="J14" s="124" t="s">
        <v>196</v>
      </c>
      <c r="K14" s="124" t="s">
        <v>197</v>
      </c>
    </row>
    <row r="15" spans="1:11">
      <c r="A15" s="124" t="str">
        <f>'SUMMARY TENDERED FEE'!E6</f>
        <v>Concept Design (CD)</v>
      </c>
      <c r="B15" s="127">
        <f>'SUMMARY TENDERED FEE'!E7</f>
        <v>0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>
        <f>DATA!$N$45</f>
        <v>45135</v>
      </c>
      <c r="K15" s="158">
        <f>IF(J15=0,C8,INDEX(C11:H11,1,MATCH(J15,$C$4:$H$4,0)))</f>
        <v>145000000</v>
      </c>
    </row>
    <row r="16" spans="1:11">
      <c r="A16" s="124" t="str">
        <f>'SUMMARY TENDERED FEE'!F6</f>
        <v>Preliminary Design (PD)</v>
      </c>
      <c r="B16" s="127">
        <f>'SUMMARY TENDERED FEE'!F7</f>
        <v>0.22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73</v>
      </c>
      <c r="J16" s="158">
        <f>IF(J15=0,C22,INDEX(C22:H22,1,MATCH(J15,$C$4:$H$4,0)))</f>
        <v>0</v>
      </c>
    </row>
    <row r="17" spans="1:11">
      <c r="A17" s="124" t="str">
        <f>'SUMMARY TENDERED FEE'!G6</f>
        <v>Detailed Design (DD)</v>
      </c>
      <c r="B17" s="127">
        <f>'SUMMARY TENDERED FEE'!G7</f>
        <v>0.44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74</v>
      </c>
      <c r="J17" s="158">
        <f>IF(J15=0,C23,INDEX(C23:H23,1,MATCH(J15,$C$4:$H$4,0)))</f>
        <v>0</v>
      </c>
    </row>
    <row r="18" spans="1:11">
      <c r="A18" s="124" t="str">
        <f>'SUMMARY TENDERED FEE'!H6</f>
        <v>Administration &amp; Monitoring (AMW)</v>
      </c>
      <c r="B18" s="127">
        <f>'SUMMARY TENDERED FEE'!H7</f>
        <v>0.28000000000000003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75</v>
      </c>
      <c r="J18" s="158">
        <f>IF(J15=0,C24,INDEX(C24:H24,1,MATCH(J15,$C$4:$H$4,0)))</f>
        <v>0</v>
      </c>
    </row>
    <row r="19" spans="1:11">
      <c r="A19" s="124" t="str">
        <f>'SUMMARY TENDERED FEE'!I6</f>
        <v>Close out (CO)</v>
      </c>
      <c r="B19" s="127">
        <f>'SUMMARY TENDERED FEE'!I7</f>
        <v>0.06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76</v>
      </c>
      <c r="J19" s="158">
        <f>IF(J15=0,C25,INDEX(C25:H25,1,MATCH(J15,$C$4:$H$4,0)))</f>
        <v>0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77</v>
      </c>
      <c r="J20" s="158">
        <f>IF(J15=0,C26,INDEX(C26:H26,1,MATCH(J15,$C$4:$H$4,0)))</f>
        <v>0</v>
      </c>
      <c r="K20" s="140">
        <f>SUM(J16:J20)</f>
        <v>0</v>
      </c>
    </row>
    <row r="21" spans="1:11">
      <c r="A21" s="172" t="s">
        <v>97</v>
      </c>
      <c r="J21" s="124" t="s">
        <v>610</v>
      </c>
      <c r="K21" s="124" t="s">
        <v>197</v>
      </c>
    </row>
    <row r="22" spans="1:11">
      <c r="A22" s="124" t="s">
        <v>65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>
        <f>DATA!$N$45</f>
        <v>45135</v>
      </c>
      <c r="K22" s="158">
        <f>K15</f>
        <v>145000000</v>
      </c>
    </row>
    <row r="23" spans="1:11">
      <c r="A23" s="175" t="s">
        <v>66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73</v>
      </c>
      <c r="J23" s="158">
        <f>J16-J9</f>
        <v>0</v>
      </c>
    </row>
    <row r="24" spans="1:11">
      <c r="A24" s="124" t="s">
        <v>67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74</v>
      </c>
      <c r="J24" s="158">
        <f t="shared" ref="J24:J27" si="3">J17-J10</f>
        <v>0</v>
      </c>
    </row>
    <row r="25" spans="1:11">
      <c r="A25" s="124" t="s">
        <v>68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75</v>
      </c>
      <c r="J25" s="158">
        <f t="shared" si="3"/>
        <v>0</v>
      </c>
    </row>
    <row r="26" spans="1:11">
      <c r="A26" s="124" t="s">
        <v>69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76</v>
      </c>
      <c r="J26" s="158">
        <f t="shared" si="3"/>
        <v>0</v>
      </c>
    </row>
    <row r="27" spans="1:11">
      <c r="I27" s="280" t="s">
        <v>77</v>
      </c>
      <c r="J27" s="158">
        <f t="shared" si="3"/>
        <v>0</v>
      </c>
      <c r="K27" s="140">
        <f>SUM(J23:J27)</f>
        <v>0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608</v>
      </c>
      <c r="K30" s="124" t="s">
        <v>197</v>
      </c>
    </row>
    <row r="31" spans="1:11">
      <c r="A31" s="124" t="s">
        <v>175</v>
      </c>
      <c r="C31" s="152">
        <f>'SUMMARY TENDERED FEE'!B18</f>
        <v>0</v>
      </c>
      <c r="D31" s="158">
        <f>'ADJ-1'!B25</f>
        <v>0</v>
      </c>
      <c r="E31" s="139">
        <f>'ADJ-2'!B25</f>
        <v>0</v>
      </c>
      <c r="F31" s="139">
        <f>'ADJ-3'!B25</f>
        <v>0</v>
      </c>
      <c r="G31" s="139">
        <f>'ADJ-4'!B25</f>
        <v>0</v>
      </c>
      <c r="H31" s="139">
        <f>'ADJ-5'!B25</f>
        <v>0</v>
      </c>
      <c r="I31" s="140"/>
      <c r="J31" s="173">
        <f>DATA!$N$44</f>
        <v>45135</v>
      </c>
      <c r="K31" s="158">
        <f>IF(J31=0,C31,INDEX(C34:H34,1,MATCH(J31,$C$4:$H$4,0)))</f>
        <v>0</v>
      </c>
    </row>
    <row r="32" spans="1:11">
      <c r="A32" s="124" t="s">
        <v>176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73</v>
      </c>
      <c r="J32" s="158">
        <f>IF(J31=0,C45,INDEX(C45:H45,1,MATCH(J31,$C$4:$H$4,0)))</f>
        <v>0</v>
      </c>
    </row>
    <row r="33" spans="1:11">
      <c r="A33" s="124" t="s">
        <v>177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74</v>
      </c>
      <c r="J33" s="158">
        <f>IF(J31=0,C46,INDEX(C46:H46,1,MATCH(J31,$C$4:$H$4,0)))</f>
        <v>0</v>
      </c>
    </row>
    <row r="34" spans="1:11">
      <c r="A34" s="124" t="s">
        <v>178</v>
      </c>
      <c r="C34" s="140">
        <f>C31</f>
        <v>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75</v>
      </c>
      <c r="J34" s="158">
        <f>IF(J31=0,C47,INDEX(C47:H47,1,MATCH(J31,$C$4:$H$4,0)))</f>
        <v>0</v>
      </c>
    </row>
    <row r="35" spans="1:11">
      <c r="A35" s="124" t="s">
        <v>179</v>
      </c>
      <c r="D35" s="169">
        <f>'ADJ-1'!B29</f>
        <v>1</v>
      </c>
      <c r="E35" s="169">
        <f>'ADJ-2'!B29</f>
        <v>1</v>
      </c>
      <c r="F35" s="169">
        <f>'ADJ-3'!B29</f>
        <v>1</v>
      </c>
      <c r="G35" s="169">
        <f>'ADJ-4'!B29</f>
        <v>1</v>
      </c>
      <c r="H35" s="169">
        <f>'ADJ-5'!B29</f>
        <v>1</v>
      </c>
      <c r="I35" s="280" t="s">
        <v>76</v>
      </c>
      <c r="J35" s="158">
        <f>IF(J31=0,C48,INDEX(C48:H48,1,MATCH(J31,$C$4:$H$4,0)))</f>
        <v>0</v>
      </c>
    </row>
    <row r="36" spans="1:11">
      <c r="A36" s="124" t="s">
        <v>180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77</v>
      </c>
      <c r="J36" s="158">
        <f>IF(J31=0,C49,INDEX(C49:H49,1,MATCH(J31,$C$4:$H$4,0)))</f>
        <v>0</v>
      </c>
      <c r="K36" s="140">
        <f>SUM(J32:J36)</f>
        <v>0</v>
      </c>
    </row>
    <row r="37" spans="1:11">
      <c r="C37" s="170"/>
      <c r="D37" s="170"/>
      <c r="J37" s="124" t="s">
        <v>196</v>
      </c>
      <c r="K37" s="124" t="s">
        <v>197</v>
      </c>
    </row>
    <row r="38" spans="1:11">
      <c r="A38" s="124" t="s">
        <v>65</v>
      </c>
      <c r="B38" s="127">
        <f>'SUMMARY TENDERED FEE'!E8</f>
        <v>0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>
        <f>DATA!$N$45</f>
        <v>45135</v>
      </c>
      <c r="K38" s="158">
        <f>IF(J38=0,C31,INDEX(C34:H34,1,MATCH(J38,$C$4:$H$4,0)))</f>
        <v>0</v>
      </c>
    </row>
    <row r="39" spans="1:11">
      <c r="A39" s="124" t="s">
        <v>66</v>
      </c>
      <c r="B39" s="127">
        <f>'SUMMARY TENDERED FEE'!F8</f>
        <v>0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73</v>
      </c>
      <c r="J39" s="158">
        <f>IF(J38=0,C45,INDEX(C45:H45,1,MATCH(J38,$C$4:$H$4,0)))</f>
        <v>0</v>
      </c>
    </row>
    <row r="40" spans="1:11">
      <c r="A40" s="124" t="s">
        <v>67</v>
      </c>
      <c r="B40" s="127">
        <f>'SUMMARY TENDERED FEE'!G8</f>
        <v>0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74</v>
      </c>
      <c r="J40" s="158">
        <f>IF(J38=0,C46,INDEX(C46:H46,1,MATCH(J38,$C$4:$H$4,0)))</f>
        <v>0</v>
      </c>
    </row>
    <row r="41" spans="1:11">
      <c r="A41" s="124" t="s">
        <v>68</v>
      </c>
      <c r="B41" s="127">
        <f>'SUMMARY TENDERED FEE'!H8</f>
        <v>0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75</v>
      </c>
      <c r="J41" s="158">
        <f>IF(J38=0,C47,INDEX(C47:H47,1,MATCH(J38,$C$4:$H$4,0)))</f>
        <v>0</v>
      </c>
    </row>
    <row r="42" spans="1:11">
      <c r="A42" s="124" t="s">
        <v>69</v>
      </c>
      <c r="B42" s="127">
        <f>'SUMMARY TENDERED FEE'!I8</f>
        <v>0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76</v>
      </c>
      <c r="J42" s="158">
        <f>IF(J38=0,C48,INDEX(C48:H48,1,MATCH(J38,$C$4:$H$4,0)))</f>
        <v>0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77</v>
      </c>
      <c r="J43" s="158">
        <f>IF(J38=0,C49,INDEX(C49:H49,1,MATCH(J38,$C$4:$H$4,0)))</f>
        <v>0</v>
      </c>
      <c r="K43" s="140">
        <f>SUM(J39:J43)</f>
        <v>0</v>
      </c>
    </row>
    <row r="44" spans="1:11">
      <c r="A44" s="172" t="s">
        <v>97</v>
      </c>
      <c r="J44" s="124" t="s">
        <v>610</v>
      </c>
      <c r="K44" s="124" t="s">
        <v>197</v>
      </c>
    </row>
    <row r="45" spans="1:11">
      <c r="A45" s="124" t="s">
        <v>65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>
        <f>DATA!$N$45</f>
        <v>45135</v>
      </c>
      <c r="K45" s="158">
        <f>K38</f>
        <v>0</v>
      </c>
    </row>
    <row r="46" spans="1:11">
      <c r="A46" s="175" t="s">
        <v>66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73</v>
      </c>
      <c r="J46" s="158">
        <f>J39-J32</f>
        <v>0</v>
      </c>
    </row>
    <row r="47" spans="1:11">
      <c r="A47" s="124" t="s">
        <v>67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74</v>
      </c>
      <c r="J47" s="158">
        <f t="shared" ref="J47:J50" si="7">J40-J33</f>
        <v>0</v>
      </c>
    </row>
    <row r="48" spans="1:11">
      <c r="A48" s="124" t="s">
        <v>68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75</v>
      </c>
      <c r="J48" s="158">
        <f t="shared" si="7"/>
        <v>0</v>
      </c>
    </row>
    <row r="49" spans="1:17">
      <c r="A49" s="124" t="s">
        <v>69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76</v>
      </c>
      <c r="J49" s="158">
        <f t="shared" si="7"/>
        <v>0</v>
      </c>
    </row>
    <row r="50" spans="1:17">
      <c r="A50" s="176"/>
      <c r="I50" s="280" t="s">
        <v>77</v>
      </c>
      <c r="J50" s="158">
        <f t="shared" si="7"/>
        <v>0</v>
      </c>
      <c r="K50" s="140">
        <f>SUM(J46:J50)</f>
        <v>0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608</v>
      </c>
      <c r="K54" s="124" t="s">
        <v>197</v>
      </c>
      <c r="L54" s="159"/>
      <c r="M54" s="134"/>
      <c r="N54" s="134"/>
      <c r="O54" s="134"/>
      <c r="P54" s="134"/>
    </row>
    <row r="55" spans="1:17">
      <c r="A55" s="124" t="s">
        <v>175</v>
      </c>
      <c r="C55" s="152">
        <f>'SUMMARY TENDERED FEE'!B19</f>
        <v>0</v>
      </c>
      <c r="D55" s="158">
        <f>'ADJ-1'!B41</f>
        <v>0</v>
      </c>
      <c r="E55" s="139">
        <f>'ADJ-2'!B41</f>
        <v>0</v>
      </c>
      <c r="F55" s="139">
        <f>'ADJ-3'!B41</f>
        <v>0</v>
      </c>
      <c r="G55" s="139">
        <f>'ADJ-4'!B41</f>
        <v>0</v>
      </c>
      <c r="H55" s="139">
        <f>'ADJ-5'!B41</f>
        <v>0</v>
      </c>
      <c r="I55" s="140"/>
      <c r="J55" s="173">
        <f>DATA!$N$44</f>
        <v>45135</v>
      </c>
      <c r="K55" s="158">
        <f>IF(J55=0,C55,INDEX(C58:H58,1,MATCH(J55,$C$4:$H$4,0)))</f>
        <v>0</v>
      </c>
      <c r="L55" s="159"/>
      <c r="M55" s="134"/>
      <c r="N55" s="134"/>
      <c r="O55" s="134"/>
      <c r="P55" s="134"/>
    </row>
    <row r="56" spans="1:17">
      <c r="A56" s="124" t="s">
        <v>176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73</v>
      </c>
      <c r="J56" s="158">
        <f>IF(J55=0,C69,INDEX(C69:H69,1,MATCH(J55,$C$4:$H$4,0)))</f>
        <v>0</v>
      </c>
      <c r="L56" s="159"/>
      <c r="M56" s="134"/>
      <c r="N56" s="134"/>
      <c r="O56" s="134"/>
      <c r="P56" s="134"/>
    </row>
    <row r="57" spans="1:17">
      <c r="A57" s="124" t="s">
        <v>177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74</v>
      </c>
      <c r="J57" s="158">
        <f>IF(J55=0,C70,INDEX(C70:H70,1,MATCH(J55,$C$4:$H$4,0)))</f>
        <v>0</v>
      </c>
      <c r="L57" s="159"/>
      <c r="M57" s="134"/>
      <c r="N57" s="134"/>
      <c r="O57" s="134"/>
      <c r="P57" s="134"/>
    </row>
    <row r="58" spans="1:17">
      <c r="A58" s="124" t="s">
        <v>178</v>
      </c>
      <c r="C58" s="140">
        <f>C55</f>
        <v>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75</v>
      </c>
      <c r="J58" s="158">
        <f>IF(J55=0,C71,INDEX(C71:H71,1,MATCH(J55,$C$4:$H$4,0)))</f>
        <v>0</v>
      </c>
      <c r="L58" s="159"/>
      <c r="M58" s="134"/>
      <c r="N58" s="134"/>
      <c r="O58" s="134"/>
      <c r="P58" s="134"/>
    </row>
    <row r="59" spans="1:17">
      <c r="A59" s="124" t="s">
        <v>179</v>
      </c>
      <c r="D59" s="169">
        <f>'ADJ-1'!B45</f>
        <v>1</v>
      </c>
      <c r="E59" s="169">
        <f>'ADJ-2'!B45</f>
        <v>1</v>
      </c>
      <c r="F59" s="169">
        <f>'ADJ-3'!B45</f>
        <v>1</v>
      </c>
      <c r="G59" s="169">
        <f>'ADJ-4'!B45</f>
        <v>1</v>
      </c>
      <c r="H59" s="169">
        <f>'ADJ-5'!B45</f>
        <v>1</v>
      </c>
      <c r="I59" s="280" t="s">
        <v>76</v>
      </c>
      <c r="J59" s="158">
        <f>IF(J55=0,C72,INDEX(C72:H72,1,MATCH(J55,$C$4:$H$4,0)))</f>
        <v>0</v>
      </c>
      <c r="L59" s="159"/>
      <c r="M59" s="134"/>
      <c r="N59" s="134"/>
      <c r="O59" s="134"/>
      <c r="P59" s="134"/>
    </row>
    <row r="60" spans="1:17">
      <c r="A60" s="124" t="s">
        <v>180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77</v>
      </c>
      <c r="J60" s="158">
        <f>IF(J55=0,C73,INDEX(C73:H73,1,MATCH(J55,$C$4:$H$4,0)))</f>
        <v>0</v>
      </c>
      <c r="K60" s="140">
        <f>SUM(J56:J60)</f>
        <v>0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196</v>
      </c>
      <c r="K61" s="124" t="s">
        <v>197</v>
      </c>
      <c r="L61" s="159"/>
      <c r="M61" s="134"/>
      <c r="N61" s="134"/>
      <c r="O61" s="134"/>
      <c r="P61" s="134"/>
      <c r="Q61" s="121"/>
    </row>
    <row r="62" spans="1:17">
      <c r="A62" s="124" t="s">
        <v>65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>
        <f>DATA!$N$45</f>
        <v>45135</v>
      </c>
      <c r="K62" s="158">
        <f>IF(J62=0,C55,INDEX(C58:H58,1,MATCH(J62,$C$4:$H$4,0)))</f>
        <v>0</v>
      </c>
      <c r="L62" s="159"/>
      <c r="M62" s="134"/>
      <c r="N62" s="134"/>
      <c r="O62" s="134"/>
      <c r="P62" s="134"/>
    </row>
    <row r="63" spans="1:17">
      <c r="A63" s="124" t="s">
        <v>66</v>
      </c>
      <c r="B63" s="127">
        <f>'SUMMARY TENDERED FEE'!F9</f>
        <v>0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73</v>
      </c>
      <c r="J63" s="158">
        <f>IF(J62=0,C69,INDEX(C69:H69,1,MATCH(J62,$C$4:$H$4,0)))</f>
        <v>0</v>
      </c>
      <c r="L63" s="159"/>
      <c r="M63" s="134"/>
      <c r="N63" s="134"/>
      <c r="O63" s="134"/>
      <c r="P63" s="134"/>
    </row>
    <row r="64" spans="1:17">
      <c r="A64" s="124" t="s">
        <v>67</v>
      </c>
      <c r="B64" s="127">
        <f>'SUMMARY TENDERED FEE'!G9</f>
        <v>0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74</v>
      </c>
      <c r="J64" s="158">
        <f>IF(J62=0,C70,INDEX(C70:H70,1,MATCH(J62,$C$4:$H$4,0)))</f>
        <v>0</v>
      </c>
    </row>
    <row r="65" spans="1:17">
      <c r="A65" s="124" t="s">
        <v>68</v>
      </c>
      <c r="B65" s="127">
        <f>'SUMMARY TENDERED FEE'!H9</f>
        <v>0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75</v>
      </c>
      <c r="J65" s="158">
        <f>IF(J62=0,C71,INDEX(C71:H71,1,MATCH(J62,$C$4:$H$4,0)))</f>
        <v>0</v>
      </c>
    </row>
    <row r="66" spans="1:17">
      <c r="A66" s="124" t="s">
        <v>69</v>
      </c>
      <c r="B66" s="127">
        <f>'SUMMARY TENDERED FEE'!I9</f>
        <v>0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76</v>
      </c>
      <c r="J66" s="158">
        <f>IF(J62=0,C72,INDEX(C72:H72,1,MATCH(J62,$C$4:$H$4,0)))</f>
        <v>0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77</v>
      </c>
      <c r="J67" s="158">
        <f>IF(J62=0,C73,INDEX(C73:H73,1,MATCH(J62,$C$4:$H$4,0)))</f>
        <v>0</v>
      </c>
      <c r="K67" s="140">
        <f>SUM(J63:J67)</f>
        <v>0</v>
      </c>
    </row>
    <row r="68" spans="1:17">
      <c r="A68" s="172" t="s">
        <v>97</v>
      </c>
      <c r="J68" s="124" t="s">
        <v>610</v>
      </c>
      <c r="K68" s="124" t="s">
        <v>197</v>
      </c>
    </row>
    <row r="69" spans="1:17">
      <c r="A69" s="124" t="s">
        <v>65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>
        <f>DATA!$N$45</f>
        <v>45135</v>
      </c>
      <c r="K69" s="158">
        <f>K62</f>
        <v>0</v>
      </c>
    </row>
    <row r="70" spans="1:17">
      <c r="A70" s="175" t="s">
        <v>66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73</v>
      </c>
      <c r="J70" s="158">
        <f>J63-J56</f>
        <v>0</v>
      </c>
    </row>
    <row r="71" spans="1:17">
      <c r="A71" s="124" t="s">
        <v>67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74</v>
      </c>
      <c r="J71" s="158">
        <f t="shared" ref="J71:J74" si="12">J64-J57</f>
        <v>0</v>
      </c>
    </row>
    <row r="72" spans="1:17">
      <c r="A72" s="124" t="s">
        <v>68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75</v>
      </c>
      <c r="J72" s="158">
        <f t="shared" si="12"/>
        <v>0</v>
      </c>
    </row>
    <row r="73" spans="1:17">
      <c r="A73" s="124" t="s">
        <v>69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76</v>
      </c>
      <c r="J73" s="158">
        <f t="shared" si="12"/>
        <v>0</v>
      </c>
    </row>
    <row r="74" spans="1:17">
      <c r="A74" s="176"/>
      <c r="I74" s="280" t="s">
        <v>77</v>
      </c>
      <c r="J74" s="158">
        <f t="shared" si="12"/>
        <v>0</v>
      </c>
      <c r="K74" s="140">
        <f>SUM(J70:J74)</f>
        <v>0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608</v>
      </c>
      <c r="K77" s="124" t="s">
        <v>197</v>
      </c>
      <c r="L77" s="140"/>
      <c r="M77" s="159"/>
      <c r="N77" s="134"/>
      <c r="O77" s="134"/>
      <c r="P77" s="134"/>
      <c r="Q77" s="134"/>
    </row>
    <row r="78" spans="1:17">
      <c r="A78" s="124" t="s">
        <v>175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>
        <f>DATA!$N$44</f>
        <v>45135</v>
      </c>
      <c r="K78" s="158">
        <f>IF(J78=0,C78,INDEX(C81:H81,1,MATCH(J78,$C$4:$H$4,0)))</f>
        <v>0</v>
      </c>
      <c r="M78" s="159"/>
      <c r="N78" s="134"/>
      <c r="O78" s="134"/>
      <c r="P78" s="134"/>
      <c r="Q78" s="134"/>
    </row>
    <row r="79" spans="1:17">
      <c r="A79" s="124" t="s">
        <v>176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73</v>
      </c>
      <c r="J79" s="158">
        <f>IF(J78=0,C92,INDEX(C92:H92,1,MATCH(J78,$C$4:$H$4,0)))</f>
        <v>0</v>
      </c>
      <c r="M79" s="159"/>
      <c r="N79" s="134"/>
      <c r="O79" s="134"/>
      <c r="P79" s="134"/>
      <c r="Q79" s="134"/>
    </row>
    <row r="80" spans="1:17">
      <c r="A80" s="124" t="s">
        <v>177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74</v>
      </c>
      <c r="J80" s="158">
        <f>IF(J78=0,C93,INDEX(C93:H93,1,MATCH(J78,$C$4:$H$4,0)))</f>
        <v>0</v>
      </c>
      <c r="M80" s="159"/>
      <c r="N80" s="134"/>
      <c r="O80" s="134"/>
      <c r="P80" s="134"/>
      <c r="Q80" s="134"/>
    </row>
    <row r="81" spans="1:17">
      <c r="A81" s="124" t="s">
        <v>178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75</v>
      </c>
      <c r="J81" s="158">
        <f>IF(J78=0,C94,INDEX(C94:H94,1,MATCH(J78,$C$4:$H$4,0)))</f>
        <v>0</v>
      </c>
      <c r="M81" s="159"/>
      <c r="N81" s="134"/>
      <c r="O81" s="134"/>
      <c r="P81" s="134"/>
      <c r="Q81" s="134"/>
    </row>
    <row r="82" spans="1:17">
      <c r="A82" s="124" t="s">
        <v>179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76</v>
      </c>
      <c r="J82" s="158">
        <f>IF(J78=0,C95,INDEX(C95:H95,1,MATCH(J78,$C$4:$H$4,0)))</f>
        <v>0</v>
      </c>
      <c r="M82" s="159"/>
      <c r="N82" s="134"/>
      <c r="O82" s="134"/>
      <c r="P82" s="134"/>
      <c r="Q82" s="134"/>
    </row>
    <row r="83" spans="1:17">
      <c r="A83" s="124" t="s">
        <v>180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77</v>
      </c>
      <c r="J83" s="158">
        <f>IF(J78=0,C96,INDEX(C96:H96,1,MATCH(J78,$C$4:$H$4,0)))</f>
        <v>0</v>
      </c>
      <c r="K83" s="140">
        <f>SUM(J79:J83)</f>
        <v>0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196</v>
      </c>
      <c r="K84" s="124" t="s">
        <v>197</v>
      </c>
      <c r="M84" s="159"/>
      <c r="N84" s="134"/>
      <c r="O84" s="134"/>
      <c r="P84" s="134"/>
      <c r="Q84" s="134"/>
    </row>
    <row r="85" spans="1:17">
      <c r="A85" s="124" t="s">
        <v>65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>
        <f>DATA!$N$45</f>
        <v>45135</v>
      </c>
      <c r="K85" s="158">
        <f>IF(J85=0,C78,INDEX(C81:H81,1,MATCH(J85,$C$4:$H$4,0)))</f>
        <v>0</v>
      </c>
      <c r="M85" s="159"/>
      <c r="N85" s="134"/>
      <c r="O85" s="134"/>
      <c r="P85" s="134"/>
      <c r="Q85" s="134"/>
    </row>
    <row r="86" spans="1:17">
      <c r="A86" s="124" t="s">
        <v>66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73</v>
      </c>
      <c r="J86" s="158">
        <f>IF(J85=0,C92,INDEX(C92:H92,1,MATCH(J85,$C$4:$H$4,0)))</f>
        <v>0</v>
      </c>
      <c r="M86" s="159"/>
      <c r="N86" s="134"/>
      <c r="O86" s="134"/>
      <c r="P86" s="134"/>
      <c r="Q86" s="134"/>
    </row>
    <row r="87" spans="1:17">
      <c r="A87" s="124" t="s">
        <v>67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74</v>
      </c>
      <c r="J87" s="158">
        <f>IF(J85=0,C93,INDEX(C93:H93,1,MATCH(J85,$C$4:$H$4,0)))</f>
        <v>0</v>
      </c>
      <c r="M87" s="159"/>
      <c r="N87" s="134"/>
      <c r="O87" s="134"/>
      <c r="P87" s="134"/>
      <c r="Q87" s="134"/>
    </row>
    <row r="88" spans="1:17">
      <c r="A88" s="124" t="s">
        <v>68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75</v>
      </c>
      <c r="J88" s="158">
        <f>IF(J85=0,C94,INDEX(C94:H94,1,MATCH(J85,$C$4:$H$4,0)))</f>
        <v>0</v>
      </c>
    </row>
    <row r="89" spans="1:17">
      <c r="A89" s="124" t="s">
        <v>69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76</v>
      </c>
      <c r="J89" s="158">
        <f>IF(J85=0,C95,INDEX(C95:H95,1,MATCH(J85,$C$4:$H$4,0)))</f>
        <v>0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77</v>
      </c>
      <c r="J90" s="158">
        <f>IF(J85=0,C96,INDEX(C96:H96,1,MATCH(J85,$C$4:$H$4,0)))</f>
        <v>0</v>
      </c>
      <c r="K90" s="140">
        <f>SUM(J86:J90)</f>
        <v>0</v>
      </c>
    </row>
    <row r="91" spans="1:17">
      <c r="A91" s="172" t="s">
        <v>97</v>
      </c>
      <c r="J91" s="124" t="s">
        <v>610</v>
      </c>
      <c r="K91" s="124" t="s">
        <v>197</v>
      </c>
    </row>
    <row r="92" spans="1:17">
      <c r="A92" s="124" t="s">
        <v>65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>
        <f>DATA!$N$45</f>
        <v>45135</v>
      </c>
      <c r="K92" s="158">
        <f>K85</f>
        <v>0</v>
      </c>
    </row>
    <row r="93" spans="1:17">
      <c r="A93" s="175" t="s">
        <v>66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73</v>
      </c>
      <c r="J93" s="158">
        <f>J86-J79</f>
        <v>0</v>
      </c>
    </row>
    <row r="94" spans="1:17">
      <c r="A94" s="124" t="s">
        <v>67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74</v>
      </c>
      <c r="J94" s="158">
        <f t="shared" ref="J94:J97" si="17">J87-J80</f>
        <v>0</v>
      </c>
    </row>
    <row r="95" spans="1:17">
      <c r="A95" s="124" t="s">
        <v>68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75</v>
      </c>
      <c r="J95" s="158">
        <f t="shared" si="17"/>
        <v>0</v>
      </c>
    </row>
    <row r="96" spans="1:17">
      <c r="A96" s="124" t="s">
        <v>69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76</v>
      </c>
      <c r="J96" s="158">
        <f t="shared" si="17"/>
        <v>0</v>
      </c>
    </row>
    <row r="97" spans="1:16">
      <c r="I97" s="280" t="s">
        <v>77</v>
      </c>
      <c r="J97" s="158">
        <f t="shared" si="17"/>
        <v>0</v>
      </c>
      <c r="K97" s="140">
        <f>SUM(J93:J97)</f>
        <v>0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608</v>
      </c>
      <c r="K100" s="124" t="s">
        <v>197</v>
      </c>
      <c r="L100" s="159"/>
      <c r="M100" s="134"/>
      <c r="N100" s="134"/>
      <c r="O100" s="134"/>
      <c r="P100" s="134"/>
    </row>
    <row r="101" spans="1:16">
      <c r="A101" s="124" t="s">
        <v>175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>
        <f>DATA!$N$44</f>
        <v>45135</v>
      </c>
      <c r="K101" s="158">
        <f>IF(J101=0,C101,INDEX(C104:H104,1,MATCH(J101,$C$4:$H$4,0)))</f>
        <v>0</v>
      </c>
      <c r="L101" s="159"/>
      <c r="M101" s="134"/>
      <c r="N101" s="134"/>
      <c r="O101" s="134"/>
      <c r="P101" s="134"/>
    </row>
    <row r="102" spans="1:16">
      <c r="A102" s="124" t="s">
        <v>176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73</v>
      </c>
      <c r="J102" s="158">
        <f>IF(J101=0,C115,INDEX(C115:H115,1,MATCH(J101,$C$4:$H$4,0)))</f>
        <v>0</v>
      </c>
      <c r="L102" s="159"/>
      <c r="M102" s="134"/>
      <c r="N102" s="134"/>
      <c r="O102" s="134"/>
      <c r="P102" s="134"/>
    </row>
    <row r="103" spans="1:16">
      <c r="A103" s="124" t="s">
        <v>177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74</v>
      </c>
      <c r="J103" s="158">
        <f>IF(J101=0,C116,INDEX(C116:H116,1,MATCH(J101,$C$4:$H$4,0)))</f>
        <v>0</v>
      </c>
      <c r="L103" s="159"/>
      <c r="M103" s="134"/>
      <c r="N103" s="134"/>
      <c r="O103" s="134"/>
      <c r="P103" s="134"/>
    </row>
    <row r="104" spans="1:16">
      <c r="A104" s="124" t="s">
        <v>178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75</v>
      </c>
      <c r="J104" s="158">
        <f>IF(J101=0,C117,INDEX(C117:H117,1,MATCH(J101,$C$4:$H$4,0)))</f>
        <v>0</v>
      </c>
      <c r="L104" s="159"/>
      <c r="M104" s="134"/>
      <c r="N104" s="134"/>
      <c r="O104" s="134"/>
      <c r="P104" s="134"/>
    </row>
    <row r="105" spans="1:16">
      <c r="A105" s="124" t="s">
        <v>179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76</v>
      </c>
      <c r="J105" s="158">
        <f>IF(J101=0,C118,INDEX(C118:H118,1,MATCH(J101,$C$4:$H$4,0)))</f>
        <v>0</v>
      </c>
      <c r="L105" s="159"/>
      <c r="M105" s="134"/>
      <c r="N105" s="134"/>
      <c r="O105" s="134"/>
      <c r="P105" s="134"/>
    </row>
    <row r="106" spans="1:16">
      <c r="A106" s="124" t="s">
        <v>180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77</v>
      </c>
      <c r="J106" s="158">
        <f>IF(J101=0,C119,INDEX(C119:H119,1,MATCH(J101,$C$4:$H$4,0)))</f>
        <v>0</v>
      </c>
      <c r="K106" s="140">
        <f>SUM(J102:J106)</f>
        <v>0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196</v>
      </c>
      <c r="K107" s="124" t="s">
        <v>197</v>
      </c>
      <c r="L107" s="159"/>
      <c r="M107" s="134"/>
      <c r="N107" s="134"/>
      <c r="O107" s="134"/>
      <c r="P107" s="134"/>
    </row>
    <row r="108" spans="1:16">
      <c r="A108" s="124" t="s">
        <v>65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>
        <f>DATA!$N$45</f>
        <v>45135</v>
      </c>
      <c r="K108" s="158">
        <f>IF(J108=0,C101,INDEX(C104:H104,1,MATCH(J108,$C$4:$H$4,0)))</f>
        <v>0</v>
      </c>
      <c r="L108" s="159"/>
      <c r="M108" s="134"/>
      <c r="N108" s="134"/>
      <c r="O108" s="134"/>
      <c r="P108" s="134"/>
    </row>
    <row r="109" spans="1:16">
      <c r="A109" s="124" t="s">
        <v>66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73</v>
      </c>
      <c r="J109" s="158">
        <f>IF(J108=0,C115,INDEX(C115:H115,1,MATCH(J108,$C$4:$H$4,0)))</f>
        <v>0</v>
      </c>
      <c r="L109" s="159"/>
      <c r="M109" s="134"/>
      <c r="N109" s="134"/>
      <c r="O109" s="134"/>
      <c r="P109" s="134"/>
    </row>
    <row r="110" spans="1:16">
      <c r="A110" s="124" t="s">
        <v>67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74</v>
      </c>
      <c r="J110" s="158">
        <f>IF(J108=0,C116,INDEX(C116:H116,1,MATCH(J108,$C$4:$H$4,0)))</f>
        <v>0</v>
      </c>
      <c r="L110" s="159"/>
      <c r="M110" s="134"/>
      <c r="N110" s="134"/>
      <c r="O110" s="134"/>
      <c r="P110" s="134"/>
    </row>
    <row r="111" spans="1:16">
      <c r="A111" s="124" t="s">
        <v>68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75</v>
      </c>
      <c r="J111" s="158">
        <f>IF(J108=0,C117,INDEX(C117:H117,1,MATCH(J108,$C$4:$H$4,0)))</f>
        <v>0</v>
      </c>
    </row>
    <row r="112" spans="1:16">
      <c r="A112" s="124" t="s">
        <v>69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76</v>
      </c>
      <c r="J112" s="158">
        <f>IF(J108=0,C118,INDEX(C118:H118,1,MATCH(J108,$C$4:$H$4,0)))</f>
        <v>0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77</v>
      </c>
      <c r="J113" s="158">
        <f>IF(J108=0,C119,INDEX(C119:H119,1,MATCH(J108,$C$4:$H$4,0)))</f>
        <v>0</v>
      </c>
      <c r="K113" s="140">
        <f>SUM(J109:J113)</f>
        <v>0</v>
      </c>
    </row>
    <row r="114" spans="1:17">
      <c r="A114" s="172" t="s">
        <v>97</v>
      </c>
      <c r="J114" s="124" t="s">
        <v>610</v>
      </c>
      <c r="K114" s="124" t="s">
        <v>197</v>
      </c>
    </row>
    <row r="115" spans="1:17">
      <c r="A115" s="124" t="s">
        <v>65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>
        <f>DATA!$N$45</f>
        <v>45135</v>
      </c>
      <c r="K115" s="158">
        <f>K108</f>
        <v>0</v>
      </c>
    </row>
    <row r="116" spans="1:17">
      <c r="A116" s="175" t="s">
        <v>66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73</v>
      </c>
      <c r="J116" s="158">
        <f>J109-J102</f>
        <v>0</v>
      </c>
    </row>
    <row r="117" spans="1:17">
      <c r="A117" s="124" t="s">
        <v>67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74</v>
      </c>
      <c r="J117" s="158">
        <f t="shared" ref="J117:J120" si="22">J110-J103</f>
        <v>0</v>
      </c>
    </row>
    <row r="118" spans="1:17">
      <c r="A118" s="124" t="s">
        <v>68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75</v>
      </c>
      <c r="J118" s="158">
        <f t="shared" si="22"/>
        <v>0</v>
      </c>
    </row>
    <row r="119" spans="1:17">
      <c r="A119" s="124" t="s">
        <v>69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76</v>
      </c>
      <c r="J119" s="158">
        <f t="shared" si="22"/>
        <v>0</v>
      </c>
    </row>
    <row r="120" spans="1:17">
      <c r="I120" s="280" t="s">
        <v>77</v>
      </c>
      <c r="J120" s="158">
        <f t="shared" si="22"/>
        <v>0</v>
      </c>
      <c r="K120" s="140">
        <f>SUM(J116:J120)</f>
        <v>0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608</v>
      </c>
      <c r="K123" s="124" t="s">
        <v>197</v>
      </c>
      <c r="M123" s="159"/>
      <c r="N123" s="134"/>
      <c r="O123" s="134"/>
      <c r="P123" s="134"/>
      <c r="Q123" s="134"/>
    </row>
    <row r="124" spans="1:17">
      <c r="A124" s="124" t="s">
        <v>175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>
        <f>DATA!$N$44</f>
        <v>45135</v>
      </c>
      <c r="K124" s="158">
        <f>IF(J124=0,C124,INDEX(C127:H127,1,MATCH(J124,$C$4:$H$4,0)))</f>
        <v>0</v>
      </c>
      <c r="M124" s="159"/>
      <c r="N124" s="134"/>
      <c r="O124" s="134"/>
      <c r="P124" s="134"/>
      <c r="Q124" s="134"/>
    </row>
    <row r="125" spans="1:17">
      <c r="A125" s="124" t="s">
        <v>176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73</v>
      </c>
      <c r="J125" s="158">
        <f>IF(J124=0,C138,INDEX(C138:H138,1,MATCH(J124,$C$4:$H$4,0)))</f>
        <v>0</v>
      </c>
      <c r="M125" s="159"/>
      <c r="N125" s="134"/>
      <c r="O125" s="134"/>
      <c r="P125" s="134"/>
      <c r="Q125" s="134"/>
    </row>
    <row r="126" spans="1:17">
      <c r="A126" s="124" t="s">
        <v>177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74</v>
      </c>
      <c r="J126" s="158">
        <f>IF(J124=0,C139,INDEX(C139:H139,1,MATCH(J124,$C$4:$H$4,0)))</f>
        <v>0</v>
      </c>
      <c r="M126" s="159"/>
      <c r="N126" s="134"/>
      <c r="O126" s="134"/>
      <c r="P126" s="134"/>
      <c r="Q126" s="134"/>
    </row>
    <row r="127" spans="1:17">
      <c r="A127" s="124" t="s">
        <v>178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75</v>
      </c>
      <c r="J127" s="158">
        <f>IF(J124=0,C140,INDEX(C140:H140,1,MATCH(J124,$C$4:$H$4,0)))</f>
        <v>0</v>
      </c>
      <c r="M127" s="159"/>
      <c r="N127" s="134"/>
      <c r="O127" s="134"/>
      <c r="P127" s="134"/>
      <c r="Q127" s="134"/>
    </row>
    <row r="128" spans="1:17">
      <c r="A128" s="124" t="s">
        <v>179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76</v>
      </c>
      <c r="J128" s="158">
        <f>IF(J124=0,C141,INDEX(C141:H141,1,MATCH(J124,$C$4:$H$4,0)))</f>
        <v>0</v>
      </c>
      <c r="M128" s="159"/>
      <c r="N128" s="134"/>
      <c r="O128" s="134"/>
      <c r="P128" s="134"/>
      <c r="Q128" s="134"/>
    </row>
    <row r="129" spans="1:17">
      <c r="A129" s="124" t="s">
        <v>180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77</v>
      </c>
      <c r="J129" s="158">
        <f>IF(J124=0,C142,INDEX(C142:H142,1,MATCH(J124,$C$4:$H$4,0)))</f>
        <v>0</v>
      </c>
      <c r="K129" s="140">
        <f>SUM(J125:J129)</f>
        <v>0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196</v>
      </c>
      <c r="K130" s="124" t="s">
        <v>197</v>
      </c>
      <c r="M130" s="159"/>
      <c r="N130" s="134"/>
      <c r="O130" s="134"/>
      <c r="P130" s="134"/>
      <c r="Q130" s="134"/>
    </row>
    <row r="131" spans="1:17">
      <c r="A131" s="124" t="s">
        <v>65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>
        <f>DATA!$N$45</f>
        <v>45135</v>
      </c>
      <c r="K131" s="158">
        <f>IF(J131=0,C124,INDEX(C127:H127,1,MATCH(J131,$C$4:$H$4,0)))</f>
        <v>0</v>
      </c>
      <c r="M131" s="159"/>
      <c r="N131" s="134"/>
      <c r="O131" s="134"/>
      <c r="P131" s="134"/>
      <c r="Q131" s="134"/>
    </row>
    <row r="132" spans="1:17">
      <c r="A132" s="124" t="s">
        <v>66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73</v>
      </c>
      <c r="J132" s="158">
        <f>IF(J131=0,C138,INDEX(C138:H138,1,MATCH(J131,$C$4:$H$4,0)))</f>
        <v>0</v>
      </c>
      <c r="M132" s="159"/>
      <c r="N132" s="134"/>
      <c r="O132" s="134"/>
      <c r="P132" s="134"/>
      <c r="Q132" s="134"/>
    </row>
    <row r="133" spans="1:17">
      <c r="A133" s="124" t="s">
        <v>67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74</v>
      </c>
      <c r="J133" s="158">
        <f>IF(J131=0,C139,INDEX(C139:H139,1,MATCH(J131,$C$4:$H$4,0)))</f>
        <v>0</v>
      </c>
    </row>
    <row r="134" spans="1:17">
      <c r="A134" s="124" t="s">
        <v>68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75</v>
      </c>
      <c r="J134" s="158">
        <f>IF(J131=0,C140,INDEX(C140:H140,1,MATCH(J131,$C$4:$H$4,0)))</f>
        <v>0</v>
      </c>
    </row>
    <row r="135" spans="1:17">
      <c r="A135" s="124" t="s">
        <v>69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76</v>
      </c>
      <c r="J135" s="158">
        <f>IF(J131=0,C141,INDEX(C141:H141,1,MATCH(J131,$C$4:$H$4,0)))</f>
        <v>0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77</v>
      </c>
      <c r="J136" s="158">
        <f>IF(J131=0,C142,INDEX(C142:H142,1,MATCH(J131,$C$4:$H$4,0)))</f>
        <v>0</v>
      </c>
      <c r="K136" s="140">
        <f>SUM(J132:J136)</f>
        <v>0</v>
      </c>
    </row>
    <row r="137" spans="1:17">
      <c r="A137" s="172" t="s">
        <v>97</v>
      </c>
      <c r="J137" s="124" t="s">
        <v>610</v>
      </c>
      <c r="K137" s="124" t="s">
        <v>197</v>
      </c>
    </row>
    <row r="138" spans="1:17">
      <c r="A138" s="124" t="s">
        <v>65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>
        <f>DATA!$N$45</f>
        <v>45135</v>
      </c>
      <c r="K138" s="158">
        <f>K131</f>
        <v>0</v>
      </c>
    </row>
    <row r="139" spans="1:17">
      <c r="A139" s="175" t="s">
        <v>66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73</v>
      </c>
      <c r="J139" s="158">
        <f>J132-J125</f>
        <v>0</v>
      </c>
    </row>
    <row r="140" spans="1:17">
      <c r="A140" s="124" t="s">
        <v>67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74</v>
      </c>
      <c r="J140" s="158">
        <f t="shared" ref="J140:J143" si="27">J133-J126</f>
        <v>0</v>
      </c>
    </row>
    <row r="141" spans="1:17">
      <c r="A141" s="124" t="s">
        <v>68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75</v>
      </c>
      <c r="J141" s="158">
        <f t="shared" si="27"/>
        <v>0</v>
      </c>
    </row>
    <row r="142" spans="1:17">
      <c r="A142" s="124" t="s">
        <v>69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76</v>
      </c>
      <c r="J142" s="158">
        <f t="shared" si="27"/>
        <v>0</v>
      </c>
    </row>
    <row r="143" spans="1:17">
      <c r="I143" s="280" t="s">
        <v>77</v>
      </c>
      <c r="J143" s="158">
        <f t="shared" si="27"/>
        <v>0</v>
      </c>
      <c r="K143" s="140">
        <f>SUM(J139:J143)</f>
        <v>0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608</v>
      </c>
      <c r="K146" s="124" t="s">
        <v>197</v>
      </c>
      <c r="L146" s="159"/>
      <c r="M146" s="134"/>
      <c r="N146" s="134"/>
      <c r="O146" s="134"/>
      <c r="P146" s="134"/>
    </row>
    <row r="147" spans="1:16">
      <c r="A147" s="124" t="s">
        <v>175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>
        <f>DATA!$N$44</f>
        <v>45135</v>
      </c>
      <c r="K147" s="158">
        <f>IF(J147=0,C147,INDEX(C150:H150,1,MATCH(J147,$C$4:$H$4,0)))</f>
        <v>0</v>
      </c>
      <c r="L147" s="159"/>
      <c r="M147" s="134"/>
      <c r="N147" s="134"/>
      <c r="O147" s="134"/>
      <c r="P147" s="134"/>
    </row>
    <row r="148" spans="1:16">
      <c r="A148" s="124" t="s">
        <v>176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73</v>
      </c>
      <c r="J148" s="158">
        <f>IF(J147=0,C161,INDEX(C161:H161,1,MATCH(J147,$C$4:$H$4,0)))</f>
        <v>0</v>
      </c>
      <c r="L148" s="159"/>
      <c r="M148" s="134"/>
      <c r="N148" s="134"/>
      <c r="O148" s="134"/>
      <c r="P148" s="134"/>
    </row>
    <row r="149" spans="1:16">
      <c r="A149" s="124" t="s">
        <v>177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74</v>
      </c>
      <c r="J149" s="158">
        <f>IF(J147=0,C162,INDEX(C162:H162,1,MATCH(J147,$C$4:$H$4,0)))</f>
        <v>0</v>
      </c>
      <c r="L149" s="159"/>
      <c r="M149" s="134"/>
      <c r="N149" s="134"/>
      <c r="O149" s="134"/>
      <c r="P149" s="134"/>
    </row>
    <row r="150" spans="1:16">
      <c r="A150" s="124" t="s">
        <v>178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75</v>
      </c>
      <c r="J150" s="158">
        <f>IF(J147=0,C163,INDEX(C163:H163,1,MATCH(J147,$C$4:$H$4,0)))</f>
        <v>0</v>
      </c>
      <c r="L150" s="159"/>
      <c r="M150" s="134"/>
      <c r="N150" s="134"/>
      <c r="O150" s="134"/>
      <c r="P150" s="134"/>
    </row>
    <row r="151" spans="1:16">
      <c r="A151" s="124" t="s">
        <v>179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76</v>
      </c>
      <c r="J151" s="158">
        <f>IF(J147=0,C164,INDEX(C164:H164,1,MATCH(J147,$C$4:$H$4,0)))</f>
        <v>0</v>
      </c>
      <c r="L151" s="159"/>
      <c r="M151" s="134"/>
      <c r="N151" s="134"/>
      <c r="O151" s="134"/>
      <c r="P151" s="134"/>
    </row>
    <row r="152" spans="1:16">
      <c r="A152" s="124" t="s">
        <v>180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77</v>
      </c>
      <c r="J152" s="158">
        <f>IF(J147=0,C165,INDEX(C165:H165,1,MATCH(J147,$C$4:$H$4,0)))</f>
        <v>0</v>
      </c>
      <c r="K152" s="140">
        <f>SUM(J148:J152)</f>
        <v>0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196</v>
      </c>
      <c r="K153" s="124" t="s">
        <v>197</v>
      </c>
      <c r="L153" s="159"/>
      <c r="M153" s="134"/>
      <c r="N153" s="134"/>
      <c r="O153" s="134"/>
      <c r="P153" s="134"/>
    </row>
    <row r="154" spans="1:16">
      <c r="A154" s="124" t="s">
        <v>65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>
        <f>DATA!$N$45</f>
        <v>45135</v>
      </c>
      <c r="K154" s="158">
        <f>IF(J154=0,C147,INDEX(C150:H150,1,MATCH(J154,$C$4:$H$4,0)))</f>
        <v>0</v>
      </c>
      <c r="L154" s="159"/>
      <c r="M154" s="134"/>
      <c r="N154" s="134"/>
      <c r="O154" s="134"/>
      <c r="P154" s="134"/>
    </row>
    <row r="155" spans="1:16">
      <c r="A155" s="124" t="s">
        <v>66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73</v>
      </c>
      <c r="J155" s="158">
        <f>IF(J154=0,C161,INDEX(C161:H161,1,MATCH(J154,$C$4:$H$4,0)))</f>
        <v>0</v>
      </c>
      <c r="L155" s="159"/>
      <c r="M155" s="134"/>
      <c r="N155" s="134"/>
      <c r="O155" s="134"/>
      <c r="P155" s="134"/>
    </row>
    <row r="156" spans="1:16">
      <c r="A156" s="124" t="s">
        <v>67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74</v>
      </c>
      <c r="J156" s="158">
        <f>IF(J154=0,C162,INDEX(C162:H162,1,MATCH(J154,$C$4:$H$4,0)))</f>
        <v>0</v>
      </c>
    </row>
    <row r="157" spans="1:16">
      <c r="A157" s="124" t="s">
        <v>68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75</v>
      </c>
      <c r="J157" s="158">
        <f>IF(J154=0,C163,INDEX(C163:H163,1,MATCH(J154,$C$4:$H$4,0)))</f>
        <v>0</v>
      </c>
    </row>
    <row r="158" spans="1:16">
      <c r="A158" s="124" t="s">
        <v>69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76</v>
      </c>
      <c r="J158" s="158">
        <f>IF(J154=0,C164,INDEX(C164:H164,1,MATCH(J154,$C$4:$H$4,0)))</f>
        <v>0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77</v>
      </c>
      <c r="J159" s="158">
        <f>IF(J154=0,C165,INDEX(C165:H165,1,MATCH(J154,$C$4:$H$4,0)))</f>
        <v>0</v>
      </c>
      <c r="K159" s="140">
        <f>SUM(J155:J159)</f>
        <v>0</v>
      </c>
    </row>
    <row r="160" spans="1:16">
      <c r="A160" s="172" t="s">
        <v>97</v>
      </c>
      <c r="J160" s="124" t="s">
        <v>610</v>
      </c>
      <c r="K160" s="124" t="s">
        <v>197</v>
      </c>
    </row>
    <row r="161" spans="1:11">
      <c r="A161" s="124" t="s">
        <v>65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>
        <f>DATA!$N$45</f>
        <v>45135</v>
      </c>
      <c r="K161" s="158">
        <f>K154</f>
        <v>0</v>
      </c>
    </row>
    <row r="162" spans="1:11">
      <c r="A162" s="175" t="s">
        <v>66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73</v>
      </c>
      <c r="J162" s="158">
        <f>J155-J148</f>
        <v>0</v>
      </c>
    </row>
    <row r="163" spans="1:11">
      <c r="A163" s="124" t="s">
        <v>67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74</v>
      </c>
      <c r="J163" s="158">
        <f t="shared" ref="J163:J166" si="32">J156-J149</f>
        <v>0</v>
      </c>
    </row>
    <row r="164" spans="1:11">
      <c r="A164" s="124" t="s">
        <v>68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75</v>
      </c>
      <c r="J164" s="158">
        <f t="shared" si="32"/>
        <v>0</v>
      </c>
    </row>
    <row r="165" spans="1:11">
      <c r="A165" s="124" t="s">
        <v>69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76</v>
      </c>
      <c r="J165" s="158">
        <f t="shared" si="32"/>
        <v>0</v>
      </c>
    </row>
    <row r="166" spans="1:11">
      <c r="I166" s="280" t="s">
        <v>77</v>
      </c>
      <c r="J166" s="158">
        <f t="shared" si="32"/>
        <v>0</v>
      </c>
      <c r="K166" s="140">
        <f>SUM(J162:J166)</f>
        <v>0</v>
      </c>
    </row>
  </sheetData>
  <sheetProtection password="CAB3" sheet="1" objects="1" scenarios="1"/>
  <mergeCells count="1">
    <mergeCell ref="C1:H1"/>
  </mergeCells>
  <conditionalFormatting sqref="H6:H165 D4:H4">
    <cfRule type="expression" dxfId="2316" priority="13">
      <formula>IF($H$4=0,TRUE,Flase)</formula>
    </cfRule>
  </conditionalFormatting>
  <conditionalFormatting sqref="G4 G6:G165">
    <cfRule type="expression" dxfId="2315" priority="12">
      <formula>IF($G$4=0,TRUE,FALSE)</formula>
    </cfRule>
  </conditionalFormatting>
  <conditionalFormatting sqref="F4 F6:F165">
    <cfRule type="expression" dxfId="2314" priority="11">
      <formula>IF($F$4=0,TRUE,FALSE)</formula>
    </cfRule>
  </conditionalFormatting>
  <conditionalFormatting sqref="E4 E6:E165">
    <cfRule type="expression" dxfId="2313" priority="10">
      <formula>IF($E$4=0,TRUE,FALSE)</formula>
    </cfRule>
  </conditionalFormatting>
  <conditionalFormatting sqref="D6:D165 C4:D4 C22:C26 C45:C49 C69:C73 C92:C96 C115:C119 C138:C142 C161:C165">
    <cfRule type="expression" dxfId="2312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21.33203125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1" width="16" bestFit="1" customWidth="1"/>
    <col min="12" max="12" width="19.5546875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23.88671875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1" ht="15" customHeight="1">
      <c r="A1" s="263" t="str">
        <f>DATA!$C$1004</f>
        <v>NRA.N.007-040-2024/1F</v>
      </c>
      <c r="C1" s="1658" t="str">
        <f>DATA!$C$1005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  <c r="I1" s="1658"/>
      <c r="J1" s="1658"/>
    </row>
    <row r="2" spans="1:11">
      <c r="C2" s="1658"/>
      <c r="D2" s="1658"/>
      <c r="E2" s="1658"/>
      <c r="F2" s="1658"/>
      <c r="G2" s="1658"/>
      <c r="H2" s="1658"/>
      <c r="I2" s="1658"/>
      <c r="J2" s="1658"/>
    </row>
    <row r="3" spans="1:11">
      <c r="A3" s="232" t="str">
        <f>'All Hours'!$D$1</f>
        <v>PLEASE INSERT TENDERER NAME ON INPUT DATA SHEET</v>
      </c>
    </row>
    <row r="4" spans="1:11">
      <c r="A4" s="1" t="s">
        <v>167</v>
      </c>
      <c r="C4" t="s">
        <v>168</v>
      </c>
    </row>
    <row r="6" spans="1:11">
      <c r="D6" s="124" t="s">
        <v>169</v>
      </c>
      <c r="E6" s="124" t="s">
        <v>170</v>
      </c>
      <c r="F6" s="124" t="s">
        <v>171</v>
      </c>
      <c r="I6" s="144" t="s">
        <v>172</v>
      </c>
    </row>
    <row r="7" spans="1:11">
      <c r="C7" s="125" t="s">
        <v>173</v>
      </c>
      <c r="D7" s="909"/>
      <c r="E7" s="909"/>
      <c r="F7" s="909"/>
      <c r="I7" s="695">
        <f>IF(OR(D7=0,E7=0,F7=0),0,DATEVALUE(F7 &amp; "/" &amp; E7 &amp; "/" &amp;D7))</f>
        <v>0</v>
      </c>
      <c r="K7" t="s">
        <v>174</v>
      </c>
    </row>
    <row r="8" spans="1:11">
      <c r="A8" s="1" t="str">
        <f>DATA!B1010</f>
        <v>Road works</v>
      </c>
    </row>
    <row r="9" spans="1:11">
      <c r="A9" s="124" t="s">
        <v>175</v>
      </c>
      <c r="B9" s="152">
        <f>DATA!$J$1010</f>
        <v>145000000</v>
      </c>
      <c r="C9" s="140"/>
      <c r="D9" s="140"/>
      <c r="E9" s="140"/>
      <c r="F9" s="140"/>
      <c r="G9" s="140"/>
    </row>
    <row r="10" spans="1:11">
      <c r="A10" s="124" t="s">
        <v>176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805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178</v>
      </c>
      <c r="B12" s="908"/>
    </row>
    <row r="13" spans="1:11">
      <c r="A13" s="124" t="s">
        <v>179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802</v>
      </c>
      <c r="B14" s="881">
        <f>IF(OR(B10=0,B9=0),0,B9*(0.261-0.023*LOG10(B9))/B10)</f>
        <v>0</v>
      </c>
    </row>
    <row r="15" spans="1:11">
      <c r="A15" s="124" t="s">
        <v>180</v>
      </c>
      <c r="B15" s="158">
        <f>IF(B12="",0,IF(B13=1,B10,B12*((B10*B14/(B13*B9)+0.023*LOG10(B13*B9/B12)))/B14))</f>
        <v>0</v>
      </c>
    </row>
    <row r="16" spans="1:11">
      <c r="A16" s="124" t="s">
        <v>806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181</v>
      </c>
      <c r="C19" s="140"/>
      <c r="F19" s="140"/>
      <c r="G19" s="140"/>
    </row>
    <row r="20" spans="1:10">
      <c r="A20" s="1659"/>
      <c r="B20" s="1660"/>
    </row>
    <row r="21" spans="1:10">
      <c r="A21" s="1661"/>
      <c r="B21" s="1662"/>
    </row>
    <row r="22" spans="1:10">
      <c r="A22" s="1663"/>
      <c r="B22" s="1664"/>
    </row>
    <row r="24" spans="1:10">
      <c r="A24" s="1" t="str">
        <f>DATA!B1011</f>
        <v>Structures</v>
      </c>
    </row>
    <row r="25" spans="1:10">
      <c r="A25" s="124" t="s">
        <v>175</v>
      </c>
      <c r="B25" s="152">
        <f>DATA!$J$1011</f>
        <v>0</v>
      </c>
    </row>
    <row r="26" spans="1:10">
      <c r="A26" s="124" t="s">
        <v>176</v>
      </c>
      <c r="B26" s="152">
        <f>'SUMMARY TENDERED FEE'!$C$18</f>
        <v>0</v>
      </c>
    </row>
    <row r="27" spans="1:10">
      <c r="A27" s="124" t="s">
        <v>805</v>
      </c>
      <c r="B27" s="166">
        <f>'SUMMARY TENDERED FEE'!$D$18</f>
        <v>0</v>
      </c>
    </row>
    <row r="28" spans="1:10">
      <c r="A28" s="124" t="s">
        <v>178</v>
      </c>
      <c r="B28" s="908"/>
    </row>
    <row r="29" spans="1:10">
      <c r="A29" s="124" t="s">
        <v>179</v>
      </c>
      <c r="B29" s="124">
        <f>IF(B28&lt;B25*DATA!$H$1037,DATA!$H$1037,IF(B28&gt;DATA!$H$1036*B25,DATA!$H$1036,1))</f>
        <v>1</v>
      </c>
    </row>
    <row r="30" spans="1:10">
      <c r="A30" s="124" t="s">
        <v>802</v>
      </c>
      <c r="B30" s="881">
        <f>IF(OR(B26=0,B25=0),0,B25*(0.261-0.023*LOG10(B25))/B26)</f>
        <v>0</v>
      </c>
      <c r="J30" s="156"/>
    </row>
    <row r="31" spans="1:10">
      <c r="A31" s="124" t="s">
        <v>180</v>
      </c>
      <c r="B31" s="158">
        <f>IF(B28="",0,IF(B29=1,B26,B28*((B26*B30/(B29*B25)+0.023*LOG10(B29*B25/B28)))/B30))</f>
        <v>0</v>
      </c>
    </row>
    <row r="32" spans="1:10">
      <c r="A32" s="124" t="s">
        <v>806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181</v>
      </c>
      <c r="B35" s="126"/>
    </row>
    <row r="36" spans="1:2">
      <c r="A36" s="1659"/>
      <c r="B36" s="1660"/>
    </row>
    <row r="37" spans="1:2">
      <c r="A37" s="1661"/>
      <c r="B37" s="1662"/>
    </row>
    <row r="38" spans="1:2">
      <c r="A38" s="1663"/>
      <c r="B38" s="1664"/>
    </row>
    <row r="40" spans="1:2">
      <c r="A40" s="1" t="str">
        <f>DATA!B1012</f>
        <v>Electrical</v>
      </c>
    </row>
    <row r="41" spans="1:2">
      <c r="A41" s="124" t="s">
        <v>175</v>
      </c>
      <c r="B41" s="152">
        <f>DATA!$J$1012</f>
        <v>0</v>
      </c>
    </row>
    <row r="42" spans="1:2">
      <c r="A42" s="124" t="s">
        <v>176</v>
      </c>
      <c r="B42" s="152">
        <f>'SUMMARY TENDERED FEE'!$C$19</f>
        <v>0</v>
      </c>
    </row>
    <row r="43" spans="1:2">
      <c r="A43" s="124" t="s">
        <v>805</v>
      </c>
      <c r="B43" s="166">
        <f>'SUMMARY TENDERED FEE'!$D$19</f>
        <v>0</v>
      </c>
    </row>
    <row r="44" spans="1:2">
      <c r="A44" s="124" t="s">
        <v>178</v>
      </c>
      <c r="B44" s="908"/>
    </row>
    <row r="45" spans="1:2">
      <c r="A45" s="124" t="s">
        <v>179</v>
      </c>
      <c r="B45" s="124">
        <f>IF(B44&lt;B41*DATA!$H$1037,DATA!$H$1037,IF(B44&gt;DATA!$H$1036*B41,DATA!$H$1036,1))</f>
        <v>1</v>
      </c>
    </row>
    <row r="46" spans="1:2">
      <c r="A46" s="124" t="s">
        <v>802</v>
      </c>
      <c r="B46" s="881">
        <f>IF(OR(B42=0,B41=0),0,B41*(0.261-0.023*LOG10(B41))/B42)</f>
        <v>0</v>
      </c>
    </row>
    <row r="47" spans="1:2">
      <c r="A47" s="124" t="s">
        <v>180</v>
      </c>
      <c r="B47" s="158">
        <f>IF(B44="",0,IF(B45=1,B42,B44*((B42*B46/(B45*B41)+0.023*LOG10(B45*B41/B44)))/B46))</f>
        <v>0</v>
      </c>
    </row>
    <row r="48" spans="1:2">
      <c r="A48" s="124" t="s">
        <v>806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181</v>
      </c>
      <c r="B51" s="126"/>
    </row>
    <row r="52" spans="1:2">
      <c r="A52" s="1659"/>
      <c r="B52" s="1660"/>
    </row>
    <row r="53" spans="1:2">
      <c r="A53" s="1661"/>
      <c r="B53" s="1662"/>
    </row>
    <row r="54" spans="1:2">
      <c r="A54" s="1663"/>
      <c r="B54" s="1664"/>
    </row>
    <row r="56" spans="1:2">
      <c r="A56" s="1" t="str">
        <f>DATA!B1013</f>
        <v xml:space="preserve">Building </v>
      </c>
    </row>
    <row r="57" spans="1:2">
      <c r="A57" s="124" t="s">
        <v>175</v>
      </c>
      <c r="B57" s="152">
        <f>DATA!$J$1013</f>
        <v>0</v>
      </c>
    </row>
    <row r="58" spans="1:2">
      <c r="A58" s="124" t="s">
        <v>176</v>
      </c>
      <c r="B58" s="152">
        <f>'SUMMARY TENDERED FEE'!$C$20</f>
        <v>0</v>
      </c>
    </row>
    <row r="59" spans="1:2">
      <c r="A59" s="124" t="s">
        <v>805</v>
      </c>
      <c r="B59" s="166">
        <f>'SUMMARY TENDERED FEE'!$D$20</f>
        <v>0</v>
      </c>
    </row>
    <row r="60" spans="1:2">
      <c r="A60" s="124" t="s">
        <v>178</v>
      </c>
      <c r="B60" s="908"/>
    </row>
    <row r="61" spans="1:2">
      <c r="A61" s="124" t="s">
        <v>179</v>
      </c>
      <c r="B61" s="124">
        <f>IF(B60&lt;B57*DATA!$H$1037,DATA!$H$1037,IF(B60&gt;DATA!$H$1036*B57,DATA!$H$1036,1))</f>
        <v>1</v>
      </c>
    </row>
    <row r="62" spans="1:2">
      <c r="A62" s="124" t="s">
        <v>802</v>
      </c>
      <c r="B62" s="881">
        <f>IF(OR(B58=0,B57=0),0,B57*(0.261-0.023*LOG10(B57))/B58)</f>
        <v>0</v>
      </c>
    </row>
    <row r="63" spans="1:2">
      <c r="A63" s="124" t="s">
        <v>180</v>
      </c>
      <c r="B63" s="158">
        <f>IF(B60="",0,IF(B61=1,B58,B60*((B58*B62/(B61*B57)+0.023*LOG10(B61*B57/B60)))/B62))</f>
        <v>0</v>
      </c>
    </row>
    <row r="64" spans="1:2">
      <c r="A64" s="124" t="s">
        <v>806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181</v>
      </c>
      <c r="B67" s="126"/>
    </row>
    <row r="68" spans="1:2">
      <c r="A68" s="1659"/>
      <c r="B68" s="1660"/>
    </row>
    <row r="69" spans="1:2">
      <c r="A69" s="1661"/>
      <c r="B69" s="1662"/>
    </row>
    <row r="70" spans="1:2">
      <c r="A70" s="1663"/>
      <c r="B70" s="1664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175</v>
      </c>
      <c r="B73" s="152">
        <f>DATA!$J$1014</f>
        <v>0</v>
      </c>
    </row>
    <row r="74" spans="1:2">
      <c r="A74" s="124" t="s">
        <v>176</v>
      </c>
      <c r="B74" s="152">
        <f>'SUMMARY TENDERED FEE'!$C$21</f>
        <v>0</v>
      </c>
    </row>
    <row r="75" spans="1:2">
      <c r="A75" s="124" t="s">
        <v>805</v>
      </c>
      <c r="B75" s="166">
        <f>'SUMMARY TENDERED FEE'!$D$21</f>
        <v>0</v>
      </c>
    </row>
    <row r="76" spans="1:2">
      <c r="A76" s="124" t="s">
        <v>178</v>
      </c>
      <c r="B76" s="908"/>
    </row>
    <row r="77" spans="1:2">
      <c r="A77" s="124" t="s">
        <v>179</v>
      </c>
      <c r="B77" s="124">
        <f>IF(B76&lt;B73*DATA!$H$1037,DATA!$H$1037,IF(B76&gt;DATA!$H$1036*B73,DATA!$H$1036,1))</f>
        <v>1</v>
      </c>
    </row>
    <row r="78" spans="1:2">
      <c r="A78" s="124" t="s">
        <v>802</v>
      </c>
      <c r="B78" s="881">
        <f>IF(OR(B74=0,B73=0),0,B73*(0.261-0.023*LOG10(B73))/B74)</f>
        <v>0</v>
      </c>
    </row>
    <row r="79" spans="1:2">
      <c r="A79" s="124" t="s">
        <v>180</v>
      </c>
      <c r="B79" s="158">
        <f>IF(B76="",0,IF(B77=1,B74,B76*((B74*B78/(B77*B73)+0.023*LOG10(B77*B73/B76)))/B78))</f>
        <v>0</v>
      </c>
    </row>
    <row r="80" spans="1:2">
      <c r="A80" s="124" t="s">
        <v>806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181</v>
      </c>
      <c r="B83" s="126"/>
    </row>
    <row r="84" spans="1:2">
      <c r="A84" s="1659"/>
      <c r="B84" s="1660"/>
    </row>
    <row r="85" spans="1:2">
      <c r="A85" s="1661"/>
      <c r="B85" s="1662"/>
    </row>
    <row r="86" spans="1:2">
      <c r="A86" s="1663"/>
      <c r="B86" s="1664"/>
    </row>
    <row r="88" spans="1:2">
      <c r="A88" s="1" t="str">
        <f>DATA!B1015</f>
        <v>Electronic</v>
      </c>
    </row>
    <row r="89" spans="1:2">
      <c r="A89" s="124" t="s">
        <v>175</v>
      </c>
      <c r="B89" s="152">
        <f>DATA!$J$1015</f>
        <v>0</v>
      </c>
    </row>
    <row r="90" spans="1:2">
      <c r="A90" s="124" t="s">
        <v>176</v>
      </c>
      <c r="B90" s="152">
        <f>'SUMMARY TENDERED FEE'!$C$22</f>
        <v>0</v>
      </c>
    </row>
    <row r="91" spans="1:2">
      <c r="A91" s="124" t="s">
        <v>805</v>
      </c>
      <c r="B91" s="166">
        <f>'SUMMARY TENDERED FEE'!$D$22</f>
        <v>0</v>
      </c>
    </row>
    <row r="92" spans="1:2">
      <c r="A92" s="124" t="s">
        <v>178</v>
      </c>
      <c r="B92" s="908"/>
    </row>
    <row r="93" spans="1:2">
      <c r="A93" s="124" t="s">
        <v>179</v>
      </c>
      <c r="B93" s="124">
        <f>IF(B92&lt;B89*DATA!$H$1037,DATA!$H$1037,IF(B92&gt;DATA!$H$1036*B89,DATA!$H$1036,1))</f>
        <v>1</v>
      </c>
    </row>
    <row r="94" spans="1:2">
      <c r="A94" s="124" t="s">
        <v>802</v>
      </c>
      <c r="B94" s="881">
        <f>IF(OR(B90=0,B89=0),0,B89*(0.261-0.023*LOG10(B89))/B90)</f>
        <v>0</v>
      </c>
    </row>
    <row r="95" spans="1:2">
      <c r="A95" s="124" t="s">
        <v>180</v>
      </c>
      <c r="B95" s="158">
        <f>IF(B92="",0,IF(B93=1,B90,B92*((B90*B94/(B93*B89)+0.023*LOG10(B93*B89/B92)))/B94))</f>
        <v>0</v>
      </c>
    </row>
    <row r="96" spans="1:2">
      <c r="A96" s="124" t="s">
        <v>806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181</v>
      </c>
      <c r="B99" s="126"/>
    </row>
    <row r="100" spans="1:2">
      <c r="A100" s="1659"/>
      <c r="B100" s="1660"/>
    </row>
    <row r="101" spans="1:2">
      <c r="A101" s="1661"/>
      <c r="B101" s="1662"/>
    </row>
    <row r="102" spans="1:2">
      <c r="A102" s="1663"/>
      <c r="B102" s="1664"/>
    </row>
    <row r="104" spans="1:2">
      <c r="A104" s="1" t="str">
        <f>DATA!B1016</f>
        <v>Other:</v>
      </c>
    </row>
    <row r="105" spans="1:2">
      <c r="A105" s="124" t="s">
        <v>175</v>
      </c>
      <c r="B105" s="152">
        <f>DATA!$J$1016</f>
        <v>0</v>
      </c>
    </row>
    <row r="106" spans="1:2">
      <c r="A106" s="124" t="s">
        <v>176</v>
      </c>
      <c r="B106" s="152">
        <f>'SUMMARY TENDERED FEE'!$C$23</f>
        <v>0</v>
      </c>
    </row>
    <row r="107" spans="1:2">
      <c r="A107" s="124" t="s">
        <v>805</v>
      </c>
      <c r="B107" s="166">
        <f>'SUMMARY TENDERED FEE'!$D$23</f>
        <v>0</v>
      </c>
    </row>
    <row r="108" spans="1:2">
      <c r="A108" s="124" t="s">
        <v>178</v>
      </c>
      <c r="B108" s="908">
        <f>B105</f>
        <v>0</v>
      </c>
    </row>
    <row r="109" spans="1:2">
      <c r="A109" s="124" t="s">
        <v>179</v>
      </c>
      <c r="B109" s="124">
        <f>IF(B108&lt;B105*DATA!$H$1037,DATA!$H$1037,IF(B108&gt;DATA!$H$1036*B105,DATA!$H$1036,1))</f>
        <v>1</v>
      </c>
    </row>
    <row r="110" spans="1:2">
      <c r="A110" s="124" t="s">
        <v>802</v>
      </c>
      <c r="B110" s="881">
        <f>IF(OR(B106=0,B105=0),0,B105*(0.261-0.023*LOG10(B105))/B106)</f>
        <v>0</v>
      </c>
    </row>
    <row r="111" spans="1:2">
      <c r="A111" s="124" t="s">
        <v>180</v>
      </c>
      <c r="B111" s="158">
        <f>IF(B108="",0,IF(B109=1,B106,B108*((B106*B110/(B109*B105)+0.023*LOG10(B109*B105/B108)))/B110))</f>
        <v>0</v>
      </c>
    </row>
    <row r="112" spans="1:2">
      <c r="A112" s="124" t="s">
        <v>806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181</v>
      </c>
      <c r="B115" s="126"/>
    </row>
    <row r="116" spans="1:2">
      <c r="A116" s="1659"/>
      <c r="B116" s="1660"/>
    </row>
    <row r="117" spans="1:2">
      <c r="A117" s="1661"/>
      <c r="B117" s="1662"/>
    </row>
    <row r="118" spans="1:2">
      <c r="A118" s="1661"/>
      <c r="B118" s="1662"/>
    </row>
    <row r="119" spans="1:2">
      <c r="A119" s="1663"/>
      <c r="B119" s="1664"/>
    </row>
    <row r="133" spans="1:69">
      <c r="A133" t="s">
        <v>175</v>
      </c>
      <c r="B133" s="140">
        <f>B9</f>
        <v>145000000</v>
      </c>
      <c r="K133" t="s">
        <v>175</v>
      </c>
      <c r="L133" s="140">
        <f>B25</f>
        <v>0</v>
      </c>
      <c r="U133" t="s">
        <v>175</v>
      </c>
      <c r="V133" s="140">
        <f>B41</f>
        <v>0</v>
      </c>
      <c r="AE133" t="s">
        <v>175</v>
      </c>
      <c r="AF133" s="140">
        <f>B57</f>
        <v>0</v>
      </c>
      <c r="AO133" t="s">
        <v>175</v>
      </c>
      <c r="AP133" s="140">
        <f>B73</f>
        <v>0</v>
      </c>
      <c r="AY133" t="s">
        <v>175</v>
      </c>
      <c r="AZ133" s="140">
        <f>B89</f>
        <v>0</v>
      </c>
      <c r="BI133" t="s">
        <v>175</v>
      </c>
      <c r="BJ133" s="140">
        <f>B105</f>
        <v>0</v>
      </c>
    </row>
    <row r="134" spans="1:69">
      <c r="A134" t="s">
        <v>803</v>
      </c>
      <c r="B134" s="140">
        <f>B10</f>
        <v>0</v>
      </c>
      <c r="K134" t="s">
        <v>803</v>
      </c>
      <c r="L134" s="140">
        <f>B26</f>
        <v>0</v>
      </c>
      <c r="U134" t="s">
        <v>803</v>
      </c>
      <c r="V134" s="140">
        <f>B42</f>
        <v>0</v>
      </c>
      <c r="AA134" s="140"/>
      <c r="AE134" t="s">
        <v>803</v>
      </c>
      <c r="AF134" s="140">
        <f>B58</f>
        <v>0</v>
      </c>
      <c r="AL134" s="140"/>
      <c r="AO134" t="s">
        <v>803</v>
      </c>
      <c r="AP134" s="140">
        <f t="shared" ref="AP134:AP138" si="0">B74</f>
        <v>0</v>
      </c>
      <c r="AV134" s="140"/>
      <c r="AY134" t="s">
        <v>803</v>
      </c>
      <c r="AZ134" s="140">
        <f t="shared" ref="AZ134:AZ138" si="1">B90</f>
        <v>0</v>
      </c>
      <c r="BF134" s="140"/>
      <c r="BI134" t="s">
        <v>803</v>
      </c>
      <c r="BJ134" s="140">
        <f t="shared" ref="BJ134:BJ138" si="2">B106</f>
        <v>0</v>
      </c>
    </row>
    <row r="135" spans="1:69">
      <c r="A135" t="s">
        <v>804</v>
      </c>
      <c r="B135" s="154">
        <f>B11</f>
        <v>0</v>
      </c>
      <c r="K135" t="s">
        <v>804</v>
      </c>
      <c r="L135" s="140">
        <f>B27</f>
        <v>0</v>
      </c>
      <c r="Q135" s="140"/>
      <c r="U135" t="s">
        <v>804</v>
      </c>
      <c r="V135" s="140">
        <f>B43</f>
        <v>0</v>
      </c>
      <c r="AA135" s="140"/>
      <c r="AE135" t="s">
        <v>804</v>
      </c>
      <c r="AF135" s="140">
        <f>B59</f>
        <v>0</v>
      </c>
      <c r="AL135" s="140"/>
      <c r="AO135" t="s">
        <v>804</v>
      </c>
      <c r="AP135" s="140">
        <f t="shared" si="0"/>
        <v>0</v>
      </c>
      <c r="AV135" s="140"/>
      <c r="AY135" t="s">
        <v>804</v>
      </c>
      <c r="AZ135" s="140">
        <f t="shared" si="1"/>
        <v>0</v>
      </c>
      <c r="BF135" s="140"/>
      <c r="BI135" t="s">
        <v>804</v>
      </c>
      <c r="BJ135" s="140">
        <f t="shared" si="2"/>
        <v>0</v>
      </c>
      <c r="BP135" s="140"/>
    </row>
    <row r="136" spans="1:69">
      <c r="A136" t="s">
        <v>183</v>
      </c>
      <c r="B136" s="140">
        <f>IF(B12=0,0.00001,B12)</f>
        <v>1.0000000000000001E-5</v>
      </c>
      <c r="K136" t="s">
        <v>183</v>
      </c>
      <c r="L136" s="140">
        <f>IF(B28=0,0.00001,B28)</f>
        <v>1.0000000000000001E-5</v>
      </c>
      <c r="Q136" s="140"/>
      <c r="U136" t="s">
        <v>183</v>
      </c>
      <c r="V136" s="140">
        <f>IF(B44=0,0.00001,B44)</f>
        <v>1.0000000000000001E-5</v>
      </c>
      <c r="AA136" s="140"/>
      <c r="AE136" t="s">
        <v>183</v>
      </c>
      <c r="AF136" s="140">
        <f>IF(B60=0,0.00001,B60)</f>
        <v>1.0000000000000001E-5</v>
      </c>
      <c r="AL136" s="140"/>
      <c r="AO136" t="s">
        <v>183</v>
      </c>
      <c r="AP136" s="140">
        <f>IF(B76=0,0.00001,B76)</f>
        <v>1.0000000000000001E-5</v>
      </c>
      <c r="AV136" s="140"/>
      <c r="AY136" t="s">
        <v>183</v>
      </c>
      <c r="AZ136" s="140">
        <f>IF(B92=0,0.00001,B92)</f>
        <v>1.0000000000000001E-5</v>
      </c>
      <c r="BF136" s="140"/>
      <c r="BI136" t="s">
        <v>183</v>
      </c>
      <c r="BJ136" s="140">
        <f>IF(B108=0,0.00001,B108)</f>
        <v>1.0000000000000001E-5</v>
      </c>
      <c r="BP136" s="140"/>
    </row>
    <row r="137" spans="1:69">
      <c r="A137" t="s">
        <v>179</v>
      </c>
      <c r="B137">
        <f>B13</f>
        <v>0.8</v>
      </c>
      <c r="K137" t="s">
        <v>179</v>
      </c>
      <c r="L137" s="140">
        <f>B29</f>
        <v>1</v>
      </c>
      <c r="Q137" s="140"/>
      <c r="U137" t="s">
        <v>179</v>
      </c>
      <c r="V137" s="140">
        <f>B45</f>
        <v>1</v>
      </c>
      <c r="AE137" t="s">
        <v>179</v>
      </c>
      <c r="AF137" s="140">
        <f>B61</f>
        <v>1</v>
      </c>
      <c r="AO137" t="s">
        <v>179</v>
      </c>
      <c r="AP137" s="140">
        <f t="shared" si="0"/>
        <v>1</v>
      </c>
      <c r="AY137" t="s">
        <v>179</v>
      </c>
      <c r="AZ137" s="140">
        <f t="shared" si="1"/>
        <v>1</v>
      </c>
      <c r="BI137" t="s">
        <v>179</v>
      </c>
      <c r="BJ137" s="140">
        <f t="shared" si="2"/>
        <v>1</v>
      </c>
      <c r="BP137" s="140"/>
    </row>
    <row r="138" spans="1:69">
      <c r="A138" t="s">
        <v>802</v>
      </c>
      <c r="B138" s="745">
        <f>B14</f>
        <v>0</v>
      </c>
      <c r="K138" t="s">
        <v>802</v>
      </c>
      <c r="L138" s="140">
        <f>B30</f>
        <v>0</v>
      </c>
      <c r="U138" t="s">
        <v>802</v>
      </c>
      <c r="V138" s="140">
        <f>B46</f>
        <v>0</v>
      </c>
      <c r="AE138" t="s">
        <v>802</v>
      </c>
      <c r="AF138" s="140">
        <f>B62</f>
        <v>0</v>
      </c>
      <c r="AO138" t="s">
        <v>802</v>
      </c>
      <c r="AP138" s="140">
        <f t="shared" si="0"/>
        <v>0</v>
      </c>
      <c r="AY138" t="s">
        <v>802</v>
      </c>
      <c r="AZ138" s="140">
        <f t="shared" si="1"/>
        <v>0</v>
      </c>
      <c r="BI138" t="s">
        <v>802</v>
      </c>
      <c r="BJ138" s="140">
        <f t="shared" si="2"/>
        <v>0</v>
      </c>
    </row>
    <row r="139" spans="1:69">
      <c r="A139" t="s">
        <v>182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182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182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182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182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182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182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183</v>
      </c>
      <c r="B142" s="132" t="s">
        <v>184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179</v>
      </c>
      <c r="I142" s="132" t="s">
        <v>185</v>
      </c>
      <c r="K142" s="132" t="s">
        <v>183</v>
      </c>
      <c r="L142" s="132" t="s">
        <v>184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179</v>
      </c>
      <c r="S142" s="132" t="s">
        <v>185</v>
      </c>
      <c r="U142" s="132" t="s">
        <v>183</v>
      </c>
      <c r="V142" s="132" t="s">
        <v>184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179</v>
      </c>
      <c r="AC142" s="132" t="s">
        <v>185</v>
      </c>
      <c r="AE142" s="132" t="s">
        <v>183</v>
      </c>
      <c r="AF142" s="132" t="s">
        <v>184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179</v>
      </c>
      <c r="AM142" s="132" t="s">
        <v>185</v>
      </c>
      <c r="AO142" s="132" t="s">
        <v>183</v>
      </c>
      <c r="AP142" s="132" t="s">
        <v>184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179</v>
      </c>
      <c r="AW142" s="132" t="s">
        <v>185</v>
      </c>
      <c r="AY142" s="132" t="s">
        <v>183</v>
      </c>
      <c r="AZ142" s="132" t="s">
        <v>184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179</v>
      </c>
      <c r="BG142" s="132" t="s">
        <v>185</v>
      </c>
      <c r="BI142" s="132" t="s">
        <v>183</v>
      </c>
      <c r="BJ142" s="132" t="s">
        <v>184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179</v>
      </c>
      <c r="BQ142" s="132" t="s">
        <v>185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1.2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1.2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1.2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1.2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1.2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1.2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1.2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1.2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1.2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1.2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1.2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1.2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1.2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1.2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1.2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1.2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1.2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1.2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1.2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1.2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1.2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1.2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1.2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1.2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1.2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1.2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1.2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1.2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1.2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1.2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1.2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1.2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1.2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1.2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1.2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1.2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1.2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1.2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1.2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1.2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1.2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1.2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1.2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1.2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1.2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1.2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1.2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1.2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1.2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1.2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1.2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1.2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1.2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1.2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1.2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1.2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1.2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1.2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1.2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1.2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1.2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1.2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1.2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1.2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1.2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1.2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1.2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1.2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1.2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1.2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1.2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1.2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1.2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1.2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1.2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1.2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1.2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1.2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1.2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1.2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1.2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1.2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1.2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1.2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1.2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1.2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1.2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1.2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1.2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1.2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1.2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1.2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1.2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1.2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1.2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1.2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1.2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1.2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1.2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1.2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1.2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1.2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1.2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1.2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1.2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1.2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1.2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1.2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1.2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1.2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1.2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1.2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1.2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1.2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1.2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1.2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1.2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1.2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1.2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1.2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1.2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1.2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1.2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1.2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1.2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1.2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1.2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1.2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1.2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1.2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1.2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1.2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1.2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1.2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1.2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1.2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1.2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1.2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1.2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1.2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1.2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1.2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1.2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1.2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1.2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1.2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1.2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1.2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1.2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1.2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1.2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1.2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1.2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1.2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1.2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1.2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1.2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1.2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1.2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1.2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1.2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1.2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1.2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1.2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1.2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1.2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1.2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1.2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1.2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1.2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1.2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1.2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1.2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1.2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1.2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1.2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1.2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1.2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1.2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1.2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1.2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1.2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1.2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1.2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1.2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1.2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1.2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1.2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1.2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1.2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1.2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1.2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1.2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1.2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1.2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1.2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1.2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1.2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1.2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1.2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1.2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1.2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1.2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1.2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1.2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1.2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1.2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1.2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1.2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1.2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1.2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1.2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1.2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1.2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1.2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1.2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1.2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1.2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1.2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1.2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1.2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1.2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1.2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1.2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1.2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1.2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1.2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1.2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1.2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1.2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1.2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1.2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1.2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1.2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1.2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1.2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1.2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1.2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1.2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1.2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1.2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1.2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1.2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1.2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1.2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1.2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1.2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1.2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1.2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1.2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1.2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1.2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1.2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1.2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1.2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1.2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1.2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1.2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1.2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1.2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1.2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1.2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1.2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1.2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1.2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1.2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1.2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1.2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1.2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1.2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1.2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1.2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1.2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1.2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1.2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1.2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1.2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1.2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1.2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1.2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1.2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1.2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1.2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1.2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1.2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1.2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1.2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1.2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1.2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1.2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1.2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1.2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1.2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1.2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1.2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1.2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1.2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1.2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1.2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1.2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1.2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1.2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1.2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1.2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1.2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1.2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1.2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1.2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1.2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1.2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1.2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1.2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1.2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1.2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1.2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1.2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1.2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1.2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1.2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1.2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1.2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1.2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1.2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1.2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1.2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1.2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1.2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1.2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1.2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1.2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1.2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1.2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1.2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1.2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1.2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1.2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1.2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1.2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1.2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1.2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1.2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1.2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1.2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1.2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1.2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1.2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1.2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1.2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1.2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1.2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6.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2" ht="15" customHeight="1">
      <c r="A1" s="263" t="str">
        <f>DATA!$C$1004</f>
        <v>NRA.N.007-040-2024/1F</v>
      </c>
      <c r="C1" s="1658" t="str">
        <f>DATA!$C$1005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  <c r="I1" s="1658"/>
      <c r="J1" s="1658"/>
    </row>
    <row r="2" spans="1:12">
      <c r="C2" s="1658"/>
      <c r="D2" s="1658"/>
      <c r="E2" s="1658"/>
      <c r="F2" s="1658"/>
      <c r="G2" s="1658"/>
      <c r="H2" s="1658"/>
      <c r="I2" s="1658"/>
      <c r="J2" s="1658"/>
    </row>
    <row r="3" spans="1:12">
      <c r="A3" s="232" t="str">
        <f>'All Hours'!$D$1</f>
        <v>PLEASE INSERT TENDERER NAME ON INPUT DATA SHEET</v>
      </c>
    </row>
    <row r="4" spans="1:12">
      <c r="A4" s="1" t="s">
        <v>186</v>
      </c>
      <c r="B4" t="s">
        <v>187</v>
      </c>
    </row>
    <row r="6" spans="1:12">
      <c r="D6" s="124" t="s">
        <v>169</v>
      </c>
      <c r="E6" s="124" t="s">
        <v>170</v>
      </c>
      <c r="F6" s="124" t="s">
        <v>171</v>
      </c>
      <c r="G6" s="162"/>
      <c r="I6" s="133" t="s">
        <v>172</v>
      </c>
    </row>
    <row r="7" spans="1:12">
      <c r="C7" s="124" t="s">
        <v>173</v>
      </c>
      <c r="D7" s="909"/>
      <c r="E7" s="909"/>
      <c r="F7" s="909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175</v>
      </c>
      <c r="B9" s="152">
        <f>DATA!$J$1010</f>
        <v>145000000</v>
      </c>
      <c r="C9" s="140"/>
      <c r="D9" s="140"/>
      <c r="E9" s="140"/>
      <c r="F9" s="140"/>
      <c r="G9" s="140"/>
    </row>
    <row r="10" spans="1:12">
      <c r="A10" s="124" t="s">
        <v>176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805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178</v>
      </c>
      <c r="B12" s="139">
        <f>L13+L14+L15</f>
        <v>0</v>
      </c>
    </row>
    <row r="13" spans="1:12">
      <c r="A13" s="124" t="s">
        <v>179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188</v>
      </c>
      <c r="L13" s="152">
        <f>'ADJ-1'!B12</f>
        <v>0</v>
      </c>
    </row>
    <row r="14" spans="1:12">
      <c r="A14" s="124" t="s">
        <v>802</v>
      </c>
      <c r="B14" s="881">
        <f>IF(OR(B10=0,B9=0),0,B9*(0.261-0.023*LOG10(B9))/B10)</f>
        <v>0</v>
      </c>
      <c r="K14" s="124" t="s">
        <v>189</v>
      </c>
      <c r="L14" s="908">
        <v>0</v>
      </c>
    </row>
    <row r="15" spans="1:12">
      <c r="A15" s="124" t="s">
        <v>180</v>
      </c>
      <c r="B15" s="158">
        <f>IF(B12=0,0,IF(B13=1,B10,B12*((B10*B14/(B13*B9)+0.023*LOG10(B13*B9/B12)))/B14))</f>
        <v>0</v>
      </c>
      <c r="K15" s="124" t="s">
        <v>190</v>
      </c>
      <c r="L15" s="908">
        <v>0</v>
      </c>
    </row>
    <row r="16" spans="1:12">
      <c r="A16" s="124" t="s">
        <v>806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181</v>
      </c>
      <c r="C19" s="140"/>
      <c r="F19" s="140"/>
      <c r="G19" s="140"/>
    </row>
    <row r="20" spans="1:13">
      <c r="A20" s="1659"/>
      <c r="B20" s="1660"/>
    </row>
    <row r="21" spans="1:13">
      <c r="A21" s="1661"/>
      <c r="B21" s="1662"/>
    </row>
    <row r="22" spans="1:13">
      <c r="A22" s="1663"/>
      <c r="B22" s="1664"/>
    </row>
    <row r="24" spans="1:13">
      <c r="A24" s="1" t="str">
        <f>'ADJ-1'!A24</f>
        <v>Structures</v>
      </c>
    </row>
    <row r="25" spans="1:13">
      <c r="A25" s="124" t="s">
        <v>175</v>
      </c>
      <c r="B25" s="152">
        <f>DATA!$J$1011</f>
        <v>0</v>
      </c>
    </row>
    <row r="26" spans="1:13">
      <c r="A26" s="124" t="s">
        <v>176</v>
      </c>
      <c r="B26" s="152">
        <f>'SUMMARY TENDERED FEE'!$C$18</f>
        <v>0</v>
      </c>
    </row>
    <row r="27" spans="1:13">
      <c r="A27" s="124" t="s">
        <v>805</v>
      </c>
      <c r="B27" s="166">
        <f>'SUMMARY TENDERED FEE'!$D$18</f>
        <v>0</v>
      </c>
    </row>
    <row r="28" spans="1:13">
      <c r="A28" s="124" t="s">
        <v>178</v>
      </c>
      <c r="B28" s="139">
        <f>L31+L32+L33</f>
        <v>0</v>
      </c>
      <c r="M28" s="140"/>
    </row>
    <row r="29" spans="1:13">
      <c r="A29" s="124" t="s">
        <v>179</v>
      </c>
      <c r="B29" s="124">
        <f>IF(B28&lt;B25*0.8,0.8,IF(B28&gt;1.2*B25,1.2,1))</f>
        <v>1</v>
      </c>
    </row>
    <row r="30" spans="1:13">
      <c r="A30" s="124" t="s">
        <v>802</v>
      </c>
      <c r="B30" s="881">
        <f>IF(OR(B26=0,B25=0),0,B25*(0.261-0.023*LOG10(B25))/B26)</f>
        <v>0</v>
      </c>
    </row>
    <row r="31" spans="1:13">
      <c r="A31" s="124" t="s">
        <v>180</v>
      </c>
      <c r="B31" s="158">
        <f>IF(B28=0,0,IF(B29=1,B26,B28*((B26*B30/(B29*B25)+0.023*LOG10(B29*B25/B28)))/B30))</f>
        <v>0</v>
      </c>
      <c r="K31" s="124" t="s">
        <v>188</v>
      </c>
      <c r="L31" s="152">
        <f>'ADJ-1'!B28</f>
        <v>0</v>
      </c>
    </row>
    <row r="32" spans="1:13">
      <c r="A32" s="124" t="s">
        <v>806</v>
      </c>
      <c r="B32" s="153">
        <f>IF(B28=0,0,B31/B28)</f>
        <v>0</v>
      </c>
      <c r="K32" s="124" t="s">
        <v>189</v>
      </c>
      <c r="L32" s="908">
        <v>0</v>
      </c>
    </row>
    <row r="33" spans="1:13">
      <c r="K33" s="124" t="s">
        <v>190</v>
      </c>
      <c r="L33" s="908">
        <v>0</v>
      </c>
    </row>
    <row r="35" spans="1:13">
      <c r="A35" s="129" t="s">
        <v>181</v>
      </c>
      <c r="B35" s="126"/>
    </row>
    <row r="36" spans="1:13">
      <c r="A36" s="1659"/>
      <c r="B36" s="1660"/>
    </row>
    <row r="37" spans="1:13">
      <c r="A37" s="1661"/>
      <c r="B37" s="1662"/>
    </row>
    <row r="38" spans="1:13">
      <c r="A38" s="1663"/>
      <c r="B38" s="1664"/>
    </row>
    <row r="40" spans="1:13">
      <c r="A40" s="1" t="str">
        <f>'ADJ-1'!A40</f>
        <v>Electrical</v>
      </c>
    </row>
    <row r="41" spans="1:13">
      <c r="A41" s="124" t="s">
        <v>175</v>
      </c>
      <c r="B41" s="152">
        <f>DATA!$J$1012</f>
        <v>0</v>
      </c>
    </row>
    <row r="42" spans="1:13">
      <c r="A42" s="124" t="s">
        <v>176</v>
      </c>
      <c r="B42" s="152">
        <f>'SUMMARY TENDERED FEE'!$C$19</f>
        <v>0</v>
      </c>
    </row>
    <row r="43" spans="1:13">
      <c r="A43" s="124" t="s">
        <v>805</v>
      </c>
      <c r="B43" s="166">
        <f>'SUMMARY TENDERED FEE'!$D$19</f>
        <v>0</v>
      </c>
    </row>
    <row r="44" spans="1:13">
      <c r="A44" s="124" t="s">
        <v>178</v>
      </c>
      <c r="B44" s="139">
        <f>L44+L45+L46</f>
        <v>0</v>
      </c>
      <c r="K44" s="124" t="s">
        <v>188</v>
      </c>
      <c r="L44" s="152">
        <f>'ADJ-1'!B44</f>
        <v>0</v>
      </c>
      <c r="M44" s="140"/>
    </row>
    <row r="45" spans="1:13">
      <c r="A45" s="124" t="s">
        <v>179</v>
      </c>
      <c r="B45" s="124">
        <f>IF(B44&lt;B41*0.8,0.8,IF(B44&gt;1.2*B41,1.2,1))</f>
        <v>1</v>
      </c>
      <c r="K45" s="124" t="s">
        <v>189</v>
      </c>
      <c r="L45" s="908">
        <v>0</v>
      </c>
    </row>
    <row r="46" spans="1:13">
      <c r="A46" s="124" t="s">
        <v>802</v>
      </c>
      <c r="B46" s="881">
        <f>IF(OR(B42=0,B41=0),0,B41*(0.261-0.023*LOG10(B41))/B42)</f>
        <v>0</v>
      </c>
      <c r="K46" s="124" t="s">
        <v>190</v>
      </c>
      <c r="L46" s="908">
        <v>0</v>
      </c>
    </row>
    <row r="47" spans="1:13">
      <c r="A47" s="124" t="s">
        <v>180</v>
      </c>
      <c r="B47" s="158">
        <f>IF(B44=0,0,IF(B45=1,B42,B44*((B42*B46/(B45*B41)+0.023*LOG10(B45*B41/B44)))/B46))</f>
        <v>0</v>
      </c>
    </row>
    <row r="48" spans="1:13">
      <c r="A48" s="124" t="s">
        <v>806</v>
      </c>
      <c r="B48" s="153">
        <f>IF(B44=0,0,B47/B44)</f>
        <v>0</v>
      </c>
    </row>
    <row r="51" spans="1:12">
      <c r="A51" s="129" t="s">
        <v>181</v>
      </c>
      <c r="B51" s="126"/>
    </row>
    <row r="52" spans="1:12">
      <c r="A52" s="1659"/>
      <c r="B52" s="1660"/>
    </row>
    <row r="53" spans="1:12">
      <c r="A53" s="1661"/>
      <c r="B53" s="1662"/>
    </row>
    <row r="54" spans="1:12">
      <c r="A54" s="1663"/>
      <c r="B54" s="1664"/>
    </row>
    <row r="56" spans="1:12">
      <c r="A56" s="1" t="str">
        <f>'ADJ-1'!A56</f>
        <v xml:space="preserve">Building </v>
      </c>
    </row>
    <row r="57" spans="1:12">
      <c r="A57" s="124" t="s">
        <v>175</v>
      </c>
      <c r="B57" s="152">
        <f>DATA!$J$1013</f>
        <v>0</v>
      </c>
    </row>
    <row r="58" spans="1:12">
      <c r="A58" s="124" t="s">
        <v>176</v>
      </c>
      <c r="B58" s="152">
        <f>'SUMMARY TENDERED FEE'!$C$20</f>
        <v>0</v>
      </c>
    </row>
    <row r="59" spans="1:12">
      <c r="A59" s="124" t="s">
        <v>805</v>
      </c>
      <c r="B59" s="166">
        <f>'SUMMARY TENDERED FEE'!$D$20</f>
        <v>0</v>
      </c>
    </row>
    <row r="60" spans="1:12">
      <c r="A60" s="124" t="s">
        <v>178</v>
      </c>
      <c r="B60" s="139">
        <f>L62+L63+L64</f>
        <v>0</v>
      </c>
    </row>
    <row r="61" spans="1:12">
      <c r="A61" s="124" t="s">
        <v>179</v>
      </c>
      <c r="B61" s="124">
        <f>IF(B60&lt;B57*0.8,0.8,IF(B60&gt;1.2*B57,1.2,1))</f>
        <v>1</v>
      </c>
    </row>
    <row r="62" spans="1:12">
      <c r="A62" s="124" t="s">
        <v>802</v>
      </c>
      <c r="B62" s="881">
        <f>IF(OR(B58=0,B57=0),0,B57*(0.261-0.023*LOG10(B57))/B58)</f>
        <v>0</v>
      </c>
      <c r="J62" s="140"/>
      <c r="K62" s="124" t="s">
        <v>188</v>
      </c>
      <c r="L62" s="152">
        <f>'ADJ-1'!B60</f>
        <v>0</v>
      </c>
    </row>
    <row r="63" spans="1:12">
      <c r="A63" s="124" t="s">
        <v>180</v>
      </c>
      <c r="B63" s="158">
        <f>IF(B60=0,0,IF(B61=1,B58,B60*((B58*B62/(B61*B57)+0.023*LOG10(B61*B57/B60)))/B62))</f>
        <v>0</v>
      </c>
      <c r="K63" s="124" t="s">
        <v>189</v>
      </c>
      <c r="L63" s="908">
        <v>0</v>
      </c>
    </row>
    <row r="64" spans="1:12">
      <c r="A64" s="124" t="s">
        <v>806</v>
      </c>
      <c r="B64" s="153">
        <f>IF(B60=0,0,B63/B60)</f>
        <v>0</v>
      </c>
      <c r="K64" s="124" t="s">
        <v>190</v>
      </c>
      <c r="L64" s="908">
        <v>0</v>
      </c>
    </row>
    <row r="67" spans="1:13">
      <c r="A67" s="129" t="s">
        <v>181</v>
      </c>
      <c r="B67" s="126"/>
    </row>
    <row r="68" spans="1:13">
      <c r="A68" s="1659"/>
      <c r="B68" s="1660"/>
    </row>
    <row r="69" spans="1:13">
      <c r="A69" s="1661"/>
      <c r="B69" s="1662"/>
    </row>
    <row r="70" spans="1:13">
      <c r="A70" s="1663"/>
      <c r="B70" s="1664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175</v>
      </c>
      <c r="B73" s="152">
        <f>DATA!$J$1014</f>
        <v>0</v>
      </c>
    </row>
    <row r="74" spans="1:13">
      <c r="A74" s="124" t="s">
        <v>176</v>
      </c>
      <c r="B74" s="152">
        <f>'SUMMARY TENDERED FEE'!$C$21</f>
        <v>0</v>
      </c>
    </row>
    <row r="75" spans="1:13">
      <c r="A75" s="124" t="s">
        <v>805</v>
      </c>
      <c r="B75" s="166">
        <f>'SUMMARY TENDERED FEE'!$D$21</f>
        <v>0</v>
      </c>
    </row>
    <row r="76" spans="1:13">
      <c r="A76" s="124" t="s">
        <v>178</v>
      </c>
      <c r="B76" s="139">
        <f>L77+L78+L79</f>
        <v>0</v>
      </c>
      <c r="M76" s="140"/>
    </row>
    <row r="77" spans="1:13">
      <c r="A77" s="124" t="s">
        <v>179</v>
      </c>
      <c r="B77" s="124">
        <f>IF(B76&lt;B73*0.8,0.8,IF(B76&gt;1.2*B73,1.2,1))</f>
        <v>1</v>
      </c>
      <c r="K77" s="124" t="s">
        <v>188</v>
      </c>
      <c r="L77" s="152">
        <f>'ADJ-1'!B76</f>
        <v>0</v>
      </c>
    </row>
    <row r="78" spans="1:13">
      <c r="A78" s="124" t="s">
        <v>802</v>
      </c>
      <c r="B78" s="881">
        <f>IF(OR(B74=0,B73=0),0,B73*(0.261-0.023*LOG10(B73))/B74)</f>
        <v>0</v>
      </c>
      <c r="K78" s="124" t="s">
        <v>189</v>
      </c>
      <c r="L78" s="908">
        <v>0</v>
      </c>
    </row>
    <row r="79" spans="1:13">
      <c r="A79" s="124" t="s">
        <v>180</v>
      </c>
      <c r="B79" s="158">
        <f>IF(B76=0,0,IF(B77=1,B74,B76*((B74*B78/(B77*B73)+0.023*LOG10(B77*B73/B76)))/B78))</f>
        <v>0</v>
      </c>
      <c r="K79" s="124" t="s">
        <v>190</v>
      </c>
      <c r="L79" s="908">
        <v>0</v>
      </c>
    </row>
    <row r="80" spans="1:13">
      <c r="A80" s="124" t="s">
        <v>806</v>
      </c>
      <c r="B80" s="153">
        <f>IF(B76=0,0,B79/B76)</f>
        <v>0</v>
      </c>
    </row>
    <row r="83" spans="1:14">
      <c r="A83" s="129" t="s">
        <v>181</v>
      </c>
      <c r="B83" s="126"/>
    </row>
    <row r="84" spans="1:14">
      <c r="A84" s="1659"/>
      <c r="B84" s="1660"/>
    </row>
    <row r="85" spans="1:14">
      <c r="A85" s="1661"/>
      <c r="B85" s="1662"/>
    </row>
    <row r="86" spans="1:14">
      <c r="A86" s="1663"/>
      <c r="B86" s="1664"/>
    </row>
    <row r="88" spans="1:14">
      <c r="A88" s="1" t="str">
        <f>'ADJ-1'!A88</f>
        <v>Electronic</v>
      </c>
    </row>
    <row r="89" spans="1:14">
      <c r="A89" s="124" t="s">
        <v>175</v>
      </c>
      <c r="B89" s="152">
        <f>DATA!$J$1015</f>
        <v>0</v>
      </c>
    </row>
    <row r="90" spans="1:14">
      <c r="A90" s="124" t="s">
        <v>176</v>
      </c>
      <c r="B90" s="152">
        <f>'SUMMARY TENDERED FEE'!$C$22</f>
        <v>0</v>
      </c>
    </row>
    <row r="91" spans="1:14">
      <c r="A91" s="124" t="s">
        <v>805</v>
      </c>
      <c r="B91" s="166">
        <f>'SUMMARY TENDERED FEE'!$D$22</f>
        <v>0</v>
      </c>
    </row>
    <row r="92" spans="1:14">
      <c r="A92" s="124" t="s">
        <v>178</v>
      </c>
      <c r="B92" s="139">
        <f>L93+L94+L95</f>
        <v>0</v>
      </c>
    </row>
    <row r="93" spans="1:14">
      <c r="A93" s="124" t="s">
        <v>179</v>
      </c>
      <c r="B93" s="124">
        <f>IF(B92&lt;B89*0.8,0.8,IF(B92&gt;1.2*B89,1.2,1))</f>
        <v>1</v>
      </c>
      <c r="K93" s="124" t="s">
        <v>188</v>
      </c>
      <c r="L93" s="152">
        <f>'ADJ-1'!B92</f>
        <v>0</v>
      </c>
      <c r="N93" s="140"/>
    </row>
    <row r="94" spans="1:14">
      <c r="A94" s="124" t="s">
        <v>802</v>
      </c>
      <c r="B94" s="881">
        <f>IF(OR(B90=0,B89=0),0,B89*(0.261-0.023*LOG10(B89))/B90)</f>
        <v>0</v>
      </c>
      <c r="K94" s="124" t="s">
        <v>189</v>
      </c>
      <c r="L94" s="908">
        <v>0</v>
      </c>
    </row>
    <row r="95" spans="1:14">
      <c r="A95" s="124" t="s">
        <v>180</v>
      </c>
      <c r="B95" s="158">
        <f>IF(B92=0,0,IF(B93=1,B90,B92*((B90*B94/(B93*B89)+0.023*LOG10(B93*B89/B92)))/B94))</f>
        <v>0</v>
      </c>
      <c r="K95" s="124" t="s">
        <v>190</v>
      </c>
      <c r="L95" s="908">
        <v>0</v>
      </c>
    </row>
    <row r="96" spans="1:14">
      <c r="A96" s="124" t="s">
        <v>806</v>
      </c>
      <c r="B96" s="153">
        <f>IF(B92=0,0,B95/B92)</f>
        <v>0</v>
      </c>
    </row>
    <row r="99" spans="1:13">
      <c r="A99" s="129" t="s">
        <v>181</v>
      </c>
      <c r="B99" s="126"/>
    </row>
    <row r="100" spans="1:13">
      <c r="A100" s="1659"/>
      <c r="B100" s="1660"/>
    </row>
    <row r="101" spans="1:13">
      <c r="A101" s="1661"/>
      <c r="B101" s="1662"/>
    </row>
    <row r="102" spans="1:13">
      <c r="A102" s="1663"/>
      <c r="B102" s="1664"/>
    </row>
    <row r="104" spans="1:13">
      <c r="A104" s="1" t="str">
        <f>'ADJ-1'!A104</f>
        <v>Other:</v>
      </c>
    </row>
    <row r="105" spans="1:13">
      <c r="A105" s="124" t="s">
        <v>175</v>
      </c>
      <c r="B105" s="152">
        <f>DATA!$J$1016</f>
        <v>0</v>
      </c>
    </row>
    <row r="106" spans="1:13">
      <c r="A106" s="124" t="s">
        <v>176</v>
      </c>
      <c r="B106" s="152">
        <f>'SUMMARY TENDERED FEE'!$C$23</f>
        <v>0</v>
      </c>
    </row>
    <row r="107" spans="1:13">
      <c r="A107" s="124" t="s">
        <v>805</v>
      </c>
      <c r="B107" s="166">
        <f>'SUMMARY TENDERED FEE'!$D$23</f>
        <v>0</v>
      </c>
    </row>
    <row r="108" spans="1:13">
      <c r="A108" s="124" t="s">
        <v>178</v>
      </c>
      <c r="B108" s="139">
        <f>L112+L113+L114</f>
        <v>0</v>
      </c>
      <c r="M108" s="140"/>
    </row>
    <row r="109" spans="1:13">
      <c r="A109" s="124" t="s">
        <v>179</v>
      </c>
      <c r="B109" s="124">
        <f>IF(B108&lt;B105*0.8,0.8,IF(B108&gt;1.2*B105,1.2,1))</f>
        <v>1</v>
      </c>
    </row>
    <row r="110" spans="1:13">
      <c r="A110" s="124" t="s">
        <v>802</v>
      </c>
      <c r="B110" s="881">
        <f>IF(OR(B106=0,B105=0),0,B105*(0.261-0.023*LOG10(B105))/B106)</f>
        <v>0</v>
      </c>
    </row>
    <row r="111" spans="1:13">
      <c r="A111" s="124" t="s">
        <v>180</v>
      </c>
      <c r="B111" s="158">
        <f>IF(B108=0,0,IF(B109=1,B106,B108*((B106*B110/(B109*B105)+0.023*LOG10(B109*B105/B108)))/B110))</f>
        <v>0</v>
      </c>
    </row>
    <row r="112" spans="1:13">
      <c r="A112" s="124" t="s">
        <v>806</v>
      </c>
      <c r="B112" s="153">
        <f>IF(B108=0,0,B111/B108)</f>
        <v>0</v>
      </c>
      <c r="K112" s="124" t="s">
        <v>188</v>
      </c>
      <c r="L112" s="152">
        <f>'ADJ-1'!B108</f>
        <v>0</v>
      </c>
    </row>
    <row r="113" spans="1:68">
      <c r="K113" s="124" t="s">
        <v>189</v>
      </c>
      <c r="L113" s="908">
        <v>0</v>
      </c>
    </row>
    <row r="114" spans="1:68">
      <c r="K114" s="124" t="s">
        <v>190</v>
      </c>
      <c r="L114" s="908">
        <v>0</v>
      </c>
    </row>
    <row r="115" spans="1:68">
      <c r="A115" s="129" t="s">
        <v>181</v>
      </c>
      <c r="B115" s="126"/>
    </row>
    <row r="116" spans="1:68">
      <c r="A116" s="1659"/>
      <c r="B116" s="1660"/>
    </row>
    <row r="117" spans="1:68">
      <c r="A117" s="1661"/>
      <c r="B117" s="1662"/>
    </row>
    <row r="118" spans="1:68">
      <c r="A118" s="1663"/>
      <c r="B118" s="1664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175</v>
      </c>
      <c r="B133" s="140">
        <f>B9</f>
        <v>145000000</v>
      </c>
      <c r="K133" t="s">
        <v>175</v>
      </c>
      <c r="L133" s="140">
        <f>B25</f>
        <v>0</v>
      </c>
      <c r="U133" t="s">
        <v>175</v>
      </c>
      <c r="V133" s="140">
        <f>B41</f>
        <v>0</v>
      </c>
      <c r="AE133" t="s">
        <v>175</v>
      </c>
      <c r="AF133" s="140">
        <f>B57</f>
        <v>0</v>
      </c>
      <c r="AO133" t="s">
        <v>175</v>
      </c>
      <c r="AP133" s="140">
        <f>B73</f>
        <v>0</v>
      </c>
      <c r="AY133" t="s">
        <v>175</v>
      </c>
      <c r="AZ133" s="140">
        <f>B89</f>
        <v>0</v>
      </c>
      <c r="BI133" t="s">
        <v>175</v>
      </c>
      <c r="BJ133" s="140">
        <f>B105</f>
        <v>0</v>
      </c>
    </row>
    <row r="134" spans="1:117">
      <c r="A134" t="s">
        <v>803</v>
      </c>
      <c r="B134" s="140">
        <f>B10</f>
        <v>0</v>
      </c>
      <c r="K134" t="s">
        <v>803</v>
      </c>
      <c r="L134" s="140">
        <f>B26</f>
        <v>0</v>
      </c>
      <c r="U134" t="s">
        <v>803</v>
      </c>
      <c r="V134" s="140">
        <f>B42</f>
        <v>0</v>
      </c>
      <c r="AA134" s="140"/>
      <c r="AE134" t="s">
        <v>803</v>
      </c>
      <c r="AF134" s="140">
        <f>B58</f>
        <v>0</v>
      </c>
      <c r="AL134" s="140"/>
      <c r="AO134" t="s">
        <v>803</v>
      </c>
      <c r="AP134" s="140">
        <f t="shared" ref="AP134:AP138" si="0">B74</f>
        <v>0</v>
      </c>
      <c r="AV134" s="140"/>
      <c r="AY134" t="s">
        <v>803</v>
      </c>
      <c r="AZ134" s="140">
        <f t="shared" ref="AZ134:AZ138" si="1">B90</f>
        <v>0</v>
      </c>
      <c r="BF134" s="140"/>
      <c r="BI134" t="s">
        <v>803</v>
      </c>
      <c r="BJ134" s="140">
        <f t="shared" ref="BJ134:BJ138" si="2">B106</f>
        <v>0</v>
      </c>
    </row>
    <row r="135" spans="1:117">
      <c r="A135" t="s">
        <v>804</v>
      </c>
      <c r="B135" s="154">
        <f>B11</f>
        <v>0</v>
      </c>
      <c r="K135" t="s">
        <v>804</v>
      </c>
      <c r="L135" s="140">
        <f>B27</f>
        <v>0</v>
      </c>
      <c r="Q135" s="140"/>
      <c r="U135" t="s">
        <v>804</v>
      </c>
      <c r="V135" s="140">
        <f>B43</f>
        <v>0</v>
      </c>
      <c r="AA135" s="140"/>
      <c r="AE135" t="s">
        <v>804</v>
      </c>
      <c r="AF135" s="140">
        <f>B59</f>
        <v>0</v>
      </c>
      <c r="AL135" s="140"/>
      <c r="AO135" t="s">
        <v>804</v>
      </c>
      <c r="AP135" s="140">
        <f t="shared" si="0"/>
        <v>0</v>
      </c>
      <c r="AV135" s="140"/>
      <c r="AY135" t="s">
        <v>804</v>
      </c>
      <c r="AZ135" s="140">
        <f t="shared" si="1"/>
        <v>0</v>
      </c>
      <c r="BF135" s="140"/>
      <c r="BI135" t="s">
        <v>804</v>
      </c>
      <c r="BJ135" s="140">
        <f t="shared" si="2"/>
        <v>0</v>
      </c>
      <c r="BP135" s="140"/>
    </row>
    <row r="136" spans="1:117">
      <c r="A136" t="s">
        <v>183</v>
      </c>
      <c r="B136" s="140">
        <f>IF(B12=0,0.00001,B12)</f>
        <v>1.0000000000000001E-5</v>
      </c>
      <c r="K136" t="s">
        <v>183</v>
      </c>
      <c r="L136" s="140">
        <f>IF(B28=0,0.00001,B28)</f>
        <v>1.0000000000000001E-5</v>
      </c>
      <c r="Q136" s="140"/>
      <c r="U136" t="s">
        <v>183</v>
      </c>
      <c r="V136" s="140">
        <f>IF(B44=0,0.00001,B44)</f>
        <v>1.0000000000000001E-5</v>
      </c>
      <c r="AA136" s="140"/>
      <c r="AE136" t="s">
        <v>183</v>
      </c>
      <c r="AF136" s="140">
        <f>IF(B60=0,0.00001,B60)</f>
        <v>1.0000000000000001E-5</v>
      </c>
      <c r="AL136" s="140"/>
      <c r="AO136" t="s">
        <v>183</v>
      </c>
      <c r="AP136" s="140">
        <f>IF(B76=0,0.00001,B76)</f>
        <v>1.0000000000000001E-5</v>
      </c>
      <c r="AV136" s="140"/>
      <c r="AY136" t="s">
        <v>183</v>
      </c>
      <c r="AZ136" s="140">
        <f>IF(B92=0,0.00001,B92)</f>
        <v>1.0000000000000001E-5</v>
      </c>
      <c r="BF136" s="140"/>
      <c r="BI136" t="s">
        <v>183</v>
      </c>
      <c r="BJ136" s="140">
        <f>IF(B108=0,0.00001,B108)</f>
        <v>1.0000000000000001E-5</v>
      </c>
      <c r="BP136" s="140"/>
    </row>
    <row r="137" spans="1:117">
      <c r="A137" t="s">
        <v>179</v>
      </c>
      <c r="B137">
        <f>B13</f>
        <v>0.8</v>
      </c>
      <c r="K137" t="s">
        <v>179</v>
      </c>
      <c r="L137" s="140">
        <f>B29</f>
        <v>1</v>
      </c>
      <c r="Q137" s="140"/>
      <c r="U137" t="s">
        <v>179</v>
      </c>
      <c r="V137" s="140">
        <f>B45</f>
        <v>1</v>
      </c>
      <c r="AE137" t="s">
        <v>179</v>
      </c>
      <c r="AF137" s="140">
        <f>B61</f>
        <v>1</v>
      </c>
      <c r="AO137" t="s">
        <v>179</v>
      </c>
      <c r="AP137" s="140">
        <f t="shared" si="0"/>
        <v>1</v>
      </c>
      <c r="AY137" t="s">
        <v>179</v>
      </c>
      <c r="AZ137" s="140">
        <f t="shared" si="1"/>
        <v>1</v>
      </c>
      <c r="BI137" t="s">
        <v>179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802</v>
      </c>
      <c r="B138" s="745">
        <f>B14</f>
        <v>0</v>
      </c>
      <c r="K138" t="s">
        <v>802</v>
      </c>
      <c r="L138" s="140">
        <f>B30</f>
        <v>0</v>
      </c>
      <c r="U138" t="s">
        <v>802</v>
      </c>
      <c r="V138" s="140">
        <f>B46</f>
        <v>0</v>
      </c>
      <c r="AE138" t="s">
        <v>802</v>
      </c>
      <c r="AF138" s="140">
        <f>B62</f>
        <v>0</v>
      </c>
      <c r="AO138" t="s">
        <v>802</v>
      </c>
      <c r="AP138" s="140">
        <f t="shared" si="0"/>
        <v>0</v>
      </c>
      <c r="AY138" t="s">
        <v>802</v>
      </c>
      <c r="AZ138" s="140">
        <f t="shared" si="1"/>
        <v>0</v>
      </c>
      <c r="BI138" t="s">
        <v>802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182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182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182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182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182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182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182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183</v>
      </c>
      <c r="B142" s="132" t="s">
        <v>184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179</v>
      </c>
      <c r="I142" s="132" t="s">
        <v>185</v>
      </c>
      <c r="K142" s="132" t="s">
        <v>183</v>
      </c>
      <c r="L142" s="132" t="s">
        <v>184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179</v>
      </c>
      <c r="S142" s="132" t="s">
        <v>185</v>
      </c>
      <c r="U142" s="132" t="s">
        <v>183</v>
      </c>
      <c r="V142" s="132" t="s">
        <v>184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179</v>
      </c>
      <c r="AC142" s="132" t="s">
        <v>185</v>
      </c>
      <c r="AE142" s="132" t="s">
        <v>183</v>
      </c>
      <c r="AF142" s="132" t="s">
        <v>184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179</v>
      </c>
      <c r="AM142" s="132" t="s">
        <v>185</v>
      </c>
      <c r="AO142" s="132" t="s">
        <v>183</v>
      </c>
      <c r="AP142" s="132" t="s">
        <v>184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179</v>
      </c>
      <c r="AW142" s="132" t="s">
        <v>185</v>
      </c>
      <c r="AY142" s="132" t="s">
        <v>183</v>
      </c>
      <c r="AZ142" s="132" t="s">
        <v>184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179</v>
      </c>
      <c r="BG142" s="132" t="s">
        <v>185</v>
      </c>
      <c r="BI142" s="132" t="s">
        <v>183</v>
      </c>
      <c r="BJ142" s="132" t="s">
        <v>184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179</v>
      </c>
      <c r="BQ142" s="132" t="s">
        <v>185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NRA.N.007-040-2024/1F</v>
      </c>
      <c r="C1" s="1658" t="str">
        <f>DATA!$C$1005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  <c r="I1" s="1658"/>
      <c r="J1" s="1658"/>
    </row>
    <row r="2" spans="1:10">
      <c r="C2" s="1658"/>
      <c r="D2" s="1658"/>
      <c r="E2" s="1658"/>
      <c r="F2" s="1658"/>
      <c r="G2" s="1658"/>
      <c r="H2" s="1658"/>
      <c r="I2" s="1658"/>
      <c r="J2" s="1658"/>
    </row>
    <row r="3" spans="1:10">
      <c r="A3" s="232" t="str">
        <f>'All Hours'!$D$1</f>
        <v>PLEASE INSERT TENDERER NAME ON INPUT DATA SHEET</v>
      </c>
    </row>
    <row r="4" spans="1:10">
      <c r="A4" s="1" t="s">
        <v>191</v>
      </c>
      <c r="B4" t="s">
        <v>192</v>
      </c>
    </row>
    <row r="6" spans="1:10">
      <c r="D6" s="124" t="s">
        <v>169</v>
      </c>
      <c r="E6" s="124" t="s">
        <v>170</v>
      </c>
      <c r="F6" s="124" t="s">
        <v>171</v>
      </c>
      <c r="G6" s="162"/>
      <c r="I6" s="133" t="s">
        <v>172</v>
      </c>
    </row>
    <row r="7" spans="1:10">
      <c r="C7" s="124" t="s">
        <v>173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175</v>
      </c>
      <c r="B9" s="152">
        <f>DATA!$J$1010</f>
        <v>145000000</v>
      </c>
      <c r="C9" s="140"/>
      <c r="D9" s="140"/>
      <c r="E9" s="140"/>
      <c r="F9" s="140"/>
      <c r="G9" s="140"/>
    </row>
    <row r="10" spans="1:10">
      <c r="A10" s="124" t="s">
        <v>176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805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178</v>
      </c>
      <c r="B12" s="910"/>
    </row>
    <row r="13" spans="1:10">
      <c r="A13" s="124" t="s">
        <v>179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802</v>
      </c>
      <c r="B14" s="881">
        <f>IF(OR(B10=0,B9=0),0,B9*(0.261-0.023*LOG10(B9))/B10)</f>
        <v>0</v>
      </c>
    </row>
    <row r="15" spans="1:10">
      <c r="A15" s="124" t="s">
        <v>180</v>
      </c>
      <c r="B15" s="158">
        <f>IF(B12="",0,IF(B13=1,B10,B12*((B10*B14/(B13*B9)+0.023*LOG10(B13*B9/B12)))/B14))</f>
        <v>0</v>
      </c>
    </row>
    <row r="16" spans="1:10">
      <c r="A16" s="124" t="s">
        <v>806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181</v>
      </c>
      <c r="B19" s="126"/>
      <c r="C19" s="140"/>
      <c r="F19" s="140"/>
      <c r="G19" s="140"/>
    </row>
    <row r="20" spans="1:10">
      <c r="A20" s="1659"/>
      <c r="B20" s="1660"/>
    </row>
    <row r="21" spans="1:10">
      <c r="A21" s="1661"/>
      <c r="B21" s="1662"/>
    </row>
    <row r="22" spans="1:10">
      <c r="A22" s="1663"/>
      <c r="B22" s="1664"/>
    </row>
    <row r="24" spans="1:10">
      <c r="A24" s="1" t="str">
        <f>'ADJ-1'!A24</f>
        <v>Structures</v>
      </c>
    </row>
    <row r="25" spans="1:10">
      <c r="A25" s="124" t="s">
        <v>175</v>
      </c>
      <c r="B25" s="152">
        <f>DATA!$J$1011</f>
        <v>0</v>
      </c>
    </row>
    <row r="26" spans="1:10">
      <c r="A26" s="124" t="s">
        <v>176</v>
      </c>
      <c r="B26" s="152">
        <f>'SUMMARY TENDERED FEE'!$C$18</f>
        <v>0</v>
      </c>
    </row>
    <row r="27" spans="1:10">
      <c r="A27" s="124" t="s">
        <v>805</v>
      </c>
      <c r="B27" s="166">
        <f>'SUMMARY TENDERED FEE'!$D$18</f>
        <v>0</v>
      </c>
    </row>
    <row r="28" spans="1:10">
      <c r="A28" s="124" t="s">
        <v>178</v>
      </c>
      <c r="B28" s="908"/>
    </row>
    <row r="29" spans="1:10">
      <c r="A29" s="124" t="s">
        <v>179</v>
      </c>
      <c r="B29" s="124">
        <f>IF(B28&lt;B25*0.8,0.8,IF(B28&gt;1.2*B25,1.2,1))</f>
        <v>1</v>
      </c>
    </row>
    <row r="30" spans="1:10">
      <c r="A30" s="124" t="s">
        <v>802</v>
      </c>
      <c r="B30" s="881">
        <f>IF(OR(B26=0,B25=0),0,B25*(0.261-0.023*LOG10(B25))/B26)</f>
        <v>0</v>
      </c>
      <c r="J30" s="156"/>
    </row>
    <row r="31" spans="1:10">
      <c r="A31" s="124" t="s">
        <v>180</v>
      </c>
      <c r="B31" s="158">
        <f>IF(B28="",0,IF(B29=1,B26,B28*((B26*B30/(B29*B25)+0.023*LOG10(B29*B25/B28)))/B30))</f>
        <v>0</v>
      </c>
    </row>
    <row r="32" spans="1:10">
      <c r="A32" s="124" t="s">
        <v>806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181</v>
      </c>
      <c r="B35" s="126"/>
    </row>
    <row r="36" spans="1:2">
      <c r="A36" s="1659"/>
      <c r="B36" s="1660"/>
    </row>
    <row r="37" spans="1:2">
      <c r="A37" s="1661"/>
      <c r="B37" s="1662"/>
    </row>
    <row r="38" spans="1:2">
      <c r="A38" s="1663"/>
      <c r="B38" s="1664"/>
    </row>
    <row r="40" spans="1:2">
      <c r="A40" s="1" t="str">
        <f>'ADJ-1'!A40</f>
        <v>Electrical</v>
      </c>
    </row>
    <row r="41" spans="1:2">
      <c r="A41" s="124" t="s">
        <v>175</v>
      </c>
      <c r="B41" s="152">
        <f>DATA!$J$1012</f>
        <v>0</v>
      </c>
    </row>
    <row r="42" spans="1:2">
      <c r="A42" s="124" t="s">
        <v>176</v>
      </c>
      <c r="B42" s="152">
        <f>'SUMMARY TENDERED FEE'!$C$19</f>
        <v>0</v>
      </c>
    </row>
    <row r="43" spans="1:2">
      <c r="A43" s="124" t="s">
        <v>805</v>
      </c>
      <c r="B43" s="166">
        <f>'SUMMARY TENDERED FEE'!$D$19</f>
        <v>0</v>
      </c>
    </row>
    <row r="44" spans="1:2">
      <c r="A44" s="124" t="s">
        <v>178</v>
      </c>
      <c r="B44" s="908"/>
    </row>
    <row r="45" spans="1:2">
      <c r="A45" s="124" t="s">
        <v>179</v>
      </c>
      <c r="B45" s="124">
        <f>IF(B44&lt;B41*0.8,0.8,IF(B44&gt;1.2*B41,1.2,1))</f>
        <v>1</v>
      </c>
    </row>
    <row r="46" spans="1:2">
      <c r="A46" s="124" t="s">
        <v>802</v>
      </c>
      <c r="B46" s="881">
        <f>IF(OR(B42=0,B41=0),0,B41*(0.261-0.023*LOG10(B41))/B42)</f>
        <v>0</v>
      </c>
    </row>
    <row r="47" spans="1:2">
      <c r="A47" s="124" t="s">
        <v>180</v>
      </c>
      <c r="B47" s="158">
        <f>IF(B44="",0,IF(B45=1,B42,B44*((B42*B46/(B45*B41)+0.023*LOG10(B45*B41/B44)))/B46))</f>
        <v>0</v>
      </c>
    </row>
    <row r="48" spans="1:2">
      <c r="A48" s="124" t="s">
        <v>806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181</v>
      </c>
      <c r="B51" s="126"/>
    </row>
    <row r="52" spans="1:2">
      <c r="A52" s="1659"/>
      <c r="B52" s="1660"/>
    </row>
    <row r="53" spans="1:2">
      <c r="A53" s="1661"/>
      <c r="B53" s="1662"/>
    </row>
    <row r="54" spans="1:2">
      <c r="A54" s="1663"/>
      <c r="B54" s="1664"/>
    </row>
    <row r="56" spans="1:2">
      <c r="A56" s="1" t="str">
        <f>'ADJ-1'!A56</f>
        <v xml:space="preserve">Building </v>
      </c>
    </row>
    <row r="57" spans="1:2">
      <c r="A57" s="124" t="s">
        <v>175</v>
      </c>
      <c r="B57" s="152">
        <f>DATA!$J$1013</f>
        <v>0</v>
      </c>
    </row>
    <row r="58" spans="1:2">
      <c r="A58" s="124" t="s">
        <v>176</v>
      </c>
      <c r="B58" s="152">
        <f>'SUMMARY TENDERED FEE'!$C$20</f>
        <v>0</v>
      </c>
    </row>
    <row r="59" spans="1:2">
      <c r="A59" s="124" t="s">
        <v>805</v>
      </c>
      <c r="B59" s="166">
        <f>'SUMMARY TENDERED FEE'!$D$20</f>
        <v>0</v>
      </c>
    </row>
    <row r="60" spans="1:2">
      <c r="A60" s="124" t="s">
        <v>178</v>
      </c>
      <c r="B60" s="908"/>
    </row>
    <row r="61" spans="1:2">
      <c r="A61" s="124" t="s">
        <v>179</v>
      </c>
      <c r="B61" s="124">
        <f>IF(B60&lt;B57*0.8,0.8,IF(B60&gt;1.2*B57,1.2,1))</f>
        <v>1</v>
      </c>
    </row>
    <row r="62" spans="1:2">
      <c r="A62" s="124" t="s">
        <v>802</v>
      </c>
      <c r="B62" s="881">
        <f>IF(OR(B58=0,B57=0),0,B57*(0.261-0.023*LOG10(B57))/B58)</f>
        <v>0</v>
      </c>
    </row>
    <row r="63" spans="1:2">
      <c r="A63" s="124" t="s">
        <v>180</v>
      </c>
      <c r="B63" s="158">
        <f>IF(B60="",0,IF(B61=1,B58,B60*((B58*B62/(B61*B57)+0.023*LOG10(B61*B57/B60)))/B62))</f>
        <v>0</v>
      </c>
    </row>
    <row r="64" spans="1:2">
      <c r="A64" s="124" t="s">
        <v>806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181</v>
      </c>
      <c r="B67" s="126"/>
    </row>
    <row r="68" spans="1:2">
      <c r="A68" s="1659"/>
      <c r="B68" s="1660"/>
    </row>
    <row r="69" spans="1:2">
      <c r="A69" s="1661"/>
      <c r="B69" s="1662"/>
    </row>
    <row r="70" spans="1:2">
      <c r="A70" s="1663"/>
      <c r="B70" s="1664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175</v>
      </c>
      <c r="B73" s="152">
        <f>DATA!$J$1014</f>
        <v>0</v>
      </c>
    </row>
    <row r="74" spans="1:2">
      <c r="A74" s="124" t="s">
        <v>176</v>
      </c>
      <c r="B74" s="152">
        <f>'SUMMARY TENDERED FEE'!$C$21</f>
        <v>0</v>
      </c>
    </row>
    <row r="75" spans="1:2">
      <c r="A75" s="124" t="s">
        <v>805</v>
      </c>
      <c r="B75" s="166">
        <f>'SUMMARY TENDERED FEE'!$D$21</f>
        <v>0</v>
      </c>
    </row>
    <row r="76" spans="1:2">
      <c r="A76" s="124" t="s">
        <v>178</v>
      </c>
      <c r="B76" s="908"/>
    </row>
    <row r="77" spans="1:2">
      <c r="A77" s="124" t="s">
        <v>179</v>
      </c>
      <c r="B77" s="124">
        <f>IF(B76&lt;B73*0.8,0.8,IF(B76&gt;1.2*B73,1.2,1))</f>
        <v>1</v>
      </c>
    </row>
    <row r="78" spans="1:2">
      <c r="A78" s="124" t="s">
        <v>802</v>
      </c>
      <c r="B78" s="881">
        <f>IF(OR(B74=0,B73=0),0,B73*(0.261-0.023*LOG10(B73))/B74)</f>
        <v>0</v>
      </c>
    </row>
    <row r="79" spans="1:2">
      <c r="A79" s="124" t="s">
        <v>180</v>
      </c>
      <c r="B79" s="158">
        <f>IF(B76="",0,IF(B77=1,B74,B76*((B74*B78/(B77*B73)+0.023*LOG10(B77*B73/B76)))/B78))</f>
        <v>0</v>
      </c>
    </row>
    <row r="80" spans="1:2">
      <c r="A80" s="124" t="s">
        <v>806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181</v>
      </c>
      <c r="B83" s="126"/>
    </row>
    <row r="84" spans="1:2">
      <c r="A84" s="1659"/>
      <c r="B84" s="1660"/>
    </row>
    <row r="85" spans="1:2">
      <c r="A85" s="1661"/>
      <c r="B85" s="1662"/>
    </row>
    <row r="86" spans="1:2">
      <c r="A86" s="1663"/>
      <c r="B86" s="1664"/>
    </row>
    <row r="88" spans="1:2">
      <c r="A88" s="1" t="str">
        <f>'ADJ-1'!A88</f>
        <v>Electronic</v>
      </c>
    </row>
    <row r="89" spans="1:2">
      <c r="A89" s="124" t="s">
        <v>175</v>
      </c>
      <c r="B89" s="152">
        <f>DATA!$J$1015</f>
        <v>0</v>
      </c>
    </row>
    <row r="90" spans="1:2">
      <c r="A90" s="124" t="s">
        <v>176</v>
      </c>
      <c r="B90" s="152">
        <f>'SUMMARY TENDERED FEE'!$C$22</f>
        <v>0</v>
      </c>
    </row>
    <row r="91" spans="1:2">
      <c r="A91" s="124" t="s">
        <v>805</v>
      </c>
      <c r="B91" s="166">
        <f>'SUMMARY TENDERED FEE'!$D$22</f>
        <v>0</v>
      </c>
    </row>
    <row r="92" spans="1:2">
      <c r="A92" s="124" t="s">
        <v>178</v>
      </c>
      <c r="B92" s="908"/>
    </row>
    <row r="93" spans="1:2">
      <c r="A93" s="124" t="s">
        <v>179</v>
      </c>
      <c r="B93" s="124">
        <f>IF(B92&lt;B89*0.8,0.8,IF(B92&gt;1.2*B89,1.2,1))</f>
        <v>1</v>
      </c>
    </row>
    <row r="94" spans="1:2">
      <c r="A94" s="124" t="s">
        <v>802</v>
      </c>
      <c r="B94" s="881">
        <f>IF(OR(B90=0,B89=0),0,B89*(0.261-0.023*LOG10(B89))/B90)</f>
        <v>0</v>
      </c>
    </row>
    <row r="95" spans="1:2">
      <c r="A95" s="124" t="s">
        <v>180</v>
      </c>
      <c r="B95" s="158">
        <f>IF(B92="",0,IF(B93=1,B90,B92*((B90*B94/(B93*B89)+0.023*LOG10(B93*B89/B92)))/B94))</f>
        <v>0</v>
      </c>
    </row>
    <row r="96" spans="1:2">
      <c r="A96" s="124" t="s">
        <v>806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181</v>
      </c>
      <c r="B99" s="126"/>
    </row>
    <row r="100" spans="1:2">
      <c r="A100" s="1659"/>
      <c r="B100" s="1660"/>
    </row>
    <row r="101" spans="1:2">
      <c r="A101" s="1661"/>
      <c r="B101" s="1662"/>
    </row>
    <row r="102" spans="1:2">
      <c r="A102" s="1663"/>
      <c r="B102" s="1664"/>
    </row>
    <row r="104" spans="1:2">
      <c r="A104" s="1" t="str">
        <f>'ADJ-1'!A104</f>
        <v>Other:</v>
      </c>
    </row>
    <row r="105" spans="1:2">
      <c r="A105" s="124" t="s">
        <v>175</v>
      </c>
      <c r="B105" s="152">
        <f>DATA!$J$1016</f>
        <v>0</v>
      </c>
    </row>
    <row r="106" spans="1:2">
      <c r="A106" s="124" t="s">
        <v>176</v>
      </c>
      <c r="B106" s="152">
        <f>'SUMMARY TENDERED FEE'!$C$23</f>
        <v>0</v>
      </c>
    </row>
    <row r="107" spans="1:2">
      <c r="A107" s="124" t="s">
        <v>805</v>
      </c>
      <c r="B107" s="166">
        <f>'SUMMARY TENDERED FEE'!$D$23</f>
        <v>0</v>
      </c>
    </row>
    <row r="108" spans="1:2">
      <c r="A108" s="124" t="s">
        <v>178</v>
      </c>
      <c r="B108" s="908"/>
    </row>
    <row r="109" spans="1:2">
      <c r="A109" s="124" t="s">
        <v>179</v>
      </c>
      <c r="B109" s="124">
        <f>IF(B108&lt;B105*0.8,0.8,IF(B108&gt;1.2*B105,1.2,1))</f>
        <v>1</v>
      </c>
    </row>
    <row r="110" spans="1:2">
      <c r="A110" s="124" t="s">
        <v>802</v>
      </c>
      <c r="B110" s="881">
        <f>IF(OR(B106=0,B105=0),0,B105*(0.261-0.023*LOG10(B105))/B106)</f>
        <v>0</v>
      </c>
    </row>
    <row r="111" spans="1:2">
      <c r="A111" s="124" t="s">
        <v>180</v>
      </c>
      <c r="B111" s="158">
        <f>IF(B108="",0,IF(B109=1,B106,B108*((B106*B110/(B109*B105)+0.023*LOG10(B109*B105/B108)))/B110))</f>
        <v>0</v>
      </c>
    </row>
    <row r="112" spans="1:2">
      <c r="A112" s="124" t="s">
        <v>806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181</v>
      </c>
      <c r="B115" s="126"/>
    </row>
    <row r="116" spans="1:68">
      <c r="A116" s="1659"/>
      <c r="B116" s="1660"/>
    </row>
    <row r="117" spans="1:68">
      <c r="A117" s="1661"/>
      <c r="B117" s="1662"/>
    </row>
    <row r="118" spans="1:68">
      <c r="A118" s="1663"/>
      <c r="B118" s="1664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175</v>
      </c>
      <c r="B133" s="140">
        <f>B9</f>
        <v>145000000</v>
      </c>
      <c r="K133" t="s">
        <v>175</v>
      </c>
      <c r="L133" s="140">
        <f>B25</f>
        <v>0</v>
      </c>
      <c r="U133" t="s">
        <v>175</v>
      </c>
      <c r="V133" s="140">
        <f>B41</f>
        <v>0</v>
      </c>
      <c r="AE133" t="s">
        <v>175</v>
      </c>
      <c r="AF133" s="140">
        <f>B57</f>
        <v>0</v>
      </c>
      <c r="AO133" t="s">
        <v>175</v>
      </c>
      <c r="AP133" s="140">
        <f>B73</f>
        <v>0</v>
      </c>
      <c r="AY133" t="s">
        <v>175</v>
      </c>
      <c r="AZ133" s="140">
        <f>B89</f>
        <v>0</v>
      </c>
      <c r="BI133" t="s">
        <v>175</v>
      </c>
      <c r="BJ133" s="140">
        <f>B105</f>
        <v>0</v>
      </c>
    </row>
    <row r="134" spans="1:69">
      <c r="A134" t="s">
        <v>803</v>
      </c>
      <c r="B134" s="140">
        <f>B10</f>
        <v>0</v>
      </c>
      <c r="K134" t="s">
        <v>803</v>
      </c>
      <c r="L134" s="140">
        <f>B26</f>
        <v>0</v>
      </c>
      <c r="U134" t="s">
        <v>803</v>
      </c>
      <c r="V134" s="140">
        <f>B42</f>
        <v>0</v>
      </c>
      <c r="AA134" s="140"/>
      <c r="AE134" t="s">
        <v>803</v>
      </c>
      <c r="AF134" s="140">
        <f>B58</f>
        <v>0</v>
      </c>
      <c r="AL134" s="140"/>
      <c r="AO134" t="s">
        <v>803</v>
      </c>
      <c r="AP134" s="140">
        <f t="shared" ref="AP134:AP138" si="0">B74</f>
        <v>0</v>
      </c>
      <c r="AV134" s="140"/>
      <c r="AY134" t="s">
        <v>803</v>
      </c>
      <c r="AZ134" s="140">
        <f t="shared" ref="AZ134:AZ138" si="1">B90</f>
        <v>0</v>
      </c>
      <c r="BF134" s="140"/>
      <c r="BI134" t="s">
        <v>803</v>
      </c>
      <c r="BJ134" s="140">
        <f t="shared" ref="BJ134:BJ138" si="2">B106</f>
        <v>0</v>
      </c>
    </row>
    <row r="135" spans="1:69">
      <c r="A135" t="s">
        <v>804</v>
      </c>
      <c r="B135" s="154">
        <f>B11</f>
        <v>0</v>
      </c>
      <c r="K135" t="s">
        <v>804</v>
      </c>
      <c r="L135" s="140">
        <f>B27</f>
        <v>0</v>
      </c>
      <c r="Q135" s="140"/>
      <c r="U135" t="s">
        <v>804</v>
      </c>
      <c r="V135" s="140">
        <f>B43</f>
        <v>0</v>
      </c>
      <c r="AA135" s="140"/>
      <c r="AE135" t="s">
        <v>804</v>
      </c>
      <c r="AF135" s="140">
        <f>B59</f>
        <v>0</v>
      </c>
      <c r="AL135" s="140"/>
      <c r="AO135" t="s">
        <v>804</v>
      </c>
      <c r="AP135" s="140">
        <f t="shared" si="0"/>
        <v>0</v>
      </c>
      <c r="AV135" s="140"/>
      <c r="AY135" t="s">
        <v>804</v>
      </c>
      <c r="AZ135" s="140">
        <f t="shared" si="1"/>
        <v>0</v>
      </c>
      <c r="BF135" s="140"/>
      <c r="BI135" t="s">
        <v>804</v>
      </c>
      <c r="BJ135" s="140">
        <f t="shared" si="2"/>
        <v>0</v>
      </c>
      <c r="BP135" s="140"/>
    </row>
    <row r="136" spans="1:69">
      <c r="A136" t="s">
        <v>183</v>
      </c>
      <c r="B136" s="140">
        <f>IF(B12=0,0.00001,B12)</f>
        <v>1.0000000000000001E-5</v>
      </c>
      <c r="K136" t="s">
        <v>183</v>
      </c>
      <c r="L136" s="140">
        <f>IF(B28=0,0.00001,B28)</f>
        <v>1.0000000000000001E-5</v>
      </c>
      <c r="Q136" s="140"/>
      <c r="U136" t="s">
        <v>183</v>
      </c>
      <c r="V136" s="140">
        <f>IF(B44=0,0.00001,B44)</f>
        <v>1.0000000000000001E-5</v>
      </c>
      <c r="AA136" s="140"/>
      <c r="AE136" t="s">
        <v>183</v>
      </c>
      <c r="AF136" s="140">
        <f>IF(B60=0,0.00001,B60)</f>
        <v>1.0000000000000001E-5</v>
      </c>
      <c r="AL136" s="140"/>
      <c r="AO136" t="s">
        <v>183</v>
      </c>
      <c r="AP136" s="140">
        <f>IF(B76=0,0.00001,B76)</f>
        <v>1.0000000000000001E-5</v>
      </c>
      <c r="AV136" s="140"/>
      <c r="AY136" t="s">
        <v>183</v>
      </c>
      <c r="AZ136" s="140">
        <f>IF(B92=0,0.00001,B92)</f>
        <v>1.0000000000000001E-5</v>
      </c>
      <c r="BF136" s="140"/>
      <c r="BI136" t="s">
        <v>183</v>
      </c>
      <c r="BJ136" s="140">
        <f>IF(B108=0,0.00001,B108)</f>
        <v>1.0000000000000001E-5</v>
      </c>
      <c r="BP136" s="140"/>
    </row>
    <row r="137" spans="1:69">
      <c r="A137" t="s">
        <v>179</v>
      </c>
      <c r="B137">
        <f>B13</f>
        <v>0.8</v>
      </c>
      <c r="K137" t="s">
        <v>179</v>
      </c>
      <c r="L137" s="140">
        <f>B29</f>
        <v>1</v>
      </c>
      <c r="Q137" s="140"/>
      <c r="U137" t="s">
        <v>179</v>
      </c>
      <c r="V137" s="140">
        <f>B45</f>
        <v>1</v>
      </c>
      <c r="AE137" t="s">
        <v>179</v>
      </c>
      <c r="AF137" s="140">
        <f>B61</f>
        <v>1</v>
      </c>
      <c r="AO137" t="s">
        <v>179</v>
      </c>
      <c r="AP137" s="140">
        <f t="shared" si="0"/>
        <v>1</v>
      </c>
      <c r="AY137" t="s">
        <v>179</v>
      </c>
      <c r="AZ137" s="140">
        <f t="shared" si="1"/>
        <v>1</v>
      </c>
      <c r="BI137" t="s">
        <v>179</v>
      </c>
      <c r="BJ137" s="140">
        <f t="shared" si="2"/>
        <v>1</v>
      </c>
      <c r="BP137" s="140"/>
    </row>
    <row r="138" spans="1:69">
      <c r="A138" t="s">
        <v>802</v>
      </c>
      <c r="B138" s="745">
        <f>B14</f>
        <v>0</v>
      </c>
      <c r="K138" t="s">
        <v>802</v>
      </c>
      <c r="L138" s="140">
        <f>B30</f>
        <v>0</v>
      </c>
      <c r="U138" t="s">
        <v>802</v>
      </c>
      <c r="V138" s="140">
        <f>B46</f>
        <v>0</v>
      </c>
      <c r="AE138" t="s">
        <v>802</v>
      </c>
      <c r="AF138" s="140">
        <f>B62</f>
        <v>0</v>
      </c>
      <c r="AO138" t="s">
        <v>802</v>
      </c>
      <c r="AP138" s="140">
        <f t="shared" si="0"/>
        <v>0</v>
      </c>
      <c r="AY138" t="s">
        <v>802</v>
      </c>
      <c r="AZ138" s="140">
        <f t="shared" si="1"/>
        <v>0</v>
      </c>
      <c r="BI138" t="s">
        <v>802</v>
      </c>
      <c r="BJ138" s="140">
        <f t="shared" si="2"/>
        <v>0</v>
      </c>
    </row>
    <row r="139" spans="1:69">
      <c r="A139" t="s">
        <v>182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182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182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182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182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182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182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183</v>
      </c>
      <c r="B142" s="132" t="s">
        <v>184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179</v>
      </c>
      <c r="I142" s="132" t="s">
        <v>185</v>
      </c>
      <c r="K142" s="132" t="s">
        <v>183</v>
      </c>
      <c r="L142" s="132" t="s">
        <v>184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179</v>
      </c>
      <c r="S142" s="132" t="s">
        <v>185</v>
      </c>
      <c r="U142" s="132" t="s">
        <v>183</v>
      </c>
      <c r="V142" s="132" t="s">
        <v>184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179</v>
      </c>
      <c r="AC142" s="132" t="s">
        <v>185</v>
      </c>
      <c r="AE142" s="132" t="s">
        <v>183</v>
      </c>
      <c r="AF142" s="132" t="s">
        <v>184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179</v>
      </c>
      <c r="AM142" s="132" t="s">
        <v>185</v>
      </c>
      <c r="AO142" s="132" t="s">
        <v>183</v>
      </c>
      <c r="AP142" s="132" t="s">
        <v>184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179</v>
      </c>
      <c r="AW142" s="132" t="s">
        <v>185</v>
      </c>
      <c r="AY142" s="132" t="s">
        <v>183</v>
      </c>
      <c r="AZ142" s="132" t="s">
        <v>184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179</v>
      </c>
      <c r="BG142" s="132" t="s">
        <v>185</v>
      </c>
      <c r="BI142" s="132" t="s">
        <v>183</v>
      </c>
      <c r="BJ142" s="132" t="s">
        <v>184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179</v>
      </c>
      <c r="BQ142" s="132" t="s">
        <v>185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1.2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1.2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1.2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1.2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1.2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1.2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1.2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1.2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1.2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1.2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1.2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1.2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1.2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1.2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1.2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1.2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1.2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1.2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1.2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1.2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1.2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1.2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1.2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1.2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1.2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1.2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1.2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1.2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1.2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1.2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1.2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1.2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1.2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1.2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1.2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1.2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1.2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1.2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1.2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1.2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1.2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1.2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1.2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1.2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1.2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1.2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1.2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1.2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1.2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1.2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1.2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1.2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1.2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1.2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1.2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1.2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1.2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1.2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1.2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1.2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1.2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1.2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1.2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1.2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1.2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1.2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1.2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1.2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1.2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1.2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1.2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1.2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1.2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1.2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1.2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1.2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1.2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1.2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1.2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1.2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1.2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1.2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1.2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1.2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1.2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1.2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1.2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1.2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1.2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1.2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1.2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1.2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1.2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1.2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1.2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1.2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1.2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1.2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1.2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1.2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1.2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1.2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1.2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1.2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1.2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1.2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1.2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1.2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1.2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1.2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1.2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1.2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1.2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1.2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1.2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1.2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1.2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1.2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1.2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1.2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1.2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1.2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1.2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1.2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1.2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1.2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1.2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1.2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1.2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1.2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1.2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1.2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1.2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1.2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1.2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1.2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1.2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1.2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1.2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1.2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1.2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1.2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1.2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1.2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1.2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1.2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1.2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1.2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1.2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1.2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1.2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1.2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1.2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1.2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1.2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1.2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1.2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1.2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1.2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1.2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1.2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1.2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1.2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1.2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1.2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1.2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1.2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1.2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1.2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1.2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1.2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1.2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1.2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1.2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1.2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>
      <selection activeCell="B15" sqref="B15"/>
    </sheetView>
  </sheetViews>
  <sheetFormatPr defaultRowHeight="14.4"/>
  <cols>
    <col min="1" max="1" width="24" bestFit="1" customWidth="1"/>
    <col min="2" max="2" width="16.5546875" bestFit="1" customWidth="1"/>
    <col min="3" max="6" width="6.6640625" customWidth="1"/>
    <col min="7" max="7" width="16" customWidth="1"/>
    <col min="9" max="9" width="15.554687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5" bestFit="1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NRA.N.007-040-2024/1F</v>
      </c>
      <c r="C1" s="1658" t="str">
        <f>DATA!$C$1005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  <c r="I1" s="1658"/>
      <c r="J1" s="1658"/>
    </row>
    <row r="2" spans="1:10">
      <c r="C2" s="1658"/>
      <c r="D2" s="1658"/>
      <c r="E2" s="1658"/>
      <c r="F2" s="1658"/>
      <c r="G2" s="1658"/>
      <c r="H2" s="1658"/>
      <c r="I2" s="1658"/>
      <c r="J2" s="1658"/>
    </row>
    <row r="3" spans="1:10">
      <c r="A3" s="232" t="str">
        <f>'All Hours'!$D$1</f>
        <v>PLEASE INSERT TENDERER NAME ON INPUT DATA SHEET</v>
      </c>
    </row>
    <row r="4" spans="1:10">
      <c r="A4" s="1" t="s">
        <v>193</v>
      </c>
      <c r="B4" t="s">
        <v>194</v>
      </c>
    </row>
    <row r="6" spans="1:10">
      <c r="D6" s="124" t="s">
        <v>169</v>
      </c>
      <c r="E6" s="124" t="s">
        <v>170</v>
      </c>
      <c r="F6" s="124" t="s">
        <v>171</v>
      </c>
      <c r="G6" s="162"/>
      <c r="I6" s="133" t="s">
        <v>172</v>
      </c>
    </row>
    <row r="7" spans="1:10">
      <c r="C7" s="124" t="s">
        <v>173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175</v>
      </c>
      <c r="B9" s="152">
        <f>DATA!$J$1010</f>
        <v>145000000</v>
      </c>
      <c r="C9" s="140"/>
      <c r="D9" s="140"/>
      <c r="E9" s="140"/>
      <c r="F9" s="140"/>
      <c r="G9" s="140"/>
    </row>
    <row r="10" spans="1:10">
      <c r="A10" s="124" t="s">
        <v>176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805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178</v>
      </c>
      <c r="B12" s="908"/>
    </row>
    <row r="13" spans="1:10">
      <c r="A13" s="124" t="s">
        <v>179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802</v>
      </c>
      <c r="B14" s="881">
        <f>IF(OR(B10=0,B9=0),0,B9*(0.261-0.023*LOG10(B9))/B10)</f>
        <v>0</v>
      </c>
    </row>
    <row r="15" spans="1:10">
      <c r="A15" s="124" t="s">
        <v>180</v>
      </c>
      <c r="B15" s="158">
        <f>IF(B12="",0,IF(B13=1,B10,B12*((B10*B14/(B13*B9)+0.023*LOG10(B13*B9/B12)))/B14))</f>
        <v>0</v>
      </c>
    </row>
    <row r="16" spans="1:10">
      <c r="A16" s="124" t="s">
        <v>806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181</v>
      </c>
      <c r="C19" s="140"/>
      <c r="F19" s="140"/>
      <c r="G19" s="140"/>
    </row>
    <row r="20" spans="1:10">
      <c r="A20" s="1659"/>
      <c r="B20" s="1660"/>
    </row>
    <row r="21" spans="1:10">
      <c r="A21" s="1661"/>
      <c r="B21" s="1662"/>
    </row>
    <row r="22" spans="1:10">
      <c r="A22" s="1663"/>
      <c r="B22" s="1664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175</v>
      </c>
      <c r="B25" s="152">
        <f>DATA!$J$1011</f>
        <v>0</v>
      </c>
    </row>
    <row r="26" spans="1:10">
      <c r="A26" s="124" t="s">
        <v>176</v>
      </c>
      <c r="B26" s="152">
        <f>'SUMMARY TENDERED FEE'!$C$18</f>
        <v>0</v>
      </c>
    </row>
    <row r="27" spans="1:10">
      <c r="A27" s="124" t="s">
        <v>805</v>
      </c>
      <c r="B27" s="166">
        <f>'SUMMARY TENDERED FEE'!$D$18</f>
        <v>0</v>
      </c>
    </row>
    <row r="28" spans="1:10">
      <c r="A28" s="124" t="s">
        <v>178</v>
      </c>
      <c r="B28" s="908"/>
    </row>
    <row r="29" spans="1:10">
      <c r="A29" s="124" t="s">
        <v>179</v>
      </c>
      <c r="B29" s="124">
        <f>IF(B28&lt;B25*0.8,0.8,IF(B28&gt;1.2*B25,1.2,1))</f>
        <v>1</v>
      </c>
    </row>
    <row r="30" spans="1:10">
      <c r="A30" s="124" t="s">
        <v>802</v>
      </c>
      <c r="B30" s="881">
        <f>IF(OR(B26=0,B25=0),0,B25*(0.261-0.023*LOG10(B25))/B26)</f>
        <v>0</v>
      </c>
      <c r="J30" s="156"/>
    </row>
    <row r="31" spans="1:10">
      <c r="A31" s="124" t="s">
        <v>180</v>
      </c>
      <c r="B31" s="158">
        <f>IF(B28="",0,IF(B29=1,B26,B28*((B26*B30/(B29*B25)+0.023*LOG10(B29*B25/B28)))/B30))</f>
        <v>0</v>
      </c>
    </row>
    <row r="32" spans="1:10">
      <c r="A32" s="124" t="s">
        <v>806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181</v>
      </c>
      <c r="B35" s="126"/>
    </row>
    <row r="36" spans="1:2">
      <c r="A36" s="1659"/>
      <c r="B36" s="1660"/>
    </row>
    <row r="37" spans="1:2">
      <c r="A37" s="1661"/>
      <c r="B37" s="1662"/>
    </row>
    <row r="38" spans="1:2">
      <c r="A38" s="1663"/>
      <c r="B38" s="1664"/>
    </row>
    <row r="40" spans="1:2">
      <c r="A40" s="1" t="str">
        <f>'ADJ-1'!A40</f>
        <v>Electrical</v>
      </c>
    </row>
    <row r="41" spans="1:2">
      <c r="A41" s="124" t="s">
        <v>175</v>
      </c>
      <c r="B41" s="152">
        <f>DATA!$J$1012</f>
        <v>0</v>
      </c>
    </row>
    <row r="42" spans="1:2">
      <c r="A42" s="124" t="s">
        <v>176</v>
      </c>
      <c r="B42" s="152">
        <f>'SUMMARY TENDERED FEE'!$C$19</f>
        <v>0</v>
      </c>
    </row>
    <row r="43" spans="1:2">
      <c r="A43" s="124" t="s">
        <v>805</v>
      </c>
      <c r="B43" s="166">
        <f>'SUMMARY TENDERED FEE'!$D$19</f>
        <v>0</v>
      </c>
    </row>
    <row r="44" spans="1:2">
      <c r="A44" s="124" t="s">
        <v>178</v>
      </c>
      <c r="B44" s="908"/>
    </row>
    <row r="45" spans="1:2">
      <c r="A45" s="124" t="s">
        <v>179</v>
      </c>
      <c r="B45" s="124">
        <f>IF(B44&lt;B41*0.8,0.8,IF(B44&gt;1.2*B41,1.2,1))</f>
        <v>1</v>
      </c>
    </row>
    <row r="46" spans="1:2">
      <c r="A46" s="124" t="s">
        <v>802</v>
      </c>
      <c r="B46" s="881">
        <f>IF(OR(B42=0,B41=0),0,B41*(0.261-0.023*LOG10(B41))/B42)</f>
        <v>0</v>
      </c>
    </row>
    <row r="47" spans="1:2">
      <c r="A47" s="124" t="s">
        <v>180</v>
      </c>
      <c r="B47" s="158">
        <f>IF(B44="",0,IF(B45=1,B42,B44*((B42*B46/(B45*B41)+0.023*LOG10(B45*B41/B44)))/B46))</f>
        <v>0</v>
      </c>
    </row>
    <row r="48" spans="1:2">
      <c r="A48" s="124" t="s">
        <v>806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181</v>
      </c>
      <c r="B51" s="126"/>
    </row>
    <row r="52" spans="1:2">
      <c r="A52" s="1659"/>
      <c r="B52" s="1660"/>
    </row>
    <row r="53" spans="1:2">
      <c r="A53" s="1661"/>
      <c r="B53" s="1662"/>
    </row>
    <row r="54" spans="1:2">
      <c r="A54" s="1663"/>
      <c r="B54" s="1664"/>
    </row>
    <row r="56" spans="1:2">
      <c r="A56" s="1" t="str">
        <f>'ADJ-1'!A56</f>
        <v xml:space="preserve">Building </v>
      </c>
    </row>
    <row r="57" spans="1:2">
      <c r="A57" s="124" t="s">
        <v>175</v>
      </c>
      <c r="B57" s="152">
        <f>DATA!$J$1013</f>
        <v>0</v>
      </c>
    </row>
    <row r="58" spans="1:2">
      <c r="A58" s="124" t="s">
        <v>176</v>
      </c>
      <c r="B58" s="152">
        <f>'SUMMARY TENDERED FEE'!$C$20</f>
        <v>0</v>
      </c>
    </row>
    <row r="59" spans="1:2">
      <c r="A59" s="124" t="s">
        <v>805</v>
      </c>
      <c r="B59" s="166">
        <f>'SUMMARY TENDERED FEE'!$D$20</f>
        <v>0</v>
      </c>
    </row>
    <row r="60" spans="1:2">
      <c r="A60" s="124" t="s">
        <v>178</v>
      </c>
      <c r="B60" s="908"/>
    </row>
    <row r="61" spans="1:2">
      <c r="A61" s="124" t="s">
        <v>179</v>
      </c>
      <c r="B61" s="124">
        <f>IF(B60&lt;B57*0.8,0.8,IF(B60&gt;1.2*B57,1.2,1))</f>
        <v>1</v>
      </c>
    </row>
    <row r="62" spans="1:2">
      <c r="A62" s="124" t="s">
        <v>802</v>
      </c>
      <c r="B62" s="881">
        <f>IF(OR(B58=0,B57=0),0,B57*(0.261-0.023*LOG10(B57))/B58)</f>
        <v>0</v>
      </c>
    </row>
    <row r="63" spans="1:2">
      <c r="A63" s="124" t="s">
        <v>180</v>
      </c>
      <c r="B63" s="158">
        <f>IF(B60="",0,IF(B61=1,B58,B60*((B58*B62/(B61*B57)+0.023*LOG10(B61*B57/B60)))/B62))</f>
        <v>0</v>
      </c>
    </row>
    <row r="64" spans="1:2">
      <c r="A64" s="124" t="s">
        <v>806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181</v>
      </c>
      <c r="B67" s="126"/>
    </row>
    <row r="68" spans="1:2">
      <c r="A68" s="1659"/>
      <c r="B68" s="1660"/>
    </row>
    <row r="69" spans="1:2">
      <c r="A69" s="1661"/>
      <c r="B69" s="1662"/>
    </row>
    <row r="70" spans="1:2">
      <c r="A70" s="1663"/>
      <c r="B70" s="1664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175</v>
      </c>
      <c r="B73" s="152">
        <f>DATA!$J$1014</f>
        <v>0</v>
      </c>
    </row>
    <row r="74" spans="1:2">
      <c r="A74" s="124" t="s">
        <v>176</v>
      </c>
      <c r="B74" s="152">
        <f>'SUMMARY TENDERED FEE'!$C$21</f>
        <v>0</v>
      </c>
    </row>
    <row r="75" spans="1:2">
      <c r="A75" s="124" t="s">
        <v>805</v>
      </c>
      <c r="B75" s="166">
        <f>'SUMMARY TENDERED FEE'!$D$21</f>
        <v>0</v>
      </c>
    </row>
    <row r="76" spans="1:2">
      <c r="A76" s="124" t="s">
        <v>178</v>
      </c>
      <c r="B76" s="908"/>
    </row>
    <row r="77" spans="1:2">
      <c r="A77" s="124" t="s">
        <v>179</v>
      </c>
      <c r="B77" s="124">
        <f>IF(B76&lt;B73*0.8,0.8,IF(B76&gt;1.2*B73,1.2,1))</f>
        <v>1</v>
      </c>
    </row>
    <row r="78" spans="1:2">
      <c r="A78" s="124" t="s">
        <v>802</v>
      </c>
      <c r="B78" s="881">
        <f>IF(OR(B74=0,B73=0),0,B73*(0.261-0.023*LOG10(B73))/B74)</f>
        <v>0</v>
      </c>
    </row>
    <row r="79" spans="1:2">
      <c r="A79" s="124" t="s">
        <v>180</v>
      </c>
      <c r="B79" s="158">
        <f>IF(B76="",0,IF(B77=1,B74,B76*((B74*B78/(B77*B73)+0.023*LOG10(B77*B73/B76)))/B78))</f>
        <v>0</v>
      </c>
    </row>
    <row r="80" spans="1:2">
      <c r="A80" s="124" t="s">
        <v>806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181</v>
      </c>
      <c r="B83" s="126"/>
    </row>
    <row r="84" spans="1:2">
      <c r="A84" s="1659"/>
      <c r="B84" s="1660"/>
    </row>
    <row r="85" spans="1:2">
      <c r="A85" s="1661"/>
      <c r="B85" s="1662"/>
    </row>
    <row r="86" spans="1:2">
      <c r="A86" s="1663"/>
      <c r="B86" s="1664"/>
    </row>
    <row r="88" spans="1:2">
      <c r="A88" s="1" t="str">
        <f>'ADJ-1'!A88</f>
        <v>Electronic</v>
      </c>
    </row>
    <row r="89" spans="1:2">
      <c r="A89" s="124" t="s">
        <v>175</v>
      </c>
      <c r="B89" s="152">
        <f>DATA!$J$1015</f>
        <v>0</v>
      </c>
    </row>
    <row r="90" spans="1:2">
      <c r="A90" s="124" t="s">
        <v>176</v>
      </c>
      <c r="B90" s="152">
        <f>'SUMMARY TENDERED FEE'!$C$22</f>
        <v>0</v>
      </c>
    </row>
    <row r="91" spans="1:2">
      <c r="A91" s="124" t="s">
        <v>805</v>
      </c>
      <c r="B91" s="166">
        <f>'SUMMARY TENDERED FEE'!$D$22</f>
        <v>0</v>
      </c>
    </row>
    <row r="92" spans="1:2">
      <c r="A92" s="124" t="s">
        <v>178</v>
      </c>
      <c r="B92" s="908"/>
    </row>
    <row r="93" spans="1:2">
      <c r="A93" s="124" t="s">
        <v>179</v>
      </c>
      <c r="B93" s="124">
        <f>IF(B92&lt;B89*0.8,0.8,IF(B92&gt;1.2*B89,1.2,1))</f>
        <v>1</v>
      </c>
    </row>
    <row r="94" spans="1:2">
      <c r="A94" s="124" t="s">
        <v>802</v>
      </c>
      <c r="B94" s="881">
        <f>IF(OR(B90=0,B89=0),0,B89*(0.261-0.023*LOG10(B89))/B90)</f>
        <v>0</v>
      </c>
    </row>
    <row r="95" spans="1:2">
      <c r="A95" s="124" t="s">
        <v>180</v>
      </c>
      <c r="B95" s="158">
        <f>IF(B92="",0,IF(B93=1,B90,B92*((B90*B94/(B93*B89)+0.023*LOG10(B93*B89/B92)))/B94))</f>
        <v>0</v>
      </c>
    </row>
    <row r="96" spans="1:2">
      <c r="A96" s="124" t="s">
        <v>806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181</v>
      </c>
      <c r="B99" s="126"/>
    </row>
    <row r="100" spans="1:2">
      <c r="A100" s="1659"/>
      <c r="B100" s="1660"/>
    </row>
    <row r="101" spans="1:2">
      <c r="A101" s="1661"/>
      <c r="B101" s="1662"/>
    </row>
    <row r="102" spans="1:2">
      <c r="A102" s="1663"/>
      <c r="B102" s="1664"/>
    </row>
    <row r="104" spans="1:2">
      <c r="A104" s="1" t="str">
        <f>'ADJ-1'!A104</f>
        <v>Other:</v>
      </c>
    </row>
    <row r="105" spans="1:2">
      <c r="A105" s="124" t="s">
        <v>175</v>
      </c>
      <c r="B105" s="152">
        <f>DATA!$J$1016</f>
        <v>0</v>
      </c>
    </row>
    <row r="106" spans="1:2">
      <c r="A106" s="124" t="s">
        <v>176</v>
      </c>
      <c r="B106" s="152">
        <f>'SUMMARY TENDERED FEE'!$C$23</f>
        <v>0</v>
      </c>
    </row>
    <row r="107" spans="1:2">
      <c r="A107" s="124" t="s">
        <v>805</v>
      </c>
      <c r="B107" s="166">
        <f>'SUMMARY TENDERED FEE'!$D$23</f>
        <v>0</v>
      </c>
    </row>
    <row r="108" spans="1:2">
      <c r="A108" s="124" t="s">
        <v>178</v>
      </c>
      <c r="B108" s="908"/>
    </row>
    <row r="109" spans="1:2">
      <c r="A109" s="124" t="s">
        <v>179</v>
      </c>
      <c r="B109" s="124">
        <f>IF(B108&lt;B105*0.8,0.8,IF(B108&gt;1.2*B105,1.2,1))</f>
        <v>1</v>
      </c>
    </row>
    <row r="110" spans="1:2">
      <c r="A110" s="124" t="s">
        <v>802</v>
      </c>
      <c r="B110" s="881">
        <f>IF(OR(B106=0,B105=0),0,B105*(0.261-0.023*LOG10(B105))/B106)</f>
        <v>0</v>
      </c>
    </row>
    <row r="111" spans="1:2">
      <c r="A111" s="124" t="s">
        <v>180</v>
      </c>
      <c r="B111" s="158">
        <f>IF(B108="",0,IF(B109=1,B106,B108*((B106*B110/(B109*B105)+0.023*LOG10(B109*B105/B108)))/B110))</f>
        <v>0</v>
      </c>
    </row>
    <row r="112" spans="1:2">
      <c r="A112" s="124" t="s">
        <v>806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181</v>
      </c>
      <c r="B115" s="126"/>
    </row>
    <row r="116" spans="1:68">
      <c r="A116" s="1659"/>
      <c r="B116" s="1660"/>
    </row>
    <row r="117" spans="1:68">
      <c r="A117" s="1661"/>
      <c r="B117" s="1662"/>
    </row>
    <row r="118" spans="1:68">
      <c r="A118" s="1663"/>
      <c r="B118" s="1664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175</v>
      </c>
      <c r="B133" s="140">
        <f>B9</f>
        <v>145000000</v>
      </c>
      <c r="K133" t="s">
        <v>175</v>
      </c>
      <c r="L133" s="140">
        <f>B25</f>
        <v>0</v>
      </c>
      <c r="U133" t="s">
        <v>175</v>
      </c>
      <c r="V133" s="140">
        <f>B41</f>
        <v>0</v>
      </c>
      <c r="AE133" t="s">
        <v>175</v>
      </c>
      <c r="AF133" s="140">
        <f>B57</f>
        <v>0</v>
      </c>
      <c r="AO133" t="s">
        <v>175</v>
      </c>
      <c r="AP133" s="140">
        <f>B73</f>
        <v>0</v>
      </c>
      <c r="AY133" t="s">
        <v>175</v>
      </c>
      <c r="AZ133" s="140">
        <f>B89</f>
        <v>0</v>
      </c>
      <c r="BI133" t="s">
        <v>175</v>
      </c>
      <c r="BJ133" s="140">
        <f>B105</f>
        <v>0</v>
      </c>
    </row>
    <row r="134" spans="1:69">
      <c r="A134" t="s">
        <v>803</v>
      </c>
      <c r="B134" s="140">
        <f>B10</f>
        <v>0</v>
      </c>
      <c r="K134" t="s">
        <v>803</v>
      </c>
      <c r="L134" s="140">
        <f>B26</f>
        <v>0</v>
      </c>
      <c r="U134" t="s">
        <v>803</v>
      </c>
      <c r="V134" s="140">
        <f>B42</f>
        <v>0</v>
      </c>
      <c r="AA134" s="140"/>
      <c r="AE134" t="s">
        <v>803</v>
      </c>
      <c r="AF134" s="140">
        <f>B58</f>
        <v>0</v>
      </c>
      <c r="AL134" s="140"/>
      <c r="AO134" t="s">
        <v>803</v>
      </c>
      <c r="AP134" s="140">
        <f t="shared" ref="AP134:AP138" si="0">B74</f>
        <v>0</v>
      </c>
      <c r="AV134" s="140"/>
      <c r="AY134" t="s">
        <v>803</v>
      </c>
      <c r="AZ134" s="140">
        <f t="shared" ref="AZ134:AZ138" si="1">B90</f>
        <v>0</v>
      </c>
      <c r="BF134" s="140"/>
      <c r="BI134" t="s">
        <v>803</v>
      </c>
      <c r="BJ134" s="140">
        <f t="shared" ref="BJ134:BJ138" si="2">B106</f>
        <v>0</v>
      </c>
    </row>
    <row r="135" spans="1:69">
      <c r="A135" t="s">
        <v>804</v>
      </c>
      <c r="B135" s="154">
        <f>B11</f>
        <v>0</v>
      </c>
      <c r="K135" t="s">
        <v>804</v>
      </c>
      <c r="L135" s="140">
        <f>B27</f>
        <v>0</v>
      </c>
      <c r="Q135" s="140"/>
      <c r="U135" t="s">
        <v>804</v>
      </c>
      <c r="V135" s="140">
        <f>B43</f>
        <v>0</v>
      </c>
      <c r="AA135" s="140"/>
      <c r="AE135" t="s">
        <v>804</v>
      </c>
      <c r="AF135" s="140">
        <f>B59</f>
        <v>0</v>
      </c>
      <c r="AL135" s="140"/>
      <c r="AO135" t="s">
        <v>804</v>
      </c>
      <c r="AP135" s="140">
        <f t="shared" si="0"/>
        <v>0</v>
      </c>
      <c r="AV135" s="140"/>
      <c r="AY135" t="s">
        <v>804</v>
      </c>
      <c r="AZ135" s="140">
        <f t="shared" si="1"/>
        <v>0</v>
      </c>
      <c r="BF135" s="140"/>
      <c r="BI135" t="s">
        <v>804</v>
      </c>
      <c r="BJ135" s="140">
        <f t="shared" si="2"/>
        <v>0</v>
      </c>
      <c r="BP135" s="140"/>
    </row>
    <row r="136" spans="1:69">
      <c r="A136" t="s">
        <v>183</v>
      </c>
      <c r="B136" s="140">
        <f>IF(B12=0,0.00001,B12)</f>
        <v>1.0000000000000001E-5</v>
      </c>
      <c r="K136" t="s">
        <v>183</v>
      </c>
      <c r="L136" s="140">
        <f>IF(B28=0,0.00001,B28)</f>
        <v>1.0000000000000001E-5</v>
      </c>
      <c r="Q136" s="140"/>
      <c r="U136" t="s">
        <v>183</v>
      </c>
      <c r="V136" s="140">
        <f>IF(B44=0,0.00001,B44)</f>
        <v>1.0000000000000001E-5</v>
      </c>
      <c r="AA136" s="140"/>
      <c r="AE136" t="s">
        <v>183</v>
      </c>
      <c r="AF136" s="140">
        <f>IF(B60=0,0.00001,B60)</f>
        <v>1.0000000000000001E-5</v>
      </c>
      <c r="AL136" s="140"/>
      <c r="AO136" t="s">
        <v>183</v>
      </c>
      <c r="AP136" s="140">
        <f>IF(B76=0,0.00001,B76)</f>
        <v>1.0000000000000001E-5</v>
      </c>
      <c r="AV136" s="140"/>
      <c r="AY136" t="s">
        <v>183</v>
      </c>
      <c r="AZ136" s="140">
        <f>IF(B92=0,0.00001,B92)</f>
        <v>1.0000000000000001E-5</v>
      </c>
      <c r="BF136" s="140"/>
      <c r="BI136" t="s">
        <v>183</v>
      </c>
      <c r="BJ136" s="140">
        <f>IF(B108=0,0.00001,B108)</f>
        <v>1.0000000000000001E-5</v>
      </c>
      <c r="BP136" s="140"/>
    </row>
    <row r="137" spans="1:69">
      <c r="A137" t="s">
        <v>179</v>
      </c>
      <c r="B137">
        <f>B13</f>
        <v>0.8</v>
      </c>
      <c r="K137" t="s">
        <v>179</v>
      </c>
      <c r="L137" s="140">
        <f>B29</f>
        <v>1</v>
      </c>
      <c r="Q137" s="140"/>
      <c r="U137" t="s">
        <v>179</v>
      </c>
      <c r="V137" s="140">
        <f>B45</f>
        <v>1</v>
      </c>
      <c r="AE137" t="s">
        <v>179</v>
      </c>
      <c r="AF137" s="140">
        <f>B61</f>
        <v>1</v>
      </c>
      <c r="AO137" t="s">
        <v>179</v>
      </c>
      <c r="AP137" s="140">
        <f t="shared" si="0"/>
        <v>1</v>
      </c>
      <c r="AY137" t="s">
        <v>179</v>
      </c>
      <c r="AZ137" s="140">
        <f t="shared" si="1"/>
        <v>1</v>
      </c>
      <c r="BI137" t="s">
        <v>179</v>
      </c>
      <c r="BJ137" s="140">
        <f t="shared" si="2"/>
        <v>1</v>
      </c>
      <c r="BP137" s="140"/>
    </row>
    <row r="138" spans="1:69">
      <c r="A138" t="s">
        <v>802</v>
      </c>
      <c r="B138" s="745">
        <f>B14</f>
        <v>0</v>
      </c>
      <c r="K138" t="s">
        <v>802</v>
      </c>
      <c r="L138" s="140">
        <f>B30</f>
        <v>0</v>
      </c>
      <c r="U138" t="s">
        <v>802</v>
      </c>
      <c r="V138" s="140">
        <f>B46</f>
        <v>0</v>
      </c>
      <c r="AE138" t="s">
        <v>802</v>
      </c>
      <c r="AF138" s="140">
        <f>B62</f>
        <v>0</v>
      </c>
      <c r="AO138" t="s">
        <v>802</v>
      </c>
      <c r="AP138" s="140">
        <f t="shared" si="0"/>
        <v>0</v>
      </c>
      <c r="AY138" t="s">
        <v>802</v>
      </c>
      <c r="AZ138" s="140">
        <f t="shared" si="1"/>
        <v>0</v>
      </c>
      <c r="BI138" t="s">
        <v>802</v>
      </c>
      <c r="BJ138" s="140">
        <f t="shared" si="2"/>
        <v>0</v>
      </c>
    </row>
    <row r="139" spans="1:69">
      <c r="A139" t="s">
        <v>182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182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182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182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182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182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182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183</v>
      </c>
      <c r="B142" s="132" t="s">
        <v>184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179</v>
      </c>
      <c r="I142" s="132" t="s">
        <v>185</v>
      </c>
      <c r="K142" s="132" t="s">
        <v>183</v>
      </c>
      <c r="L142" s="132" t="s">
        <v>184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179</v>
      </c>
      <c r="S142" s="132" t="s">
        <v>185</v>
      </c>
      <c r="U142" s="132" t="s">
        <v>183</v>
      </c>
      <c r="V142" s="132" t="s">
        <v>184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179</v>
      </c>
      <c r="AC142" s="132" t="s">
        <v>185</v>
      </c>
      <c r="AE142" s="132" t="s">
        <v>183</v>
      </c>
      <c r="AF142" s="132" t="s">
        <v>184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179</v>
      </c>
      <c r="AM142" s="132" t="s">
        <v>185</v>
      </c>
      <c r="AO142" s="132" t="s">
        <v>183</v>
      </c>
      <c r="AP142" s="132" t="s">
        <v>184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179</v>
      </c>
      <c r="AW142" s="132" t="s">
        <v>185</v>
      </c>
      <c r="AY142" s="132" t="s">
        <v>183</v>
      </c>
      <c r="AZ142" s="132" t="s">
        <v>184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179</v>
      </c>
      <c r="BG142" s="132" t="s">
        <v>185</v>
      </c>
      <c r="BI142" s="132" t="s">
        <v>183</v>
      </c>
      <c r="BJ142" s="132" t="s">
        <v>184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179</v>
      </c>
      <c r="BQ142" s="132" t="s">
        <v>185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4.4"/>
  <cols>
    <col min="1" max="1" width="24" bestFit="1" customWidth="1"/>
    <col min="2" max="2" width="19" bestFit="1" customWidth="1"/>
    <col min="3" max="6" width="6.6640625" customWidth="1"/>
    <col min="7" max="7" width="16" customWidth="1"/>
    <col min="9" max="9" width="15.6640625" bestFit="1" customWidth="1"/>
    <col min="10" max="10" width="14" bestFit="1" customWidth="1"/>
    <col min="11" max="12" width="16" bestFit="1" customWidth="1"/>
    <col min="13" max="16" width="15" bestFit="1" customWidth="1"/>
    <col min="17" max="17" width="18.109375" bestFit="1" customWidth="1"/>
    <col min="18" max="18" width="7.88671875" bestFit="1" customWidth="1"/>
    <col min="19" max="19" width="17" customWidth="1"/>
    <col min="21" max="21" width="17.44140625" bestFit="1" customWidth="1"/>
    <col min="22" max="22" width="16" bestFit="1" customWidth="1"/>
    <col min="23" max="24" width="15" bestFit="1" customWidth="1"/>
    <col min="25" max="25" width="17.44140625" bestFit="1" customWidth="1"/>
    <col min="26" max="26" width="16" bestFit="1" customWidth="1"/>
    <col min="27" max="27" width="18.10937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0937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09375" bestFit="1" customWidth="1"/>
    <col min="48" max="48" width="7.88671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0937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09375" bestFit="1" customWidth="1"/>
    <col min="69" max="69" width="15" bestFit="1" customWidth="1"/>
  </cols>
  <sheetData>
    <row r="1" spans="1:10" ht="15" customHeight="1">
      <c r="A1" s="263" t="str">
        <f>DATA!$C$1004</f>
        <v>NRA.N.007-040-2024/1F</v>
      </c>
      <c r="C1" s="1658" t="str">
        <f>DATA!$C$1005</f>
        <v>CONSULTING ENGINEERING SERVICES FOR THE STRENGTHENING ON NATIONAL ROUTE N7 SECTION 4 FROM TRAWAL (km 42.00) TO KLAWER (km 54.00)</v>
      </c>
      <c r="D1" s="1658"/>
      <c r="E1" s="1658"/>
      <c r="F1" s="1658"/>
      <c r="G1" s="1658"/>
      <c r="H1" s="1658"/>
      <c r="I1" s="1658"/>
      <c r="J1" s="1658"/>
    </row>
    <row r="2" spans="1:10">
      <c r="C2" s="1658"/>
      <c r="D2" s="1658"/>
      <c r="E2" s="1658"/>
      <c r="F2" s="1658"/>
      <c r="G2" s="1658"/>
      <c r="H2" s="1658"/>
      <c r="I2" s="1658"/>
      <c r="J2" s="1658"/>
    </row>
    <row r="3" spans="1:10">
      <c r="A3" s="232" t="str">
        <f>'All Hours'!$D$1</f>
        <v>PLEASE INSERT TENDERER NAME ON INPUT DATA SHEET</v>
      </c>
    </row>
    <row r="4" spans="1:10">
      <c r="A4" s="1" t="s">
        <v>221</v>
      </c>
      <c r="B4" t="s">
        <v>195</v>
      </c>
    </row>
    <row r="6" spans="1:10">
      <c r="D6" s="124" t="s">
        <v>169</v>
      </c>
      <c r="E6" s="124" t="s">
        <v>170</v>
      </c>
      <c r="F6" s="124" t="s">
        <v>171</v>
      </c>
      <c r="G6" s="162"/>
      <c r="I6" s="133" t="s">
        <v>172</v>
      </c>
    </row>
    <row r="7" spans="1:10">
      <c r="C7" s="124" t="s">
        <v>173</v>
      </c>
      <c r="D7" s="909"/>
      <c r="E7" s="909"/>
      <c r="F7" s="909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175</v>
      </c>
      <c r="B9" s="152">
        <f>DATA!$J$1010</f>
        <v>145000000</v>
      </c>
      <c r="C9" s="140"/>
      <c r="D9" s="140"/>
      <c r="E9" s="140"/>
      <c r="F9" s="140"/>
      <c r="G9" s="140"/>
    </row>
    <row r="10" spans="1:10">
      <c r="A10" s="124" t="s">
        <v>176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805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178</v>
      </c>
      <c r="B12" s="908"/>
    </row>
    <row r="13" spans="1:10">
      <c r="A13" s="124" t="s">
        <v>179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802</v>
      </c>
      <c r="B14" s="881">
        <f>IF(OR(B10=0,B9=0),0,B9*(0.261-0.023*LOG10(B9))/B10)</f>
        <v>0</v>
      </c>
    </row>
    <row r="15" spans="1:10">
      <c r="A15" s="124" t="s">
        <v>180</v>
      </c>
      <c r="B15" s="158">
        <f>IF(B12="",0,IF(B13=1,B10,B12*((B10*B14/(B13*B9)+0.023*LOG10(B13*B9/B12)))/B14))</f>
        <v>0</v>
      </c>
    </row>
    <row r="16" spans="1:10">
      <c r="A16" s="124" t="s">
        <v>806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181</v>
      </c>
      <c r="C19" s="140"/>
      <c r="F19" s="140"/>
      <c r="G19" s="140"/>
    </row>
    <row r="20" spans="1:10">
      <c r="A20" s="1659"/>
      <c r="B20" s="1660"/>
    </row>
    <row r="21" spans="1:10">
      <c r="A21" s="1661"/>
      <c r="B21" s="1662"/>
    </row>
    <row r="22" spans="1:10">
      <c r="A22" s="1663"/>
      <c r="B22" s="1664"/>
    </row>
    <row r="24" spans="1:10">
      <c r="A24" s="1" t="str">
        <f>'ADJ-1'!A24</f>
        <v>Structures</v>
      </c>
    </row>
    <row r="25" spans="1:10">
      <c r="A25" s="124" t="s">
        <v>175</v>
      </c>
      <c r="B25" s="152">
        <f>DATA!$J$1011</f>
        <v>0</v>
      </c>
    </row>
    <row r="26" spans="1:10">
      <c r="A26" s="124" t="s">
        <v>176</v>
      </c>
      <c r="B26" s="152">
        <f>'SUMMARY TENDERED FEE'!$C$18</f>
        <v>0</v>
      </c>
    </row>
    <row r="27" spans="1:10">
      <c r="A27" s="124" t="s">
        <v>805</v>
      </c>
      <c r="B27" s="166">
        <f>'SUMMARY TENDERED FEE'!$D$18</f>
        <v>0</v>
      </c>
    </row>
    <row r="28" spans="1:10">
      <c r="A28" s="124" t="s">
        <v>178</v>
      </c>
      <c r="B28" s="908"/>
    </row>
    <row r="29" spans="1:10">
      <c r="A29" s="124" t="s">
        <v>179</v>
      </c>
      <c r="B29" s="124">
        <f>IF(B28&lt;B25*0.8,0.8,IF(B28&gt;1.2*B25,1.2,1))</f>
        <v>1</v>
      </c>
    </row>
    <row r="30" spans="1:10">
      <c r="A30" s="124" t="s">
        <v>802</v>
      </c>
      <c r="B30" s="881">
        <f>IF(OR(B26=0,B25=0),0,B25*(0.261-0.023*LOG10(B25))/B26)</f>
        <v>0</v>
      </c>
      <c r="J30" s="156"/>
    </row>
    <row r="31" spans="1:10">
      <c r="A31" s="124" t="s">
        <v>180</v>
      </c>
      <c r="B31" s="158">
        <f>IF(B28="",0,IF(B29=1,B26,B28*((B26*B30/(B29*B25)+0.023*LOG10(B29*B25/B28)))/B30))</f>
        <v>0</v>
      </c>
    </row>
    <row r="32" spans="1:10">
      <c r="A32" s="124" t="s">
        <v>806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181</v>
      </c>
      <c r="B35" s="126"/>
    </row>
    <row r="36" spans="1:2">
      <c r="A36" s="1659"/>
      <c r="B36" s="1660"/>
    </row>
    <row r="37" spans="1:2">
      <c r="A37" s="1661"/>
      <c r="B37" s="1662"/>
    </row>
    <row r="38" spans="1:2">
      <c r="A38" s="1663"/>
      <c r="B38" s="1664"/>
    </row>
    <row r="40" spans="1:2">
      <c r="A40" s="1" t="str">
        <f>'ADJ-1'!A40</f>
        <v>Electrical</v>
      </c>
    </row>
    <row r="41" spans="1:2">
      <c r="A41" s="124" t="s">
        <v>175</v>
      </c>
      <c r="B41" s="152">
        <f>DATA!$J$1012</f>
        <v>0</v>
      </c>
    </row>
    <row r="42" spans="1:2">
      <c r="A42" s="124" t="s">
        <v>176</v>
      </c>
      <c r="B42" s="152">
        <f>'SUMMARY TENDERED FEE'!$C$19</f>
        <v>0</v>
      </c>
    </row>
    <row r="43" spans="1:2">
      <c r="A43" s="124" t="s">
        <v>805</v>
      </c>
      <c r="B43" s="166">
        <f>'SUMMARY TENDERED FEE'!$D$19</f>
        <v>0</v>
      </c>
    </row>
    <row r="44" spans="1:2">
      <c r="A44" s="124" t="s">
        <v>178</v>
      </c>
      <c r="B44" s="908"/>
    </row>
    <row r="45" spans="1:2">
      <c r="A45" s="124" t="s">
        <v>179</v>
      </c>
      <c r="B45" s="124">
        <f>IF(B44&lt;B41*0.8,0.8,IF(B44&gt;1.2*B41,1.2,1))</f>
        <v>1</v>
      </c>
    </row>
    <row r="46" spans="1:2">
      <c r="A46" s="124" t="s">
        <v>802</v>
      </c>
      <c r="B46" s="881">
        <f>IF(OR(B42=0,B41=0),0,B41*(0.261-0.023*LOG10(B41))/B42)</f>
        <v>0</v>
      </c>
    </row>
    <row r="47" spans="1:2">
      <c r="A47" s="124" t="s">
        <v>180</v>
      </c>
      <c r="B47" s="158">
        <f>IF(B44="",0,IF(B45=1,B42,B44*((B42*B46/(B45*B41)+0.023*LOG10(B45*B41/B44)))/B46))</f>
        <v>0</v>
      </c>
    </row>
    <row r="48" spans="1:2">
      <c r="A48" s="124" t="s">
        <v>806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181</v>
      </c>
      <c r="B51" s="126"/>
    </row>
    <row r="52" spans="1:2">
      <c r="A52" s="1659"/>
      <c r="B52" s="1660"/>
    </row>
    <row r="53" spans="1:2">
      <c r="A53" s="1661"/>
      <c r="B53" s="1662"/>
    </row>
    <row r="54" spans="1:2">
      <c r="A54" s="1663"/>
      <c r="B54" s="1664"/>
    </row>
    <row r="56" spans="1:2">
      <c r="A56" s="1" t="str">
        <f>'ADJ-1'!A56</f>
        <v xml:space="preserve">Building </v>
      </c>
    </row>
    <row r="57" spans="1:2">
      <c r="A57" s="124" t="s">
        <v>175</v>
      </c>
      <c r="B57" s="152">
        <f>DATA!$J$1013</f>
        <v>0</v>
      </c>
    </row>
    <row r="58" spans="1:2">
      <c r="A58" s="124" t="s">
        <v>176</v>
      </c>
      <c r="B58" s="152">
        <f>'SUMMARY TENDERED FEE'!$C$20</f>
        <v>0</v>
      </c>
    </row>
    <row r="59" spans="1:2">
      <c r="A59" s="124" t="s">
        <v>805</v>
      </c>
      <c r="B59" s="166">
        <f>'SUMMARY TENDERED FEE'!$D$20</f>
        <v>0</v>
      </c>
    </row>
    <row r="60" spans="1:2">
      <c r="A60" s="124" t="s">
        <v>178</v>
      </c>
      <c r="B60" s="908"/>
    </row>
    <row r="61" spans="1:2">
      <c r="A61" s="124" t="s">
        <v>179</v>
      </c>
      <c r="B61" s="124">
        <f>IF(B60&lt;B57*0.8,0.8,IF(B60&gt;1.2*B57,1.2,1))</f>
        <v>1</v>
      </c>
    </row>
    <row r="62" spans="1:2">
      <c r="A62" s="124" t="s">
        <v>802</v>
      </c>
      <c r="B62" s="881">
        <f>IF(OR(B58=0,B57=0),0,B57*(0.261-0.023*LOG10(B57))/B58)</f>
        <v>0</v>
      </c>
    </row>
    <row r="63" spans="1:2">
      <c r="A63" s="124" t="s">
        <v>180</v>
      </c>
      <c r="B63" s="158">
        <f>IF(B60="",0,IF(B61=1,B58,B60*((B58*B62/(B61*B57)+0.023*LOG10(B61*B57/B60)))/B62))</f>
        <v>0</v>
      </c>
    </row>
    <row r="64" spans="1:2">
      <c r="A64" s="124" t="s">
        <v>806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181</v>
      </c>
      <c r="B67" s="126"/>
    </row>
    <row r="68" spans="1:2">
      <c r="A68" s="1665"/>
      <c r="B68" s="1666"/>
    </row>
    <row r="69" spans="1:2">
      <c r="A69" s="1667"/>
      <c r="B69" s="1668"/>
    </row>
    <row r="70" spans="1:2">
      <c r="A70" s="1669"/>
      <c r="B70" s="1670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175</v>
      </c>
      <c r="B73" s="152">
        <f>DATA!$J$1014</f>
        <v>0</v>
      </c>
    </row>
    <row r="74" spans="1:2">
      <c r="A74" s="124" t="s">
        <v>176</v>
      </c>
      <c r="B74" s="152">
        <f>'SUMMARY TENDERED FEE'!$C$21</f>
        <v>0</v>
      </c>
    </row>
    <row r="75" spans="1:2">
      <c r="A75" s="124" t="s">
        <v>805</v>
      </c>
      <c r="B75" s="166">
        <f>'SUMMARY TENDERED FEE'!$D$21</f>
        <v>0</v>
      </c>
    </row>
    <row r="76" spans="1:2">
      <c r="A76" s="124" t="s">
        <v>178</v>
      </c>
      <c r="B76" s="908"/>
    </row>
    <row r="77" spans="1:2">
      <c r="A77" s="124" t="s">
        <v>179</v>
      </c>
      <c r="B77" s="124">
        <f>IF(B76&lt;B73*0.8,0.8,IF(B76&gt;1.2*B73,1.2,1))</f>
        <v>1</v>
      </c>
    </row>
    <row r="78" spans="1:2">
      <c r="A78" s="124" t="s">
        <v>802</v>
      </c>
      <c r="B78" s="881">
        <f>IF(OR(B74=0,B73=0),0,B73*(0.261-0.023*LOG10(B73))/B74)</f>
        <v>0</v>
      </c>
    </row>
    <row r="79" spans="1:2">
      <c r="A79" s="124" t="s">
        <v>180</v>
      </c>
      <c r="B79" s="158">
        <f>IF(B76="",0,IF(B77=1,B74,B76*((B74*B78/(B77*B73)+0.023*LOG10(B77*B73/B76)))/B78))</f>
        <v>0</v>
      </c>
    </row>
    <row r="80" spans="1:2">
      <c r="A80" s="124" t="s">
        <v>806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181</v>
      </c>
      <c r="B83" s="126"/>
    </row>
    <row r="84" spans="1:2">
      <c r="A84" s="1659"/>
      <c r="B84" s="1660"/>
    </row>
    <row r="85" spans="1:2">
      <c r="A85" s="1661"/>
      <c r="B85" s="1662"/>
    </row>
    <row r="86" spans="1:2">
      <c r="A86" s="1663"/>
      <c r="B86" s="1664"/>
    </row>
    <row r="88" spans="1:2">
      <c r="A88" s="1" t="str">
        <f>'ADJ-1'!A88</f>
        <v>Electronic</v>
      </c>
    </row>
    <row r="89" spans="1:2">
      <c r="A89" s="124" t="s">
        <v>175</v>
      </c>
      <c r="B89" s="152">
        <f>DATA!$J$1015</f>
        <v>0</v>
      </c>
    </row>
    <row r="90" spans="1:2">
      <c r="A90" s="124" t="s">
        <v>176</v>
      </c>
      <c r="B90" s="152">
        <f>'SUMMARY TENDERED FEE'!$C$22</f>
        <v>0</v>
      </c>
    </row>
    <row r="91" spans="1:2">
      <c r="A91" s="124" t="s">
        <v>805</v>
      </c>
      <c r="B91" s="166">
        <f>'SUMMARY TENDERED FEE'!$D$22</f>
        <v>0</v>
      </c>
    </row>
    <row r="92" spans="1:2">
      <c r="A92" s="124" t="s">
        <v>178</v>
      </c>
      <c r="B92" s="908"/>
    </row>
    <row r="93" spans="1:2">
      <c r="A93" s="124" t="s">
        <v>179</v>
      </c>
      <c r="B93" s="124">
        <f>IF(B92&lt;B89*0.8,0.8,IF(B92&gt;1.2*B89,1.2,1))</f>
        <v>1</v>
      </c>
    </row>
    <row r="94" spans="1:2">
      <c r="A94" s="124" t="s">
        <v>802</v>
      </c>
      <c r="B94" s="881">
        <f>IF(OR(B90=0,B89=0),0,B89*(0.261-0.023*LOG10(B89))/B90)</f>
        <v>0</v>
      </c>
    </row>
    <row r="95" spans="1:2">
      <c r="A95" s="124" t="s">
        <v>180</v>
      </c>
      <c r="B95" s="158">
        <f>IF(B92="",0,IF(B93=1,B90,B92*((B90*B94/(B93*B89)+0.023*LOG10(B93*B89/B92)))/B94))</f>
        <v>0</v>
      </c>
    </row>
    <row r="96" spans="1:2">
      <c r="A96" s="124" t="s">
        <v>806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181</v>
      </c>
      <c r="B99" s="126"/>
    </row>
    <row r="100" spans="1:2">
      <c r="A100" s="1659"/>
      <c r="B100" s="1660"/>
    </row>
    <row r="101" spans="1:2">
      <c r="A101" s="1661"/>
      <c r="B101" s="1662"/>
    </row>
    <row r="102" spans="1:2">
      <c r="A102" s="1663"/>
      <c r="B102" s="1664"/>
    </row>
    <row r="104" spans="1:2">
      <c r="A104" s="1" t="str">
        <f>'ADJ-1'!A104</f>
        <v>Other:</v>
      </c>
    </row>
    <row r="105" spans="1:2">
      <c r="A105" s="124" t="s">
        <v>175</v>
      </c>
      <c r="B105" s="152">
        <f>DATA!$J$1016</f>
        <v>0</v>
      </c>
    </row>
    <row r="106" spans="1:2">
      <c r="A106" s="124" t="s">
        <v>176</v>
      </c>
      <c r="B106" s="152">
        <f>'SUMMARY TENDERED FEE'!$C$23</f>
        <v>0</v>
      </c>
    </row>
    <row r="107" spans="1:2">
      <c r="A107" s="124" t="s">
        <v>805</v>
      </c>
      <c r="B107" s="166">
        <f>'SUMMARY TENDERED FEE'!$D$23</f>
        <v>0</v>
      </c>
    </row>
    <row r="108" spans="1:2">
      <c r="A108" s="124" t="s">
        <v>178</v>
      </c>
      <c r="B108" s="908"/>
    </row>
    <row r="109" spans="1:2">
      <c r="A109" s="124" t="s">
        <v>179</v>
      </c>
      <c r="B109" s="124">
        <f>IF(B108&lt;B105*0.8,0.8,IF(B108&gt;1.2*B105,1.2,1))</f>
        <v>1</v>
      </c>
    </row>
    <row r="110" spans="1:2">
      <c r="A110" s="124" t="s">
        <v>802</v>
      </c>
      <c r="B110" s="881">
        <f>IF(OR(B106=0,B105=0),0,B105*(0.261-0.023*LOG10(B105))/B106)</f>
        <v>0</v>
      </c>
    </row>
    <row r="111" spans="1:2">
      <c r="A111" s="124" t="s">
        <v>180</v>
      </c>
      <c r="B111" s="158">
        <f>IF(B108="",0,IF(B109=1,B106,B108*((B106*B110/(B109*B105)+0.023*LOG10(B109*B105/B108)))/B110))</f>
        <v>0</v>
      </c>
    </row>
    <row r="112" spans="1:2">
      <c r="A112" s="124" t="s">
        <v>806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181</v>
      </c>
      <c r="B115" s="126"/>
    </row>
    <row r="116" spans="1:68">
      <c r="A116" s="1659"/>
      <c r="B116" s="1660"/>
    </row>
    <row r="117" spans="1:68">
      <c r="A117" s="1661"/>
      <c r="B117" s="1662"/>
    </row>
    <row r="118" spans="1:68">
      <c r="A118" s="1663"/>
      <c r="B118" s="1664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175</v>
      </c>
      <c r="B133" s="140">
        <f>B9</f>
        <v>145000000</v>
      </c>
      <c r="K133" t="s">
        <v>175</v>
      </c>
      <c r="L133" s="140">
        <f>B25</f>
        <v>0</v>
      </c>
      <c r="U133" t="s">
        <v>175</v>
      </c>
      <c r="V133" s="140">
        <f>B41</f>
        <v>0</v>
      </c>
      <c r="AE133" t="s">
        <v>175</v>
      </c>
      <c r="AF133" s="140">
        <f>B57</f>
        <v>0</v>
      </c>
      <c r="AO133" t="s">
        <v>175</v>
      </c>
      <c r="AP133" s="140">
        <f>B73</f>
        <v>0</v>
      </c>
      <c r="AY133" t="s">
        <v>175</v>
      </c>
      <c r="AZ133" s="140">
        <f>B89</f>
        <v>0</v>
      </c>
      <c r="BI133" t="s">
        <v>175</v>
      </c>
      <c r="BJ133" s="140">
        <f>B105</f>
        <v>0</v>
      </c>
    </row>
    <row r="134" spans="1:69">
      <c r="A134" t="s">
        <v>803</v>
      </c>
      <c r="B134" s="140">
        <f>B10</f>
        <v>0</v>
      </c>
      <c r="K134" t="s">
        <v>803</v>
      </c>
      <c r="L134" s="140">
        <f>B26</f>
        <v>0</v>
      </c>
      <c r="U134" t="s">
        <v>803</v>
      </c>
      <c r="V134" s="140">
        <f>B42</f>
        <v>0</v>
      </c>
      <c r="AA134" s="140"/>
      <c r="AE134" t="s">
        <v>803</v>
      </c>
      <c r="AF134" s="140">
        <f>B58</f>
        <v>0</v>
      </c>
      <c r="AL134" s="140"/>
      <c r="AO134" t="s">
        <v>803</v>
      </c>
      <c r="AP134" s="140">
        <f t="shared" ref="AP134:AP138" si="0">B74</f>
        <v>0</v>
      </c>
      <c r="AV134" s="140"/>
      <c r="AY134" t="s">
        <v>803</v>
      </c>
      <c r="AZ134" s="140">
        <f t="shared" ref="AZ134:AZ138" si="1">B90</f>
        <v>0</v>
      </c>
      <c r="BF134" s="140"/>
      <c r="BI134" t="s">
        <v>803</v>
      </c>
      <c r="BJ134" s="140">
        <f t="shared" ref="BJ134:BJ137" si="2">B106</f>
        <v>0</v>
      </c>
    </row>
    <row r="135" spans="1:69">
      <c r="A135" t="s">
        <v>804</v>
      </c>
      <c r="B135" s="154">
        <f>B11</f>
        <v>0</v>
      </c>
      <c r="K135" t="s">
        <v>804</v>
      </c>
      <c r="L135" s="140">
        <f>B27</f>
        <v>0</v>
      </c>
      <c r="Q135" s="140"/>
      <c r="U135" t="s">
        <v>804</v>
      </c>
      <c r="V135" s="140">
        <f>B43</f>
        <v>0</v>
      </c>
      <c r="AA135" s="140"/>
      <c r="AE135" t="s">
        <v>804</v>
      </c>
      <c r="AF135" s="140">
        <f>B59</f>
        <v>0</v>
      </c>
      <c r="AL135" s="140"/>
      <c r="AO135" t="s">
        <v>804</v>
      </c>
      <c r="AP135" s="140">
        <f t="shared" si="0"/>
        <v>0</v>
      </c>
      <c r="AV135" s="140"/>
      <c r="AY135" t="s">
        <v>804</v>
      </c>
      <c r="AZ135" s="140">
        <f t="shared" si="1"/>
        <v>0</v>
      </c>
      <c r="BF135" s="140"/>
      <c r="BI135" t="s">
        <v>804</v>
      </c>
      <c r="BJ135" s="140">
        <f t="shared" si="2"/>
        <v>0</v>
      </c>
      <c r="BP135" s="140"/>
    </row>
    <row r="136" spans="1:69">
      <c r="A136" t="s">
        <v>183</v>
      </c>
      <c r="B136" s="140">
        <f>IF(B12=0,0.00001,B12)</f>
        <v>1.0000000000000001E-5</v>
      </c>
      <c r="K136" t="s">
        <v>183</v>
      </c>
      <c r="L136" s="140">
        <f>IF(B28=0,0.00001,B28)</f>
        <v>1.0000000000000001E-5</v>
      </c>
      <c r="Q136" s="140"/>
      <c r="U136" t="s">
        <v>183</v>
      </c>
      <c r="V136" s="140">
        <f>IF(B44=0,0.00001,B44)</f>
        <v>1.0000000000000001E-5</v>
      </c>
      <c r="AA136" s="140"/>
      <c r="AE136" t="s">
        <v>183</v>
      </c>
      <c r="AF136" s="140">
        <f>IF(B60=0,0.00001,B60)</f>
        <v>1.0000000000000001E-5</v>
      </c>
      <c r="AL136" s="140"/>
      <c r="AO136" t="s">
        <v>183</v>
      </c>
      <c r="AP136" s="140">
        <f>IF(B76=0,0.00001,B76)</f>
        <v>1.0000000000000001E-5</v>
      </c>
      <c r="AV136" s="140"/>
      <c r="AY136" t="s">
        <v>183</v>
      </c>
      <c r="AZ136" s="140">
        <f>IF(B92=0,0.00001,B92)</f>
        <v>1.0000000000000001E-5</v>
      </c>
      <c r="BF136" s="140"/>
      <c r="BI136" t="s">
        <v>183</v>
      </c>
      <c r="BJ136" s="140">
        <f>IF(B108=0,0.00001,B108)</f>
        <v>1.0000000000000001E-5</v>
      </c>
      <c r="BP136" s="140"/>
    </row>
    <row r="137" spans="1:69">
      <c r="A137" t="s">
        <v>179</v>
      </c>
      <c r="B137">
        <f>B13</f>
        <v>0.8</v>
      </c>
      <c r="K137" t="s">
        <v>179</v>
      </c>
      <c r="L137" s="140">
        <f>B29</f>
        <v>1</v>
      </c>
      <c r="Q137" s="140"/>
      <c r="U137" t="s">
        <v>179</v>
      </c>
      <c r="V137" s="140">
        <f>B45</f>
        <v>1</v>
      </c>
      <c r="AE137" t="s">
        <v>179</v>
      </c>
      <c r="AF137" s="140">
        <f>B61</f>
        <v>1</v>
      </c>
      <c r="AO137" t="s">
        <v>179</v>
      </c>
      <c r="AP137" s="140">
        <f t="shared" si="0"/>
        <v>1</v>
      </c>
      <c r="AY137" t="s">
        <v>179</v>
      </c>
      <c r="AZ137" s="140">
        <f t="shared" si="1"/>
        <v>1</v>
      </c>
      <c r="BI137" t="s">
        <v>179</v>
      </c>
      <c r="BJ137" s="140">
        <f t="shared" si="2"/>
        <v>1</v>
      </c>
      <c r="BP137" s="140"/>
    </row>
    <row r="138" spans="1:69">
      <c r="A138" t="s">
        <v>802</v>
      </c>
      <c r="B138" s="745">
        <f>B14</f>
        <v>0</v>
      </c>
      <c r="K138" t="s">
        <v>802</v>
      </c>
      <c r="L138" s="140">
        <f>B30</f>
        <v>0</v>
      </c>
      <c r="U138" t="s">
        <v>802</v>
      </c>
      <c r="V138" s="140">
        <f>B46</f>
        <v>0</v>
      </c>
      <c r="AE138" t="s">
        <v>802</v>
      </c>
      <c r="AF138" s="140">
        <f>B62</f>
        <v>0</v>
      </c>
      <c r="AO138" t="s">
        <v>802</v>
      </c>
      <c r="AP138" s="140">
        <f t="shared" si="0"/>
        <v>0</v>
      </c>
      <c r="AY138" t="s">
        <v>802</v>
      </c>
      <c r="AZ138" s="140">
        <f t="shared" si="1"/>
        <v>0</v>
      </c>
      <c r="BI138" t="s">
        <v>802</v>
      </c>
      <c r="BJ138" s="140">
        <f>B110</f>
        <v>0</v>
      </c>
    </row>
    <row r="139" spans="1:69">
      <c r="A139" t="s">
        <v>182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182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182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182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182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182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182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183</v>
      </c>
      <c r="B142" s="132" t="s">
        <v>184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179</v>
      </c>
      <c r="I142" s="132" t="s">
        <v>185</v>
      </c>
      <c r="K142" s="132" t="s">
        <v>183</v>
      </c>
      <c r="L142" s="132" t="s">
        <v>184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179</v>
      </c>
      <c r="S142" s="132" t="s">
        <v>185</v>
      </c>
      <c r="U142" s="132" t="s">
        <v>183</v>
      </c>
      <c r="V142" s="132" t="s">
        <v>184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179</v>
      </c>
      <c r="AC142" s="132" t="s">
        <v>185</v>
      </c>
      <c r="AE142" s="132" t="s">
        <v>183</v>
      </c>
      <c r="AF142" s="132" t="s">
        <v>184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179</v>
      </c>
      <c r="AM142" s="132" t="s">
        <v>185</v>
      </c>
      <c r="AO142" s="132" t="s">
        <v>183</v>
      </c>
      <c r="AP142" s="132" t="s">
        <v>184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179</v>
      </c>
      <c r="AW142" s="132" t="s">
        <v>185</v>
      </c>
      <c r="AY142" s="132" t="s">
        <v>183</v>
      </c>
      <c r="AZ142" s="132" t="s">
        <v>184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179</v>
      </c>
      <c r="BG142" s="132" t="s">
        <v>185</v>
      </c>
      <c r="BI142" s="132" t="s">
        <v>183</v>
      </c>
      <c r="BJ142" s="132" t="s">
        <v>184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179</v>
      </c>
      <c r="BQ142" s="132" t="s">
        <v>185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1.2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1.2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1.2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1.2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1.2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1.2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1.2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1.2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1.2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1.2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1.2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1.2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1.2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1.2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1.2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1.2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1.2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1.2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1.2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1.2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1.2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1.2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1.2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1.2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1.2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1.2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1.2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1.2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1.2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1.2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1.2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1.2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1.2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1.2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1.2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1.2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1.2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1.2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1.2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1.2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1.2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1.2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1.2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1.2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1.2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1.2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1.2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1.2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1.2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1.2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1.2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1.2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1.2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1.2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1.2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1.2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1.2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1.2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1.2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1.2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1.2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1.2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1.2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1.2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1.2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1.2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1.2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1.2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1.2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1.2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1.2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1.2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1.2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1.2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1.2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1.2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1.2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1.2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1.2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1.2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1.2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1.2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1.2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1.2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1.2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1.2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1.2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1.2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1.2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1.2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1.2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1.2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1.2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1.2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1.2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1.2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1.2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1.2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1.2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1.2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1.2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1.2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1.2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1.2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1.2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1.2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1.2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1.2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1.2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1.2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1.2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1.2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1.2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1.2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1.2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1.2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1.2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1.2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1.2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1.2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1.2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1.2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1.2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1.2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1.2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1.2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1.2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1.2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1.2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1.2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1.2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1.2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1.2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1.2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1.2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1.2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1.2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1.2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1.2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1.2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1.2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1.2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1.2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1.2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1.2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1.2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1.2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1.2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1.2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1.2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1.2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1.2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1.2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1.2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1.2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1.2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1.2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1.2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1.2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1.2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1.2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1.2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1.2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1.2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1.2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1.2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1.2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1.2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1.2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1.2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1.2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1.2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1.2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1.2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1.2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1.2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J414"/>
  <sheetViews>
    <sheetView zoomScaleNormal="100" workbookViewId="0">
      <selection activeCell="D2" sqref="D2"/>
    </sheetView>
  </sheetViews>
  <sheetFormatPr defaultColWidth="9.109375" defaultRowHeight="14.4"/>
  <cols>
    <col min="1" max="1" width="10.44140625" customWidth="1"/>
    <col min="2" max="2" width="59.44140625" customWidth="1"/>
    <col min="3" max="3" width="14.5546875" bestFit="1" customWidth="1"/>
    <col min="4" max="4" width="16" customWidth="1"/>
    <col min="5" max="5" width="13.109375" customWidth="1"/>
    <col min="6" max="6" width="20.88671875" customWidth="1"/>
    <col min="8" max="8" width="9.109375" style="891"/>
    <col min="9" max="9" width="15" bestFit="1" customWidth="1"/>
    <col min="10" max="10" width="12.44140625" bestFit="1" customWidth="1"/>
  </cols>
  <sheetData>
    <row r="1" spans="1:8" ht="23.4">
      <c r="A1" s="214" t="str">
        <f>DATA!C1004</f>
        <v>NRA.N.007-040-2024/1F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  <c r="F3" s="1074" t="str">
        <f>'TENDERER INPUT DATA'!$G$5</f>
        <v>ADDENDUM 1</v>
      </c>
    </row>
    <row r="4" spans="1:8" ht="18.75" customHeight="1">
      <c r="B4" s="178" t="s">
        <v>838</v>
      </c>
      <c r="F4" s="914" t="s">
        <v>856</v>
      </c>
    </row>
    <row r="5" spans="1:8" ht="18.75" customHeight="1">
      <c r="B5" s="179" t="s">
        <v>839</v>
      </c>
      <c r="F5" s="915" t="s">
        <v>857</v>
      </c>
    </row>
    <row r="6" spans="1:8" ht="18.75" customHeight="1" thickBot="1">
      <c r="B6" s="180" t="s">
        <v>97</v>
      </c>
      <c r="F6" s="916" t="s">
        <v>986</v>
      </c>
    </row>
    <row r="8" spans="1:8" ht="15.6">
      <c r="A8" s="123" t="s">
        <v>817</v>
      </c>
    </row>
    <row r="9" spans="1:8" ht="28.8">
      <c r="A9" s="284" t="s">
        <v>98</v>
      </c>
      <c r="B9" s="284" t="s">
        <v>0</v>
      </c>
      <c r="C9" s="284" t="s">
        <v>1</v>
      </c>
      <c r="D9" s="284" t="s">
        <v>2</v>
      </c>
      <c r="E9" s="284" t="s">
        <v>3</v>
      </c>
      <c r="F9" s="284" t="s">
        <v>4</v>
      </c>
      <c r="G9" s="1110" t="s">
        <v>825</v>
      </c>
      <c r="H9" s="177"/>
    </row>
    <row r="10" spans="1:8">
      <c r="A10" s="285"/>
      <c r="B10" s="39" t="s">
        <v>46</v>
      </c>
      <c r="C10" s="285"/>
      <c r="D10" s="285"/>
      <c r="E10" s="286"/>
      <c r="F10" s="285"/>
      <c r="G10" s="177"/>
      <c r="H10" s="177"/>
    </row>
    <row r="11" spans="1:8">
      <c r="A11" s="284">
        <v>3.2</v>
      </c>
      <c r="B11" s="284" t="s">
        <v>198</v>
      </c>
      <c r="C11" s="285"/>
      <c r="D11" s="285"/>
      <c r="E11" s="286"/>
      <c r="F11" s="285"/>
      <c r="G11" s="177"/>
      <c r="H11" s="177"/>
    </row>
    <row r="12" spans="1:8">
      <c r="A12" s="287" t="s">
        <v>230</v>
      </c>
      <c r="B12" s="285" t="s">
        <v>99</v>
      </c>
      <c r="C12" s="285"/>
      <c r="D12" s="285"/>
      <c r="E12" s="286"/>
      <c r="F12" s="285"/>
      <c r="G12" s="177"/>
      <c r="H12" s="177"/>
    </row>
    <row r="13" spans="1:8">
      <c r="A13" s="285"/>
      <c r="B13" s="288" t="s">
        <v>100</v>
      </c>
      <c r="C13" s="285" t="s">
        <v>101</v>
      </c>
      <c r="D13" s="285" t="s">
        <v>102</v>
      </c>
      <c r="E13" s="285" t="s">
        <v>103</v>
      </c>
      <c r="F13" s="289">
        <f>'Non Fee Hours'!H6</f>
        <v>0</v>
      </c>
      <c r="G13" s="1111" t="s">
        <v>826</v>
      </c>
      <c r="H13" s="177">
        <f>IF(G13="n",0,999999999999999000000)</f>
        <v>9.9999999999999895E+20</v>
      </c>
    </row>
    <row r="14" spans="1:8">
      <c r="A14" s="285"/>
      <c r="B14" s="285" t="s">
        <v>104</v>
      </c>
      <c r="C14" s="285" t="s">
        <v>101</v>
      </c>
      <c r="D14" s="285" t="s">
        <v>102</v>
      </c>
      <c r="E14" s="285" t="s">
        <v>103</v>
      </c>
      <c r="F14" s="902"/>
      <c r="G14" s="1111" t="s">
        <v>826</v>
      </c>
      <c r="H14" s="177">
        <f>IF(G14="n",0,999999999999999000000)</f>
        <v>9.9999999999999895E+20</v>
      </c>
    </row>
    <row r="15" spans="1:8">
      <c r="A15" s="287" t="s">
        <v>231</v>
      </c>
      <c r="B15" s="285" t="s">
        <v>105</v>
      </c>
      <c r="C15" s="285"/>
      <c r="D15" s="285"/>
      <c r="E15" s="286"/>
      <c r="F15" s="290"/>
      <c r="G15" s="177"/>
      <c r="H15" s="177"/>
    </row>
    <row r="16" spans="1:8">
      <c r="A16" s="285"/>
      <c r="B16" s="288" t="s">
        <v>106</v>
      </c>
      <c r="C16" s="285" t="s">
        <v>101</v>
      </c>
      <c r="D16" s="285" t="s">
        <v>102</v>
      </c>
      <c r="E16" s="285" t="s">
        <v>103</v>
      </c>
      <c r="F16" s="289">
        <f>'Non Fee Hours'!H106</f>
        <v>0</v>
      </c>
      <c r="G16" s="1111" t="s">
        <v>826</v>
      </c>
      <c r="H16" s="177">
        <f>IF(G16="n",0,999999999999999000000)</f>
        <v>9.9999999999999895E+20</v>
      </c>
    </row>
    <row r="17" spans="1:8">
      <c r="A17" s="285"/>
      <c r="B17" s="285" t="s">
        <v>107</v>
      </c>
      <c r="C17" s="285" t="s">
        <v>101</v>
      </c>
      <c r="D17" s="285" t="s">
        <v>102</v>
      </c>
      <c r="E17" s="285" t="s">
        <v>103</v>
      </c>
      <c r="F17" s="902"/>
      <c r="G17" s="1111" t="s">
        <v>826</v>
      </c>
      <c r="H17" s="177">
        <f>IF(G17="n",0,999999999999999000000)</f>
        <v>9.9999999999999895E+20</v>
      </c>
    </row>
    <row r="18" spans="1:8">
      <c r="A18" s="287" t="s">
        <v>232</v>
      </c>
      <c r="B18" s="285" t="s">
        <v>108</v>
      </c>
      <c r="C18" s="285"/>
      <c r="D18" s="285"/>
      <c r="E18" s="286"/>
      <c r="F18" s="290"/>
      <c r="G18" s="177"/>
      <c r="H18" s="177"/>
    </row>
    <row r="19" spans="1:8">
      <c r="A19" s="285"/>
      <c r="B19" s="288" t="s">
        <v>109</v>
      </c>
      <c r="C19" s="285" t="s">
        <v>101</v>
      </c>
      <c r="D19" s="285" t="s">
        <v>102</v>
      </c>
      <c r="E19" s="285" t="s">
        <v>103</v>
      </c>
      <c r="F19" s="289">
        <f>'Non Fee Hours'!H206</f>
        <v>0</v>
      </c>
      <c r="G19" s="1111" t="s">
        <v>826</v>
      </c>
      <c r="H19" s="177">
        <f>IF(G19="n",0,999999999999999000000)</f>
        <v>9.9999999999999895E+20</v>
      </c>
    </row>
    <row r="20" spans="1:8">
      <c r="A20" s="285"/>
      <c r="B20" s="285" t="s">
        <v>104</v>
      </c>
      <c r="C20" s="285" t="s">
        <v>101</v>
      </c>
      <c r="D20" s="285" t="s">
        <v>102</v>
      </c>
      <c r="E20" s="285" t="s">
        <v>103</v>
      </c>
      <c r="F20" s="902"/>
      <c r="G20" s="1111" t="s">
        <v>826</v>
      </c>
      <c r="H20" s="177">
        <f>IF(G20="n",0,999999999999999000000)</f>
        <v>9.9999999999999895E+20</v>
      </c>
    </row>
    <row r="21" spans="1:8">
      <c r="A21" s="285"/>
      <c r="B21" s="291" t="s">
        <v>199</v>
      </c>
      <c r="C21" s="292"/>
      <c r="D21" s="292"/>
      <c r="E21" s="293"/>
      <c r="F21" s="290">
        <f>SUM(F13:F20)</f>
        <v>0</v>
      </c>
      <c r="G21" s="177"/>
      <c r="H21" s="177"/>
    </row>
    <row r="22" spans="1:8">
      <c r="A22" s="284">
        <v>3.3</v>
      </c>
      <c r="B22" s="284" t="s">
        <v>110</v>
      </c>
      <c r="C22" s="285"/>
      <c r="D22" s="285"/>
      <c r="E22" s="286"/>
      <c r="F22" s="290"/>
      <c r="G22" s="177"/>
      <c r="H22" s="177"/>
    </row>
    <row r="23" spans="1:8">
      <c r="A23" s="287" t="s">
        <v>233</v>
      </c>
      <c r="B23" s="285" t="s">
        <v>111</v>
      </c>
      <c r="C23" s="285"/>
      <c r="D23" s="285"/>
      <c r="E23" s="286"/>
      <c r="F23" s="290"/>
      <c r="G23" s="177"/>
      <c r="H23" s="177"/>
    </row>
    <row r="24" spans="1:8">
      <c r="A24" s="285"/>
      <c r="B24" s="285" t="s">
        <v>112</v>
      </c>
      <c r="C24" s="285" t="s">
        <v>113</v>
      </c>
      <c r="D24" s="285" t="s">
        <v>114</v>
      </c>
      <c r="E24" s="285" t="s">
        <v>115</v>
      </c>
      <c r="F24" s="893">
        <v>200000</v>
      </c>
      <c r="G24" s="1111" t="s">
        <v>826</v>
      </c>
      <c r="H24" s="177">
        <f>IF(G24="n",0,999999999999999000000)</f>
        <v>9.9999999999999895E+20</v>
      </c>
    </row>
    <row r="25" spans="1:8" ht="28.8">
      <c r="A25" s="285"/>
      <c r="B25" s="781" t="s">
        <v>897</v>
      </c>
      <c r="C25" s="285" t="s">
        <v>101</v>
      </c>
      <c r="D25" s="285" t="s">
        <v>102</v>
      </c>
      <c r="E25" s="285" t="s">
        <v>103</v>
      </c>
      <c r="F25" s="902"/>
      <c r="G25" s="1111" t="s">
        <v>826</v>
      </c>
      <c r="H25" s="177">
        <f>IF(G25="n",0,999999999999999000000)</f>
        <v>9.9999999999999895E+20</v>
      </c>
    </row>
    <row r="26" spans="1:8">
      <c r="A26" s="285"/>
      <c r="B26" s="285" t="s">
        <v>116</v>
      </c>
      <c r="C26" s="285" t="s">
        <v>101</v>
      </c>
      <c r="D26" s="285" t="s">
        <v>102</v>
      </c>
      <c r="E26" s="285" t="s">
        <v>103</v>
      </c>
      <c r="F26" s="902"/>
      <c r="G26" s="1111" t="s">
        <v>826</v>
      </c>
      <c r="H26" s="177">
        <f>IF(G26="n",0,999999999999999000000)</f>
        <v>9.9999999999999895E+20</v>
      </c>
    </row>
    <row r="27" spans="1:8">
      <c r="A27" s="287" t="s">
        <v>234</v>
      </c>
      <c r="B27" s="285" t="s">
        <v>898</v>
      </c>
      <c r="C27" s="285"/>
      <c r="D27" s="285"/>
      <c r="E27" s="286"/>
      <c r="F27" s="290"/>
      <c r="G27" s="177"/>
      <c r="H27" s="177"/>
    </row>
    <row r="28" spans="1:8">
      <c r="A28" s="285"/>
      <c r="B28" s="285" t="s">
        <v>899</v>
      </c>
      <c r="C28" s="285" t="s">
        <v>113</v>
      </c>
      <c r="D28" s="285" t="s">
        <v>114</v>
      </c>
      <c r="E28" s="285" t="s">
        <v>115</v>
      </c>
      <c r="F28" s="893"/>
      <c r="G28" s="1111" t="s">
        <v>992</v>
      </c>
      <c r="H28" s="177">
        <f t="shared" ref="H28:H30" si="0">IF(G28="n",0,999999999999999000000)</f>
        <v>0</v>
      </c>
    </row>
    <row r="29" spans="1:8" ht="28.8">
      <c r="A29" s="285"/>
      <c r="B29" s="781" t="s">
        <v>900</v>
      </c>
      <c r="C29" s="285" t="s">
        <v>101</v>
      </c>
      <c r="D29" s="285" t="s">
        <v>102</v>
      </c>
      <c r="E29" s="285" t="s">
        <v>103</v>
      </c>
      <c r="F29" s="902"/>
      <c r="G29" s="1111" t="s">
        <v>992</v>
      </c>
      <c r="H29" s="177">
        <f t="shared" si="0"/>
        <v>0</v>
      </c>
    </row>
    <row r="30" spans="1:8" ht="28.8">
      <c r="A30" s="285"/>
      <c r="B30" s="781" t="s">
        <v>901</v>
      </c>
      <c r="C30" s="285" t="s">
        <v>101</v>
      </c>
      <c r="D30" s="285" t="s">
        <v>102</v>
      </c>
      <c r="E30" s="285" t="s">
        <v>103</v>
      </c>
      <c r="F30" s="902"/>
      <c r="G30" s="1111" t="s">
        <v>992</v>
      </c>
      <c r="H30" s="177">
        <f t="shared" si="0"/>
        <v>0</v>
      </c>
    </row>
    <row r="31" spans="1:8">
      <c r="A31" s="287" t="s">
        <v>235</v>
      </c>
      <c r="B31" s="285" t="s">
        <v>117</v>
      </c>
      <c r="C31" s="285"/>
      <c r="D31" s="285"/>
      <c r="E31" s="286"/>
      <c r="F31" s="290"/>
      <c r="G31" s="177"/>
      <c r="H31" s="177"/>
    </row>
    <row r="32" spans="1:8">
      <c r="A32" s="285"/>
      <c r="B32" s="285" t="s">
        <v>118</v>
      </c>
      <c r="C32" s="285" t="s">
        <v>113</v>
      </c>
      <c r="D32" s="285" t="s">
        <v>114</v>
      </c>
      <c r="E32" s="285" t="s">
        <v>115</v>
      </c>
      <c r="F32" s="893">
        <v>500000</v>
      </c>
      <c r="G32" s="1111" t="s">
        <v>826</v>
      </c>
      <c r="H32" s="177">
        <f>IF(G32="n",0,999999999999999000000)</f>
        <v>9.9999999999999895E+20</v>
      </c>
    </row>
    <row r="33" spans="1:8" ht="29.25" customHeight="1">
      <c r="A33" s="285"/>
      <c r="B33" s="781" t="s">
        <v>903</v>
      </c>
      <c r="C33" s="285" t="s">
        <v>101</v>
      </c>
      <c r="D33" s="285" t="s">
        <v>102</v>
      </c>
      <c r="E33" s="285" t="s">
        <v>103</v>
      </c>
      <c r="F33" s="902"/>
      <c r="G33" s="1111" t="s">
        <v>826</v>
      </c>
      <c r="H33" s="177">
        <f>IF(G33="n",0,999999999999999000000)</f>
        <v>9.9999999999999895E+20</v>
      </c>
    </row>
    <row r="34" spans="1:8">
      <c r="A34" s="287" t="s">
        <v>236</v>
      </c>
      <c r="B34" s="285" t="s">
        <v>119</v>
      </c>
      <c r="C34" s="285"/>
      <c r="D34" s="285"/>
      <c r="E34" s="286"/>
      <c r="F34" s="290"/>
      <c r="G34" s="177"/>
      <c r="H34" s="177"/>
    </row>
    <row r="35" spans="1:8" ht="30.75" customHeight="1">
      <c r="A35" s="285"/>
      <c r="B35" s="781" t="s">
        <v>980</v>
      </c>
      <c r="C35" s="285" t="s">
        <v>113</v>
      </c>
      <c r="D35" s="285" t="s">
        <v>114</v>
      </c>
      <c r="E35" s="285" t="s">
        <v>115</v>
      </c>
      <c r="F35" s="893">
        <v>7500000</v>
      </c>
      <c r="G35" s="1111" t="s">
        <v>826</v>
      </c>
      <c r="H35" s="177">
        <f>IF(G35="n",0,999999999999999000000)</f>
        <v>9.9999999999999895E+20</v>
      </c>
    </row>
    <row r="36" spans="1:8" ht="28.8">
      <c r="A36" s="285"/>
      <c r="B36" s="781" t="s">
        <v>981</v>
      </c>
      <c r="C36" s="285" t="s">
        <v>101</v>
      </c>
      <c r="D36" s="285" t="s">
        <v>102</v>
      </c>
      <c r="E36" s="285" t="s">
        <v>103</v>
      </c>
      <c r="F36" s="902"/>
      <c r="G36" s="1111" t="s">
        <v>826</v>
      </c>
      <c r="H36" s="177">
        <f>IF(G36="n",0,999999999999999000000)</f>
        <v>9.9999999999999895E+20</v>
      </c>
    </row>
    <row r="37" spans="1:8" ht="28.8">
      <c r="A37" s="285"/>
      <c r="B37" s="781" t="s">
        <v>904</v>
      </c>
      <c r="C37" s="285" t="s">
        <v>120</v>
      </c>
      <c r="D37" s="294">
        <v>2</v>
      </c>
      <c r="E37" s="902"/>
      <c r="F37" s="290">
        <f>D37*E37</f>
        <v>0</v>
      </c>
      <c r="G37" s="1111" t="s">
        <v>826</v>
      </c>
      <c r="H37" s="177">
        <f t="shared" ref="H37:H40" si="1">IF(G37="n",0,999999999999999000000)</f>
        <v>9.9999999999999895E+20</v>
      </c>
    </row>
    <row r="38" spans="1:8">
      <c r="A38" s="285"/>
      <c r="B38" s="781" t="s">
        <v>905</v>
      </c>
      <c r="C38" s="285"/>
      <c r="D38" s="285"/>
      <c r="E38" s="286"/>
      <c r="F38" s="290"/>
      <c r="G38" s="177"/>
      <c r="H38" s="177"/>
    </row>
    <row r="39" spans="1:8">
      <c r="A39" s="285"/>
      <c r="B39" s="781" t="s">
        <v>907</v>
      </c>
      <c r="C39" s="285" t="s">
        <v>123</v>
      </c>
      <c r="D39" s="285" t="s">
        <v>124</v>
      </c>
      <c r="E39" s="285" t="s">
        <v>103</v>
      </c>
      <c r="F39" s="892">
        <v>200000</v>
      </c>
      <c r="G39" s="1111" t="s">
        <v>826</v>
      </c>
      <c r="H39" s="177">
        <f t="shared" si="1"/>
        <v>9.9999999999999895E+20</v>
      </c>
    </row>
    <row r="40" spans="1:8" ht="28.8">
      <c r="A40" s="285"/>
      <c r="B40" s="948" t="s">
        <v>906</v>
      </c>
      <c r="C40" s="285" t="s">
        <v>120</v>
      </c>
      <c r="D40" s="294">
        <v>2</v>
      </c>
      <c r="E40" s="902"/>
      <c r="F40" s="290">
        <f>D40*E40</f>
        <v>0</v>
      </c>
      <c r="G40" s="1111" t="s">
        <v>826</v>
      </c>
      <c r="H40" s="177">
        <f t="shared" si="1"/>
        <v>9.9999999999999895E+20</v>
      </c>
    </row>
    <row r="41" spans="1:8">
      <c r="A41" s="285"/>
      <c r="B41" s="285" t="s">
        <v>908</v>
      </c>
      <c r="C41" s="285" t="s">
        <v>113</v>
      </c>
      <c r="D41" s="285" t="s">
        <v>114</v>
      </c>
      <c r="E41" s="285" t="s">
        <v>115</v>
      </c>
      <c r="F41" s="893">
        <v>50000</v>
      </c>
      <c r="G41" s="1111" t="s">
        <v>826</v>
      </c>
      <c r="H41" s="177">
        <f>IF(G41="n",0,999999999999999000000)</f>
        <v>9.9999999999999895E+20</v>
      </c>
    </row>
    <row r="42" spans="1:8" ht="30" customHeight="1">
      <c r="A42" s="285"/>
      <c r="B42" s="781" t="s">
        <v>909</v>
      </c>
      <c r="C42" s="285" t="s">
        <v>120</v>
      </c>
      <c r="D42" s="294">
        <v>2</v>
      </c>
      <c r="E42" s="902"/>
      <c r="F42" s="290">
        <f>D42*E42</f>
        <v>0</v>
      </c>
      <c r="G42" s="1112" t="s">
        <v>826</v>
      </c>
      <c r="H42" s="177">
        <f>IF(G42="n",0,999999999999999000000)</f>
        <v>9.9999999999999895E+20</v>
      </c>
    </row>
    <row r="43" spans="1:8">
      <c r="A43" s="285"/>
      <c r="B43" s="781" t="s">
        <v>982</v>
      </c>
      <c r="C43" s="285"/>
      <c r="D43" s="285"/>
      <c r="E43" s="286"/>
      <c r="F43" s="290"/>
      <c r="G43" s="177"/>
      <c r="H43" s="177"/>
    </row>
    <row r="44" spans="1:8">
      <c r="A44" s="285"/>
      <c r="B44" s="949" t="s">
        <v>910</v>
      </c>
      <c r="C44" s="285" t="s">
        <v>113</v>
      </c>
      <c r="D44" s="285" t="s">
        <v>114</v>
      </c>
      <c r="E44" s="285" t="s">
        <v>115</v>
      </c>
      <c r="F44" s="893">
        <v>500000</v>
      </c>
      <c r="G44" s="1111" t="s">
        <v>826</v>
      </c>
      <c r="H44" s="177">
        <f t="shared" ref="H44:H45" si="2">IF(G44="n",0,999999999999999000000)</f>
        <v>9.9999999999999895E+20</v>
      </c>
    </row>
    <row r="45" spans="1:8" ht="28.8">
      <c r="A45" s="285"/>
      <c r="B45" s="781" t="s">
        <v>983</v>
      </c>
      <c r="C45" s="285" t="s">
        <v>101</v>
      </c>
      <c r="D45" s="285" t="s">
        <v>102</v>
      </c>
      <c r="E45" s="285" t="s">
        <v>103</v>
      </c>
      <c r="F45" s="902"/>
      <c r="G45" s="1111" t="s">
        <v>826</v>
      </c>
      <c r="H45" s="177">
        <f t="shared" si="2"/>
        <v>9.9999999999999895E+20</v>
      </c>
    </row>
    <row r="46" spans="1:8">
      <c r="A46" s="287" t="s">
        <v>574</v>
      </c>
      <c r="B46" s="285" t="s">
        <v>560</v>
      </c>
      <c r="C46" s="285"/>
      <c r="D46" s="285"/>
      <c r="E46" s="286"/>
      <c r="F46" s="290"/>
      <c r="G46" s="177"/>
      <c r="H46" s="177"/>
    </row>
    <row r="47" spans="1:8">
      <c r="A47" s="285"/>
      <c r="B47" s="285" t="s">
        <v>575</v>
      </c>
      <c r="C47" s="285" t="s">
        <v>101</v>
      </c>
      <c r="D47" s="285" t="s">
        <v>102</v>
      </c>
      <c r="E47" s="285" t="s">
        <v>103</v>
      </c>
      <c r="F47" s="902"/>
      <c r="G47" s="1111" t="s">
        <v>989</v>
      </c>
      <c r="H47" s="177">
        <f>IF(G47="n",0,999999999999999000000)</f>
        <v>0</v>
      </c>
    </row>
    <row r="48" spans="1:8">
      <c r="A48" s="285"/>
      <c r="B48" s="781" t="s">
        <v>576</v>
      </c>
      <c r="C48" s="285" t="s">
        <v>160</v>
      </c>
      <c r="D48" s="294"/>
      <c r="E48" s="902"/>
      <c r="F48" s="290">
        <f>D48*E48</f>
        <v>0</v>
      </c>
      <c r="G48" s="1111" t="s">
        <v>989</v>
      </c>
      <c r="H48" s="177">
        <f>IF(G48="n",0,999999999999999000000)</f>
        <v>0</v>
      </c>
    </row>
    <row r="49" spans="1:8">
      <c r="A49" s="285"/>
      <c r="B49" s="781" t="s">
        <v>613</v>
      </c>
      <c r="C49" s="285" t="s">
        <v>160</v>
      </c>
      <c r="D49" s="294"/>
      <c r="E49" s="902"/>
      <c r="F49" s="290">
        <f>D49*E49</f>
        <v>0</v>
      </c>
      <c r="G49" s="1111" t="s">
        <v>989</v>
      </c>
      <c r="H49" s="177">
        <f>IF(G49="n",0,999999999999999000000)</f>
        <v>0</v>
      </c>
    </row>
    <row r="50" spans="1:8">
      <c r="A50" s="285"/>
      <c r="B50" s="781" t="s">
        <v>614</v>
      </c>
      <c r="C50" s="285" t="s">
        <v>160</v>
      </c>
      <c r="D50" s="294"/>
      <c r="E50" s="902"/>
      <c r="F50" s="290">
        <f>D50*E50</f>
        <v>0</v>
      </c>
      <c r="G50" s="1111" t="s">
        <v>989</v>
      </c>
      <c r="H50" s="177">
        <f>IF(G50="n",0,999999999999999000000)</f>
        <v>0</v>
      </c>
    </row>
    <row r="51" spans="1:8">
      <c r="A51" s="285"/>
      <c r="B51" s="781" t="s">
        <v>615</v>
      </c>
      <c r="C51" s="285" t="s">
        <v>160</v>
      </c>
      <c r="D51" s="294"/>
      <c r="E51" s="902"/>
      <c r="F51" s="290">
        <f>D51*E51</f>
        <v>0</v>
      </c>
      <c r="G51" s="1111" t="s">
        <v>989</v>
      </c>
      <c r="H51" s="177">
        <f>IF(G51="n",0,999999999999999000000)</f>
        <v>0</v>
      </c>
    </row>
    <row r="52" spans="1:8">
      <c r="A52" s="285"/>
      <c r="B52" s="781" t="s">
        <v>616</v>
      </c>
      <c r="C52" s="285"/>
      <c r="D52" s="285"/>
      <c r="E52" s="286"/>
      <c r="F52" s="290"/>
      <c r="G52" s="177"/>
      <c r="H52" s="177"/>
    </row>
    <row r="53" spans="1:8">
      <c r="A53" s="285"/>
      <c r="B53" s="781" t="s">
        <v>827</v>
      </c>
      <c r="C53" s="285" t="s">
        <v>160</v>
      </c>
      <c r="D53" s="294"/>
      <c r="E53" s="902"/>
      <c r="F53" s="290">
        <f>D53*E53</f>
        <v>0</v>
      </c>
      <c r="G53" s="1111" t="s">
        <v>989</v>
      </c>
      <c r="H53" s="177">
        <f>IF(G53="n",0,999999999999999000000)</f>
        <v>0</v>
      </c>
    </row>
    <row r="54" spans="1:8">
      <c r="A54" s="285"/>
      <c r="B54" s="781" t="s">
        <v>828</v>
      </c>
      <c r="C54" s="285" t="s">
        <v>160</v>
      </c>
      <c r="D54" s="294"/>
      <c r="E54" s="902"/>
      <c r="F54" s="290">
        <f>D54*E54</f>
        <v>0</v>
      </c>
      <c r="G54" s="1111" t="s">
        <v>989</v>
      </c>
      <c r="H54" s="177">
        <f>IF(G54="n",0,999999999999999000000)</f>
        <v>0</v>
      </c>
    </row>
    <row r="55" spans="1:8">
      <c r="A55" s="287" t="s">
        <v>902</v>
      </c>
      <c r="B55" s="285" t="s">
        <v>577</v>
      </c>
      <c r="C55" s="285"/>
      <c r="D55" s="285"/>
      <c r="E55" s="286"/>
      <c r="F55" s="290"/>
      <c r="G55" s="177"/>
      <c r="H55" s="177"/>
    </row>
    <row r="56" spans="1:8">
      <c r="A56" s="285"/>
      <c r="B56" s="696" t="s">
        <v>716</v>
      </c>
      <c r="C56" s="285"/>
      <c r="D56" s="285"/>
      <c r="E56" s="286"/>
      <c r="F56" s="290"/>
      <c r="G56" s="177"/>
      <c r="H56" s="177"/>
    </row>
    <row r="57" spans="1:8">
      <c r="A57" s="285"/>
      <c r="B57" s="781" t="s">
        <v>829</v>
      </c>
      <c r="C57" s="285" t="s">
        <v>160</v>
      </c>
      <c r="D57" s="294"/>
      <c r="E57" s="902"/>
      <c r="F57" s="290">
        <f t="shared" ref="F57:F84" si="3">D57*E57</f>
        <v>0</v>
      </c>
      <c r="G57" s="1111" t="s">
        <v>989</v>
      </c>
      <c r="H57" s="177">
        <f t="shared" ref="H57:H86" si="4">IF(G57="n",0,999999999999999000000)</f>
        <v>0</v>
      </c>
    </row>
    <row r="58" spans="1:8">
      <c r="A58" s="285"/>
      <c r="B58" s="781" t="s">
        <v>830</v>
      </c>
      <c r="C58" s="285" t="s">
        <v>160</v>
      </c>
      <c r="D58" s="294"/>
      <c r="E58" s="902"/>
      <c r="F58" s="290">
        <f t="shared" si="3"/>
        <v>0</v>
      </c>
      <c r="G58" s="1111" t="s">
        <v>989</v>
      </c>
      <c r="H58" s="177">
        <f t="shared" si="4"/>
        <v>0</v>
      </c>
    </row>
    <row r="59" spans="1:8">
      <c r="A59" s="285"/>
      <c r="B59" s="781" t="s">
        <v>831</v>
      </c>
      <c r="C59" s="285" t="s">
        <v>160</v>
      </c>
      <c r="D59" s="294"/>
      <c r="E59" s="902"/>
      <c r="F59" s="290">
        <f t="shared" si="3"/>
        <v>0</v>
      </c>
      <c r="G59" s="1111" t="s">
        <v>989</v>
      </c>
      <c r="H59" s="177">
        <f t="shared" si="4"/>
        <v>0</v>
      </c>
    </row>
    <row r="60" spans="1:8">
      <c r="A60" s="285"/>
      <c r="B60" s="781" t="s">
        <v>620</v>
      </c>
      <c r="C60" s="285" t="s">
        <v>160</v>
      </c>
      <c r="D60" s="294"/>
      <c r="E60" s="902"/>
      <c r="F60" s="290">
        <f t="shared" si="3"/>
        <v>0</v>
      </c>
      <c r="G60" s="1111" t="s">
        <v>989</v>
      </c>
      <c r="H60" s="177">
        <f t="shared" si="4"/>
        <v>0</v>
      </c>
    </row>
    <row r="61" spans="1:8">
      <c r="A61" s="285"/>
      <c r="B61" s="781" t="s">
        <v>621</v>
      </c>
      <c r="C61" s="285" t="s">
        <v>160</v>
      </c>
      <c r="D61" s="294"/>
      <c r="E61" s="902"/>
      <c r="F61" s="290">
        <f t="shared" si="3"/>
        <v>0</v>
      </c>
      <c r="G61" s="1111" t="s">
        <v>989</v>
      </c>
      <c r="H61" s="177">
        <f t="shared" si="4"/>
        <v>0</v>
      </c>
    </row>
    <row r="62" spans="1:8">
      <c r="A62" s="285"/>
      <c r="B62" s="781" t="s">
        <v>622</v>
      </c>
      <c r="C62" s="285" t="s">
        <v>160</v>
      </c>
      <c r="D62" s="294"/>
      <c r="E62" s="902"/>
      <c r="F62" s="290">
        <f t="shared" si="3"/>
        <v>0</v>
      </c>
      <c r="G62" s="1111" t="s">
        <v>989</v>
      </c>
      <c r="H62" s="177">
        <f t="shared" si="4"/>
        <v>0</v>
      </c>
    </row>
    <row r="63" spans="1:8">
      <c r="A63" s="285"/>
      <c r="B63" s="781" t="s">
        <v>623</v>
      </c>
      <c r="C63" s="285" t="s">
        <v>160</v>
      </c>
      <c r="D63" s="294"/>
      <c r="E63" s="902"/>
      <c r="F63" s="290">
        <f t="shared" si="3"/>
        <v>0</v>
      </c>
      <c r="G63" s="1111" t="s">
        <v>989</v>
      </c>
      <c r="H63" s="177">
        <f t="shared" si="4"/>
        <v>0</v>
      </c>
    </row>
    <row r="64" spans="1:8">
      <c r="A64" s="285"/>
      <c r="B64" s="781" t="s">
        <v>624</v>
      </c>
      <c r="C64" s="285" t="s">
        <v>160</v>
      </c>
      <c r="D64" s="294"/>
      <c r="E64" s="902"/>
      <c r="F64" s="290">
        <f t="shared" si="3"/>
        <v>0</v>
      </c>
      <c r="G64" s="1111" t="s">
        <v>989</v>
      </c>
      <c r="H64" s="177">
        <f t="shared" si="4"/>
        <v>0</v>
      </c>
    </row>
    <row r="65" spans="1:8">
      <c r="A65" s="285"/>
      <c r="B65" s="781" t="s">
        <v>625</v>
      </c>
      <c r="C65" s="285" t="s">
        <v>160</v>
      </c>
      <c r="D65" s="294"/>
      <c r="E65" s="902"/>
      <c r="F65" s="290">
        <f t="shared" si="3"/>
        <v>0</v>
      </c>
      <c r="G65" s="1111" t="s">
        <v>989</v>
      </c>
      <c r="H65" s="177">
        <f t="shared" si="4"/>
        <v>0</v>
      </c>
    </row>
    <row r="66" spans="1:8">
      <c r="A66" s="285"/>
      <c r="B66" s="781" t="s">
        <v>626</v>
      </c>
      <c r="C66" s="285" t="s">
        <v>160</v>
      </c>
      <c r="D66" s="294"/>
      <c r="E66" s="902"/>
      <c r="F66" s="290">
        <f t="shared" si="3"/>
        <v>0</v>
      </c>
      <c r="G66" s="1111" t="s">
        <v>989</v>
      </c>
      <c r="H66" s="177">
        <f t="shared" si="4"/>
        <v>0</v>
      </c>
    </row>
    <row r="67" spans="1:8">
      <c r="A67" s="285"/>
      <c r="B67" s="781" t="s">
        <v>627</v>
      </c>
      <c r="C67" s="285" t="s">
        <v>160</v>
      </c>
      <c r="D67" s="294"/>
      <c r="E67" s="902"/>
      <c r="F67" s="290">
        <f t="shared" si="3"/>
        <v>0</v>
      </c>
      <c r="G67" s="1111" t="s">
        <v>989</v>
      </c>
      <c r="H67" s="177">
        <f t="shared" si="4"/>
        <v>0</v>
      </c>
    </row>
    <row r="68" spans="1:8">
      <c r="A68" s="285"/>
      <c r="B68" s="781" t="s">
        <v>628</v>
      </c>
      <c r="C68" s="285" t="s">
        <v>160</v>
      </c>
      <c r="D68" s="294"/>
      <c r="E68" s="902"/>
      <c r="F68" s="290">
        <f t="shared" si="3"/>
        <v>0</v>
      </c>
      <c r="G68" s="1111" t="s">
        <v>989</v>
      </c>
      <c r="H68" s="177">
        <f t="shared" si="4"/>
        <v>0</v>
      </c>
    </row>
    <row r="69" spans="1:8">
      <c r="A69" s="285"/>
      <c r="B69" s="781" t="s">
        <v>629</v>
      </c>
      <c r="C69" s="285" t="s">
        <v>160</v>
      </c>
      <c r="D69" s="294"/>
      <c r="E69" s="902"/>
      <c r="F69" s="290">
        <f t="shared" si="3"/>
        <v>0</v>
      </c>
      <c r="G69" s="1111" t="s">
        <v>989</v>
      </c>
      <c r="H69" s="177">
        <f t="shared" si="4"/>
        <v>0</v>
      </c>
    </row>
    <row r="70" spans="1:8">
      <c r="A70" s="285"/>
      <c r="B70" s="781" t="s">
        <v>630</v>
      </c>
      <c r="C70" s="285" t="s">
        <v>160</v>
      </c>
      <c r="D70" s="294"/>
      <c r="E70" s="902"/>
      <c r="F70" s="290">
        <f t="shared" si="3"/>
        <v>0</v>
      </c>
      <c r="G70" s="1111" t="s">
        <v>989</v>
      </c>
      <c r="H70" s="177">
        <f t="shared" si="4"/>
        <v>0</v>
      </c>
    </row>
    <row r="71" spans="1:8">
      <c r="A71" s="285"/>
      <c r="B71" s="781" t="s">
        <v>631</v>
      </c>
      <c r="C71" s="285" t="s">
        <v>160</v>
      </c>
      <c r="D71" s="294"/>
      <c r="E71" s="902"/>
      <c r="F71" s="290">
        <f t="shared" si="3"/>
        <v>0</v>
      </c>
      <c r="G71" s="1111" t="s">
        <v>989</v>
      </c>
      <c r="H71" s="177">
        <f t="shared" si="4"/>
        <v>0</v>
      </c>
    </row>
    <row r="72" spans="1:8">
      <c r="A72" s="285"/>
      <c r="B72" s="781" t="s">
        <v>632</v>
      </c>
      <c r="C72" s="285" t="s">
        <v>160</v>
      </c>
      <c r="D72" s="294"/>
      <c r="E72" s="902"/>
      <c r="F72" s="290">
        <f t="shared" si="3"/>
        <v>0</v>
      </c>
      <c r="G72" s="1111" t="s">
        <v>989</v>
      </c>
      <c r="H72" s="177">
        <f t="shared" si="4"/>
        <v>0</v>
      </c>
    </row>
    <row r="73" spans="1:8">
      <c r="A73" s="285"/>
      <c r="B73" s="781" t="s">
        <v>633</v>
      </c>
      <c r="C73" s="285" t="s">
        <v>160</v>
      </c>
      <c r="D73" s="294"/>
      <c r="E73" s="902"/>
      <c r="F73" s="290">
        <f t="shared" si="3"/>
        <v>0</v>
      </c>
      <c r="G73" s="1111" t="s">
        <v>989</v>
      </c>
      <c r="H73" s="177">
        <f t="shared" si="4"/>
        <v>0</v>
      </c>
    </row>
    <row r="74" spans="1:8">
      <c r="A74" s="285"/>
      <c r="B74" s="781" t="s">
        <v>634</v>
      </c>
      <c r="C74" s="285" t="s">
        <v>160</v>
      </c>
      <c r="D74" s="294"/>
      <c r="E74" s="902"/>
      <c r="F74" s="290">
        <f t="shared" si="3"/>
        <v>0</v>
      </c>
      <c r="G74" s="1111" t="s">
        <v>989</v>
      </c>
      <c r="H74" s="177">
        <f t="shared" si="4"/>
        <v>0</v>
      </c>
    </row>
    <row r="75" spans="1:8">
      <c r="A75" s="285"/>
      <c r="B75" s="781" t="s">
        <v>635</v>
      </c>
      <c r="C75" s="285" t="s">
        <v>160</v>
      </c>
      <c r="D75" s="294"/>
      <c r="E75" s="902"/>
      <c r="F75" s="290">
        <f t="shared" si="3"/>
        <v>0</v>
      </c>
      <c r="G75" s="1111" t="s">
        <v>989</v>
      </c>
      <c r="H75" s="177">
        <f t="shared" si="4"/>
        <v>0</v>
      </c>
    </row>
    <row r="76" spans="1:8">
      <c r="A76" s="285"/>
      <c r="B76" s="781" t="s">
        <v>636</v>
      </c>
      <c r="C76" s="285" t="s">
        <v>160</v>
      </c>
      <c r="D76" s="294"/>
      <c r="E76" s="902"/>
      <c r="F76" s="290">
        <f t="shared" si="3"/>
        <v>0</v>
      </c>
      <c r="G76" s="1111" t="s">
        <v>989</v>
      </c>
      <c r="H76" s="177">
        <f t="shared" si="4"/>
        <v>0</v>
      </c>
    </row>
    <row r="77" spans="1:8">
      <c r="A77" s="285"/>
      <c r="B77" s="781" t="s">
        <v>637</v>
      </c>
      <c r="C77" s="285" t="s">
        <v>160</v>
      </c>
      <c r="D77" s="294"/>
      <c r="E77" s="902"/>
      <c r="F77" s="290">
        <f t="shared" si="3"/>
        <v>0</v>
      </c>
      <c r="G77" s="1111" t="s">
        <v>989</v>
      </c>
      <c r="H77" s="177">
        <f t="shared" si="4"/>
        <v>0</v>
      </c>
    </row>
    <row r="78" spans="1:8">
      <c r="A78" s="285"/>
      <c r="B78" s="781" t="s">
        <v>638</v>
      </c>
      <c r="C78" s="285" t="s">
        <v>160</v>
      </c>
      <c r="D78" s="294"/>
      <c r="E78" s="902"/>
      <c r="F78" s="290">
        <f t="shared" si="3"/>
        <v>0</v>
      </c>
      <c r="G78" s="1111" t="s">
        <v>989</v>
      </c>
      <c r="H78" s="177">
        <f t="shared" si="4"/>
        <v>0</v>
      </c>
    </row>
    <row r="79" spans="1:8">
      <c r="A79" s="285"/>
      <c r="B79" s="781" t="s">
        <v>639</v>
      </c>
      <c r="C79" s="285" t="s">
        <v>160</v>
      </c>
      <c r="D79" s="294"/>
      <c r="E79" s="902"/>
      <c r="F79" s="290">
        <f t="shared" si="3"/>
        <v>0</v>
      </c>
      <c r="G79" s="1111" t="s">
        <v>989</v>
      </c>
      <c r="H79" s="177">
        <f t="shared" si="4"/>
        <v>0</v>
      </c>
    </row>
    <row r="80" spans="1:8">
      <c r="A80" s="285"/>
      <c r="B80" s="781" t="s">
        <v>640</v>
      </c>
      <c r="C80" s="285" t="s">
        <v>160</v>
      </c>
      <c r="D80" s="294"/>
      <c r="E80" s="902"/>
      <c r="F80" s="290">
        <f t="shared" si="3"/>
        <v>0</v>
      </c>
      <c r="G80" s="1111" t="s">
        <v>989</v>
      </c>
      <c r="H80" s="177">
        <f t="shared" si="4"/>
        <v>0</v>
      </c>
    </row>
    <row r="81" spans="1:8">
      <c r="A81" s="285"/>
      <c r="B81" s="781" t="s">
        <v>641</v>
      </c>
      <c r="C81" s="285" t="s">
        <v>160</v>
      </c>
      <c r="D81" s="294"/>
      <c r="E81" s="902"/>
      <c r="F81" s="290">
        <f t="shared" si="3"/>
        <v>0</v>
      </c>
      <c r="G81" s="1111" t="s">
        <v>989</v>
      </c>
      <c r="H81" s="177">
        <f t="shared" si="4"/>
        <v>0</v>
      </c>
    </row>
    <row r="82" spans="1:8">
      <c r="A82" s="285"/>
      <c r="B82" s="781" t="s">
        <v>642</v>
      </c>
      <c r="C82" s="285" t="s">
        <v>160</v>
      </c>
      <c r="D82" s="294"/>
      <c r="E82" s="902"/>
      <c r="F82" s="290">
        <f t="shared" si="3"/>
        <v>0</v>
      </c>
      <c r="G82" s="1111" t="s">
        <v>989</v>
      </c>
      <c r="H82" s="177">
        <f t="shared" si="4"/>
        <v>0</v>
      </c>
    </row>
    <row r="83" spans="1:8">
      <c r="A83" s="285"/>
      <c r="B83" s="781" t="s">
        <v>643</v>
      </c>
      <c r="C83" s="285" t="s">
        <v>160</v>
      </c>
      <c r="D83" s="294"/>
      <c r="E83" s="902"/>
      <c r="F83" s="290">
        <f t="shared" si="3"/>
        <v>0</v>
      </c>
      <c r="G83" s="1111" t="s">
        <v>989</v>
      </c>
      <c r="H83" s="177">
        <f t="shared" si="4"/>
        <v>0</v>
      </c>
    </row>
    <row r="84" spans="1:8">
      <c r="A84" s="285"/>
      <c r="B84" s="781" t="s">
        <v>644</v>
      </c>
      <c r="C84" s="285" t="s">
        <v>160</v>
      </c>
      <c r="D84" s="294"/>
      <c r="E84" s="902"/>
      <c r="F84" s="290">
        <f t="shared" si="3"/>
        <v>0</v>
      </c>
      <c r="G84" s="1111" t="s">
        <v>989</v>
      </c>
      <c r="H84" s="177">
        <f t="shared" si="4"/>
        <v>0</v>
      </c>
    </row>
    <row r="85" spans="1:8" ht="28.8">
      <c r="A85" s="285"/>
      <c r="B85" s="781" t="s">
        <v>578</v>
      </c>
      <c r="C85" s="285" t="s">
        <v>113</v>
      </c>
      <c r="D85" s="285" t="s">
        <v>114</v>
      </c>
      <c r="E85" s="285" t="s">
        <v>115</v>
      </c>
      <c r="F85" s="893"/>
      <c r="G85" s="1111" t="s">
        <v>989</v>
      </c>
      <c r="H85" s="177">
        <f t="shared" si="4"/>
        <v>0</v>
      </c>
    </row>
    <row r="86" spans="1:8">
      <c r="A86" s="285"/>
      <c r="B86" s="285" t="s">
        <v>911</v>
      </c>
      <c r="C86" s="285" t="s">
        <v>126</v>
      </c>
      <c r="D86" s="302">
        <f>F85</f>
        <v>0</v>
      </c>
      <c r="E86" s="903"/>
      <c r="F86" s="290">
        <f>D86*E86</f>
        <v>0</v>
      </c>
      <c r="G86" s="1111" t="s">
        <v>989</v>
      </c>
      <c r="H86" s="177">
        <f t="shared" si="4"/>
        <v>0</v>
      </c>
    </row>
    <row r="87" spans="1:8">
      <c r="A87" s="285"/>
      <c r="B87" s="291" t="s">
        <v>199</v>
      </c>
      <c r="C87" s="292"/>
      <c r="D87" s="292"/>
      <c r="E87" s="293"/>
      <c r="F87" s="290">
        <f>SUM(F24:F86)</f>
        <v>8950000</v>
      </c>
      <c r="G87" s="177"/>
      <c r="H87" s="177"/>
    </row>
    <row r="88" spans="1:8">
      <c r="A88" s="284">
        <v>3.4</v>
      </c>
      <c r="B88" s="284" t="s">
        <v>127</v>
      </c>
      <c r="C88" s="285"/>
      <c r="D88" s="285"/>
      <c r="E88" s="286"/>
      <c r="F88" s="285"/>
      <c r="G88" s="177"/>
      <c r="H88" s="177"/>
    </row>
    <row r="89" spans="1:8" ht="30.75" customHeight="1">
      <c r="A89" s="286"/>
      <c r="B89" s="1671" t="s">
        <v>128</v>
      </c>
      <c r="C89" s="1671"/>
      <c r="D89" s="295"/>
      <c r="E89" s="295"/>
      <c r="F89" s="296"/>
      <c r="G89" s="177"/>
      <c r="H89" s="177"/>
    </row>
    <row r="90" spans="1:8">
      <c r="A90" s="297" t="s">
        <v>237</v>
      </c>
      <c r="B90" s="298" t="s">
        <v>129</v>
      </c>
      <c r="C90" s="299"/>
      <c r="D90" s="299"/>
      <c r="E90" s="300"/>
      <c r="F90" s="299"/>
      <c r="G90" s="177"/>
      <c r="H90" s="177"/>
    </row>
    <row r="91" spans="1:8">
      <c r="A91" s="285"/>
      <c r="B91" s="1067" t="s">
        <v>130</v>
      </c>
      <c r="C91" s="1067"/>
      <c r="D91" s="1067"/>
      <c r="E91" s="1068"/>
      <c r="F91" s="1067"/>
      <c r="G91" s="177"/>
      <c r="H91" s="177"/>
    </row>
    <row r="92" spans="1:8">
      <c r="A92" s="285"/>
      <c r="B92" s="1069" t="s">
        <v>131</v>
      </c>
      <c r="C92" s="1067" t="s">
        <v>101</v>
      </c>
      <c r="D92" s="1067" t="s">
        <v>102</v>
      </c>
      <c r="E92" s="1068" t="s">
        <v>103</v>
      </c>
      <c r="F92" s="1070">
        <f>'SUMMARY TENDERED FEE'!E17</f>
        <v>0</v>
      </c>
      <c r="G92" s="177"/>
      <c r="H92" s="177"/>
    </row>
    <row r="93" spans="1:8">
      <c r="A93" s="285"/>
      <c r="B93" s="1071" t="s">
        <v>132</v>
      </c>
      <c r="C93" s="1067" t="s">
        <v>101</v>
      </c>
      <c r="D93" s="1067" t="s">
        <v>102</v>
      </c>
      <c r="E93" s="1068" t="s">
        <v>103</v>
      </c>
      <c r="F93" s="1070">
        <v>0</v>
      </c>
      <c r="G93" s="177"/>
      <c r="H93" s="177"/>
    </row>
    <row r="94" spans="1:8">
      <c r="A94" s="285"/>
      <c r="B94" s="1067" t="s">
        <v>133</v>
      </c>
      <c r="C94" s="1067"/>
      <c r="D94" s="1067"/>
      <c r="E94" s="1068"/>
      <c r="F94" s="1067"/>
      <c r="G94" s="177"/>
      <c r="H94" s="177"/>
    </row>
    <row r="95" spans="1:8">
      <c r="A95" s="285"/>
      <c r="B95" s="1069" t="s">
        <v>131</v>
      </c>
      <c r="C95" s="1067" t="s">
        <v>101</v>
      </c>
      <c r="D95" s="1067" t="s">
        <v>102</v>
      </c>
      <c r="E95" s="1068" t="s">
        <v>103</v>
      </c>
      <c r="F95" s="1070">
        <f>'SUMMARY TENDERED FEE'!E18</f>
        <v>0</v>
      </c>
      <c r="G95" s="177"/>
      <c r="H95" s="177"/>
    </row>
    <row r="96" spans="1:8">
      <c r="A96" s="285"/>
      <c r="B96" s="1071" t="s">
        <v>132</v>
      </c>
      <c r="C96" s="1067" t="s">
        <v>101</v>
      </c>
      <c r="D96" s="1067" t="s">
        <v>102</v>
      </c>
      <c r="E96" s="1068" t="s">
        <v>103</v>
      </c>
      <c r="F96" s="1070">
        <v>0</v>
      </c>
      <c r="G96" s="177"/>
      <c r="H96" s="177"/>
    </row>
    <row r="97" spans="1:10">
      <c r="A97" s="285"/>
      <c r="B97" s="1067" t="s">
        <v>134</v>
      </c>
      <c r="C97" s="1067"/>
      <c r="D97" s="1067"/>
      <c r="E97" s="1068"/>
      <c r="F97" s="1067"/>
      <c r="G97" s="177"/>
      <c r="H97" s="177"/>
    </row>
    <row r="98" spans="1:10">
      <c r="A98" s="285"/>
      <c r="B98" s="1069" t="s">
        <v>131</v>
      </c>
      <c r="C98" s="1067" t="s">
        <v>101</v>
      </c>
      <c r="D98" s="1067" t="s">
        <v>102</v>
      </c>
      <c r="E98" s="1068" t="s">
        <v>103</v>
      </c>
      <c r="F98" s="1070">
        <f>'SUMMARY TENDERED FEE'!E19</f>
        <v>0</v>
      </c>
      <c r="G98" s="177"/>
      <c r="H98" s="177"/>
    </row>
    <row r="99" spans="1:10">
      <c r="A99" s="285"/>
      <c r="B99" s="1071" t="s">
        <v>132</v>
      </c>
      <c r="C99" s="1067" t="s">
        <v>101</v>
      </c>
      <c r="D99" s="1067" t="s">
        <v>102</v>
      </c>
      <c r="E99" s="1068" t="s">
        <v>103</v>
      </c>
      <c r="F99" s="1070">
        <v>0</v>
      </c>
      <c r="G99" s="177"/>
      <c r="H99" s="177"/>
      <c r="J99" s="140"/>
    </row>
    <row r="100" spans="1:10">
      <c r="A100" s="285"/>
      <c r="B100" s="1067" t="s">
        <v>135</v>
      </c>
      <c r="C100" s="1067"/>
      <c r="D100" s="1067"/>
      <c r="E100" s="1068"/>
      <c r="F100" s="1067"/>
      <c r="G100" s="177"/>
      <c r="H100" s="177"/>
      <c r="J100" s="140"/>
    </row>
    <row r="101" spans="1:10">
      <c r="A101" s="285"/>
      <c r="B101" s="1069" t="s">
        <v>131</v>
      </c>
      <c r="C101" s="1067" t="s">
        <v>101</v>
      </c>
      <c r="D101" s="1067" t="s">
        <v>102</v>
      </c>
      <c r="E101" s="1068" t="s">
        <v>103</v>
      </c>
      <c r="F101" s="1070">
        <f>'SUMMARY TENDERED FEE'!E20</f>
        <v>0</v>
      </c>
      <c r="G101" s="177"/>
      <c r="H101" s="177"/>
      <c r="J101" s="140"/>
    </row>
    <row r="102" spans="1:10">
      <c r="A102" s="285"/>
      <c r="B102" s="1071" t="s">
        <v>132</v>
      </c>
      <c r="C102" s="1067" t="s">
        <v>101</v>
      </c>
      <c r="D102" s="1067" t="s">
        <v>102</v>
      </c>
      <c r="E102" s="1068" t="s">
        <v>103</v>
      </c>
      <c r="F102" s="1070">
        <v>0</v>
      </c>
      <c r="G102" s="177"/>
      <c r="H102" s="177"/>
      <c r="J102" s="140"/>
    </row>
    <row r="103" spans="1:10">
      <c r="A103" s="285"/>
      <c r="B103" s="1067" t="s">
        <v>136</v>
      </c>
      <c r="C103" s="1067"/>
      <c r="D103" s="1067"/>
      <c r="E103" s="1068"/>
      <c r="F103" s="1067"/>
      <c r="G103" s="177"/>
      <c r="H103" s="177"/>
      <c r="J103" s="140"/>
    </row>
    <row r="104" spans="1:10">
      <c r="A104" s="285"/>
      <c r="B104" s="1069" t="s">
        <v>131</v>
      </c>
      <c r="C104" s="1067" t="s">
        <v>101</v>
      </c>
      <c r="D104" s="1067" t="s">
        <v>102</v>
      </c>
      <c r="E104" s="1068" t="s">
        <v>103</v>
      </c>
      <c r="F104" s="1070">
        <f>'SUMMARY TENDERED FEE'!E21</f>
        <v>0</v>
      </c>
      <c r="G104" s="177"/>
      <c r="H104" s="177"/>
    </row>
    <row r="105" spans="1:10">
      <c r="A105" s="285"/>
      <c r="B105" s="1071" t="s">
        <v>132</v>
      </c>
      <c r="C105" s="1067" t="s">
        <v>101</v>
      </c>
      <c r="D105" s="1067" t="s">
        <v>102</v>
      </c>
      <c r="E105" s="1068" t="s">
        <v>103</v>
      </c>
      <c r="F105" s="1070">
        <v>0</v>
      </c>
      <c r="G105" s="177"/>
      <c r="H105" s="177"/>
    </row>
    <row r="106" spans="1:10">
      <c r="A106" s="285"/>
      <c r="B106" s="1067" t="s">
        <v>137</v>
      </c>
      <c r="C106" s="1067"/>
      <c r="D106" s="1067"/>
      <c r="E106" s="1068"/>
      <c r="F106" s="1067"/>
      <c r="G106" s="177"/>
      <c r="H106" s="177"/>
    </row>
    <row r="107" spans="1:10">
      <c r="A107" s="285"/>
      <c r="B107" s="1069" t="s">
        <v>131</v>
      </c>
      <c r="C107" s="1067" t="s">
        <v>101</v>
      </c>
      <c r="D107" s="1067" t="s">
        <v>102</v>
      </c>
      <c r="E107" s="1068" t="s">
        <v>103</v>
      </c>
      <c r="F107" s="1070">
        <f>'SUMMARY TENDERED FEE'!E22</f>
        <v>0</v>
      </c>
      <c r="G107" s="177"/>
      <c r="H107" s="177"/>
    </row>
    <row r="108" spans="1:10">
      <c r="A108" s="285"/>
      <c r="B108" s="1071" t="s">
        <v>132</v>
      </c>
      <c r="C108" s="1067" t="s">
        <v>101</v>
      </c>
      <c r="D108" s="1067" t="s">
        <v>102</v>
      </c>
      <c r="E108" s="1068" t="s">
        <v>103</v>
      </c>
      <c r="F108" s="1070">
        <v>0</v>
      </c>
      <c r="G108" s="177"/>
      <c r="H108" s="177"/>
    </row>
    <row r="109" spans="1:10">
      <c r="A109" s="285"/>
      <c r="B109" s="1067" t="s">
        <v>138</v>
      </c>
      <c r="C109" s="1067"/>
      <c r="D109" s="1067"/>
      <c r="E109" s="1068"/>
      <c r="F109" s="1067"/>
      <c r="G109" s="177"/>
      <c r="H109" s="177"/>
    </row>
    <row r="110" spans="1:10">
      <c r="A110" s="285"/>
      <c r="B110" s="1069" t="s">
        <v>131</v>
      </c>
      <c r="C110" s="1067" t="s">
        <v>101</v>
      </c>
      <c r="D110" s="1067" t="s">
        <v>102</v>
      </c>
      <c r="E110" s="1068" t="s">
        <v>103</v>
      </c>
      <c r="F110" s="1070">
        <f>'SUMMARY TENDERED FEE'!E23</f>
        <v>0</v>
      </c>
      <c r="G110" s="177"/>
      <c r="H110" s="177"/>
    </row>
    <row r="111" spans="1:10">
      <c r="A111" s="285"/>
      <c r="B111" s="1071" t="s">
        <v>139</v>
      </c>
      <c r="C111" s="1067" t="s">
        <v>101</v>
      </c>
      <c r="D111" s="1067" t="s">
        <v>102</v>
      </c>
      <c r="E111" s="1068" t="s">
        <v>103</v>
      </c>
      <c r="F111" s="1070">
        <v>0</v>
      </c>
      <c r="G111" s="177"/>
      <c r="H111" s="177"/>
    </row>
    <row r="112" spans="1:10">
      <c r="A112" s="297" t="s">
        <v>238</v>
      </c>
      <c r="B112" s="298" t="s">
        <v>140</v>
      </c>
      <c r="C112" s="299"/>
      <c r="D112" s="299"/>
      <c r="E112" s="300"/>
      <c r="F112" s="299"/>
      <c r="G112" s="177"/>
      <c r="H112" s="177"/>
    </row>
    <row r="113" spans="1:9">
      <c r="A113" s="285"/>
      <c r="B113" s="285" t="s">
        <v>130</v>
      </c>
      <c r="C113" s="285"/>
      <c r="D113" s="285"/>
      <c r="E113" s="286"/>
      <c r="F113" s="285"/>
      <c r="G113" s="177"/>
      <c r="H113" s="177"/>
      <c r="I113" s="140"/>
    </row>
    <row r="114" spans="1:9">
      <c r="A114" s="285"/>
      <c r="B114" s="301" t="s">
        <v>131</v>
      </c>
      <c r="C114" s="285" t="s">
        <v>101</v>
      </c>
      <c r="D114" s="285" t="s">
        <v>102</v>
      </c>
      <c r="E114" s="286" t="s">
        <v>103</v>
      </c>
      <c r="F114" s="302">
        <f>'SUMMARY TENDERED FEE'!F17</f>
        <v>0</v>
      </c>
      <c r="G114" s="177"/>
      <c r="H114" s="177"/>
      <c r="I114" s="140"/>
    </row>
    <row r="115" spans="1:9">
      <c r="A115" s="285"/>
      <c r="B115" s="303" t="s">
        <v>132</v>
      </c>
      <c r="C115" s="285" t="s">
        <v>101</v>
      </c>
      <c r="D115" s="285" t="s">
        <v>102</v>
      </c>
      <c r="E115" s="286" t="s">
        <v>103</v>
      </c>
      <c r="F115" s="302">
        <v>0</v>
      </c>
      <c r="G115" s="177"/>
      <c r="H115" s="177"/>
      <c r="I115" s="140"/>
    </row>
    <row r="116" spans="1:9">
      <c r="A116" s="1067"/>
      <c r="B116" s="1067" t="s">
        <v>133</v>
      </c>
      <c r="C116" s="1067"/>
      <c r="D116" s="1067"/>
      <c r="E116" s="1068"/>
      <c r="F116" s="1067"/>
      <c r="G116" s="177"/>
      <c r="H116" s="177"/>
      <c r="I116" s="140"/>
    </row>
    <row r="117" spans="1:9">
      <c r="A117" s="1067"/>
      <c r="B117" s="1069" t="s">
        <v>131</v>
      </c>
      <c r="C117" s="1067" t="s">
        <v>101</v>
      </c>
      <c r="D117" s="1067" t="s">
        <v>102</v>
      </c>
      <c r="E117" s="1068" t="s">
        <v>103</v>
      </c>
      <c r="F117" s="1070">
        <f>'SUMMARY TENDERED FEE'!F18</f>
        <v>0</v>
      </c>
      <c r="G117" s="177"/>
      <c r="H117" s="177"/>
      <c r="I117" s="140"/>
    </row>
    <row r="118" spans="1:9">
      <c r="A118" s="285"/>
      <c r="B118" s="1071" t="s">
        <v>132</v>
      </c>
      <c r="C118" s="1067" t="s">
        <v>101</v>
      </c>
      <c r="D118" s="1067" t="s">
        <v>102</v>
      </c>
      <c r="E118" s="1068" t="s">
        <v>103</v>
      </c>
      <c r="F118" s="1070">
        <v>0</v>
      </c>
      <c r="G118" s="177"/>
      <c r="H118" s="177"/>
    </row>
    <row r="119" spans="1:9">
      <c r="A119" s="285"/>
      <c r="B119" s="1067" t="s">
        <v>134</v>
      </c>
      <c r="C119" s="1067"/>
      <c r="D119" s="1067"/>
      <c r="E119" s="1068"/>
      <c r="F119" s="1067"/>
      <c r="G119" s="177"/>
      <c r="H119" s="177"/>
    </row>
    <row r="120" spans="1:9">
      <c r="A120" s="285"/>
      <c r="B120" s="1069" t="s">
        <v>131</v>
      </c>
      <c r="C120" s="1067" t="s">
        <v>101</v>
      </c>
      <c r="D120" s="1067" t="s">
        <v>102</v>
      </c>
      <c r="E120" s="1068" t="s">
        <v>103</v>
      </c>
      <c r="F120" s="1070">
        <f>'SUMMARY TENDERED FEE'!F19</f>
        <v>0</v>
      </c>
      <c r="G120" s="177"/>
      <c r="H120" s="177"/>
      <c r="I120" s="140"/>
    </row>
    <row r="121" spans="1:9">
      <c r="A121" s="285"/>
      <c r="B121" s="1071" t="s">
        <v>132</v>
      </c>
      <c r="C121" s="1067" t="s">
        <v>101</v>
      </c>
      <c r="D121" s="1067" t="s">
        <v>102</v>
      </c>
      <c r="E121" s="1068" t="s">
        <v>103</v>
      </c>
      <c r="F121" s="1070">
        <v>0</v>
      </c>
      <c r="G121" s="177"/>
      <c r="H121" s="177"/>
    </row>
    <row r="122" spans="1:9">
      <c r="A122" s="285"/>
      <c r="B122" s="1067" t="s">
        <v>135</v>
      </c>
      <c r="C122" s="1067"/>
      <c r="D122" s="1067"/>
      <c r="E122" s="1068"/>
      <c r="F122" s="1067"/>
      <c r="G122" s="177"/>
      <c r="H122" s="177"/>
    </row>
    <row r="123" spans="1:9">
      <c r="A123" s="285"/>
      <c r="B123" s="1069" t="s">
        <v>131</v>
      </c>
      <c r="C123" s="1067" t="s">
        <v>101</v>
      </c>
      <c r="D123" s="1067" t="s">
        <v>102</v>
      </c>
      <c r="E123" s="1068" t="s">
        <v>103</v>
      </c>
      <c r="F123" s="1070">
        <f>'SUMMARY TENDERED FEE'!F20</f>
        <v>0</v>
      </c>
      <c r="G123" s="177"/>
      <c r="H123" s="177"/>
    </row>
    <row r="124" spans="1:9">
      <c r="A124" s="285"/>
      <c r="B124" s="1071" t="s">
        <v>132</v>
      </c>
      <c r="C124" s="1067" t="s">
        <v>101</v>
      </c>
      <c r="D124" s="1067" t="s">
        <v>102</v>
      </c>
      <c r="E124" s="1068" t="s">
        <v>103</v>
      </c>
      <c r="F124" s="1070">
        <v>0</v>
      </c>
      <c r="G124" s="177"/>
      <c r="H124" s="177"/>
    </row>
    <row r="125" spans="1:9">
      <c r="A125" s="285"/>
      <c r="B125" s="1067" t="s">
        <v>136</v>
      </c>
      <c r="C125" s="1067"/>
      <c r="D125" s="1067"/>
      <c r="E125" s="1068"/>
      <c r="F125" s="1067"/>
      <c r="G125" s="177"/>
      <c r="H125" s="177"/>
    </row>
    <row r="126" spans="1:9">
      <c r="A126" s="285"/>
      <c r="B126" s="1069" t="s">
        <v>131</v>
      </c>
      <c r="C126" s="1067" t="s">
        <v>101</v>
      </c>
      <c r="D126" s="1067" t="s">
        <v>102</v>
      </c>
      <c r="E126" s="1068" t="s">
        <v>103</v>
      </c>
      <c r="F126" s="1070">
        <f>'SUMMARY TENDERED FEE'!F21</f>
        <v>0</v>
      </c>
      <c r="G126" s="177"/>
      <c r="H126" s="177"/>
    </row>
    <row r="127" spans="1:9">
      <c r="A127" s="285"/>
      <c r="B127" s="1071" t="s">
        <v>132</v>
      </c>
      <c r="C127" s="1067" t="s">
        <v>101</v>
      </c>
      <c r="D127" s="1067" t="s">
        <v>102</v>
      </c>
      <c r="E127" s="1068" t="s">
        <v>103</v>
      </c>
      <c r="F127" s="1070">
        <v>0</v>
      </c>
      <c r="G127" s="177"/>
      <c r="H127" s="177"/>
    </row>
    <row r="128" spans="1:9">
      <c r="A128" s="285"/>
      <c r="B128" s="1067" t="s">
        <v>137</v>
      </c>
      <c r="C128" s="1067"/>
      <c r="D128" s="1067"/>
      <c r="E128" s="1068"/>
      <c r="F128" s="1067"/>
      <c r="G128" s="177"/>
      <c r="H128" s="177"/>
    </row>
    <row r="129" spans="1:9">
      <c r="A129" s="285"/>
      <c r="B129" s="1069" t="s">
        <v>131</v>
      </c>
      <c r="C129" s="1067" t="s">
        <v>101</v>
      </c>
      <c r="D129" s="1067" t="s">
        <v>102</v>
      </c>
      <c r="E129" s="1068" t="s">
        <v>103</v>
      </c>
      <c r="F129" s="1070">
        <f>'SUMMARY TENDERED FEE'!F22</f>
        <v>0</v>
      </c>
      <c r="G129" s="177"/>
      <c r="H129" s="177"/>
    </row>
    <row r="130" spans="1:9">
      <c r="A130" s="285"/>
      <c r="B130" s="1071" t="s">
        <v>132</v>
      </c>
      <c r="C130" s="1067" t="s">
        <v>101</v>
      </c>
      <c r="D130" s="1067" t="s">
        <v>102</v>
      </c>
      <c r="E130" s="1068" t="s">
        <v>103</v>
      </c>
      <c r="F130" s="1070">
        <v>0</v>
      </c>
      <c r="G130" s="177"/>
      <c r="H130" s="177"/>
    </row>
    <row r="131" spans="1:9">
      <c r="A131" s="285"/>
      <c r="B131" s="1067" t="s">
        <v>138</v>
      </c>
      <c r="C131" s="1067"/>
      <c r="D131" s="1067"/>
      <c r="E131" s="1068"/>
      <c r="F131" s="1067"/>
      <c r="G131" s="177"/>
      <c r="H131" s="177"/>
    </row>
    <row r="132" spans="1:9">
      <c r="A132" s="285"/>
      <c r="B132" s="1069" t="s">
        <v>131</v>
      </c>
      <c r="C132" s="1067" t="s">
        <v>101</v>
      </c>
      <c r="D132" s="1067" t="s">
        <v>102</v>
      </c>
      <c r="E132" s="1068" t="s">
        <v>103</v>
      </c>
      <c r="F132" s="1070">
        <f>'SUMMARY TENDERED FEE'!F23</f>
        <v>0</v>
      </c>
      <c r="G132" s="177"/>
      <c r="H132" s="177"/>
    </row>
    <row r="133" spans="1:9">
      <c r="A133" s="285"/>
      <c r="B133" s="1071" t="s">
        <v>139</v>
      </c>
      <c r="C133" s="1067" t="s">
        <v>101</v>
      </c>
      <c r="D133" s="1067" t="s">
        <v>102</v>
      </c>
      <c r="E133" s="1068" t="s">
        <v>103</v>
      </c>
      <c r="F133" s="1070">
        <v>0</v>
      </c>
      <c r="G133" s="177"/>
      <c r="H133" s="177"/>
    </row>
    <row r="134" spans="1:9">
      <c r="A134" s="297" t="s">
        <v>239</v>
      </c>
      <c r="B134" s="298" t="s">
        <v>141</v>
      </c>
      <c r="C134" s="299"/>
      <c r="D134" s="299"/>
      <c r="E134" s="300"/>
      <c r="F134" s="299"/>
      <c r="G134" s="177"/>
      <c r="H134" s="177"/>
    </row>
    <row r="135" spans="1:9">
      <c r="A135" s="285"/>
      <c r="B135" s="285" t="s">
        <v>130</v>
      </c>
      <c r="C135" s="285"/>
      <c r="D135" s="285"/>
      <c r="E135" s="286"/>
      <c r="F135" s="285"/>
      <c r="G135" s="177"/>
      <c r="H135" s="177"/>
    </row>
    <row r="136" spans="1:9">
      <c r="A136" s="285"/>
      <c r="B136" s="301" t="s">
        <v>131</v>
      </c>
      <c r="C136" s="285" t="s">
        <v>101</v>
      </c>
      <c r="D136" s="285" t="s">
        <v>102</v>
      </c>
      <c r="E136" s="286" t="s">
        <v>103</v>
      </c>
      <c r="F136" s="302">
        <f>'SUMMARY TENDERED FEE'!G17</f>
        <v>0</v>
      </c>
      <c r="G136" s="177"/>
      <c r="H136" s="177"/>
    </row>
    <row r="137" spans="1:9">
      <c r="A137" s="285"/>
      <c r="B137" s="303" t="s">
        <v>132</v>
      </c>
      <c r="C137" s="285" t="s">
        <v>101</v>
      </c>
      <c r="D137" s="285" t="s">
        <v>102</v>
      </c>
      <c r="E137" s="286" t="s">
        <v>103</v>
      </c>
      <c r="F137" s="302">
        <v>0</v>
      </c>
      <c r="G137" s="177"/>
      <c r="H137" s="177"/>
    </row>
    <row r="138" spans="1:9">
      <c r="A138" s="1067"/>
      <c r="B138" s="1067" t="s">
        <v>133</v>
      </c>
      <c r="C138" s="1067"/>
      <c r="D138" s="1067"/>
      <c r="E138" s="1068"/>
      <c r="F138" s="1067"/>
      <c r="G138" s="177"/>
      <c r="H138" s="177"/>
    </row>
    <row r="139" spans="1:9">
      <c r="A139" s="1067"/>
      <c r="B139" s="1069" t="s">
        <v>131</v>
      </c>
      <c r="C139" s="1067" t="s">
        <v>101</v>
      </c>
      <c r="D139" s="1067" t="s">
        <v>102</v>
      </c>
      <c r="E139" s="1068" t="s">
        <v>103</v>
      </c>
      <c r="F139" s="1070">
        <f>'SUMMARY TENDERED FEE'!G18</f>
        <v>0</v>
      </c>
      <c r="G139" s="177"/>
      <c r="H139" s="177"/>
    </row>
    <row r="140" spans="1:9">
      <c r="A140" s="1067"/>
      <c r="B140" s="1071" t="s">
        <v>132</v>
      </c>
      <c r="C140" s="1067" t="s">
        <v>101</v>
      </c>
      <c r="D140" s="1067" t="s">
        <v>102</v>
      </c>
      <c r="E140" s="1068" t="s">
        <v>103</v>
      </c>
      <c r="F140" s="1070">
        <v>0</v>
      </c>
      <c r="G140" s="177"/>
      <c r="H140" s="177"/>
    </row>
    <row r="141" spans="1:9">
      <c r="A141" s="285"/>
      <c r="B141" s="1067" t="s">
        <v>134</v>
      </c>
      <c r="C141" s="1067"/>
      <c r="D141" s="1067"/>
      <c r="E141" s="1068"/>
      <c r="F141" s="1067"/>
      <c r="G141" s="177"/>
      <c r="H141" s="177"/>
    </row>
    <row r="142" spans="1:9">
      <c r="A142" s="285"/>
      <c r="B142" s="1069" t="s">
        <v>131</v>
      </c>
      <c r="C142" s="1067" t="s">
        <v>101</v>
      </c>
      <c r="D142" s="1067" t="s">
        <v>102</v>
      </c>
      <c r="E142" s="1068" t="s">
        <v>103</v>
      </c>
      <c r="F142" s="1070">
        <f>'SUMMARY TENDERED FEE'!G19</f>
        <v>0</v>
      </c>
      <c r="G142" s="177"/>
      <c r="H142" s="177"/>
    </row>
    <row r="143" spans="1:9">
      <c r="A143" s="285"/>
      <c r="B143" s="1071" t="s">
        <v>132</v>
      </c>
      <c r="C143" s="1067" t="s">
        <v>101</v>
      </c>
      <c r="D143" s="1067" t="s">
        <v>102</v>
      </c>
      <c r="E143" s="1068" t="s">
        <v>103</v>
      </c>
      <c r="F143" s="1070">
        <v>0</v>
      </c>
      <c r="G143" s="177"/>
      <c r="H143" s="177"/>
      <c r="I143" s="140"/>
    </row>
    <row r="144" spans="1:9">
      <c r="A144" s="285"/>
      <c r="B144" s="1067" t="s">
        <v>135</v>
      </c>
      <c r="C144" s="1067"/>
      <c r="D144" s="1067"/>
      <c r="E144" s="1068"/>
      <c r="F144" s="1067"/>
      <c r="G144" s="177"/>
      <c r="H144" s="177"/>
    </row>
    <row r="145" spans="1:8">
      <c r="A145" s="285"/>
      <c r="B145" s="1069" t="s">
        <v>131</v>
      </c>
      <c r="C145" s="1067" t="s">
        <v>101</v>
      </c>
      <c r="D145" s="1067" t="s">
        <v>102</v>
      </c>
      <c r="E145" s="1068" t="s">
        <v>103</v>
      </c>
      <c r="F145" s="1070">
        <f>'SUMMARY TENDERED FEE'!G20</f>
        <v>0</v>
      </c>
      <c r="G145" s="177"/>
      <c r="H145" s="177"/>
    </row>
    <row r="146" spans="1:8">
      <c r="A146" s="285"/>
      <c r="B146" s="1071" t="s">
        <v>132</v>
      </c>
      <c r="C146" s="1067" t="s">
        <v>101</v>
      </c>
      <c r="D146" s="1067" t="s">
        <v>102</v>
      </c>
      <c r="E146" s="1068" t="s">
        <v>103</v>
      </c>
      <c r="F146" s="1070">
        <v>0</v>
      </c>
      <c r="G146" s="177"/>
      <c r="H146" s="177"/>
    </row>
    <row r="147" spans="1:8">
      <c r="A147" s="285"/>
      <c r="B147" s="1067" t="s">
        <v>136</v>
      </c>
      <c r="C147" s="1067"/>
      <c r="D147" s="1067"/>
      <c r="E147" s="1068"/>
      <c r="F147" s="1067"/>
      <c r="G147" s="177"/>
      <c r="H147" s="177"/>
    </row>
    <row r="148" spans="1:8">
      <c r="A148" s="285"/>
      <c r="B148" s="1069" t="s">
        <v>131</v>
      </c>
      <c r="C148" s="1067" t="s">
        <v>101</v>
      </c>
      <c r="D148" s="1067" t="s">
        <v>102</v>
      </c>
      <c r="E148" s="1068" t="s">
        <v>103</v>
      </c>
      <c r="F148" s="1070">
        <f>'SUMMARY TENDERED FEE'!G21</f>
        <v>0</v>
      </c>
      <c r="G148" s="177"/>
      <c r="H148" s="177"/>
    </row>
    <row r="149" spans="1:8">
      <c r="A149" s="285"/>
      <c r="B149" s="1071" t="s">
        <v>132</v>
      </c>
      <c r="C149" s="1067" t="s">
        <v>101</v>
      </c>
      <c r="D149" s="1067" t="s">
        <v>102</v>
      </c>
      <c r="E149" s="1068" t="s">
        <v>103</v>
      </c>
      <c r="F149" s="1070">
        <v>0</v>
      </c>
      <c r="G149" s="177"/>
      <c r="H149" s="177"/>
    </row>
    <row r="150" spans="1:8">
      <c r="A150" s="285"/>
      <c r="B150" s="1067" t="s">
        <v>137</v>
      </c>
      <c r="C150" s="1067"/>
      <c r="D150" s="1067"/>
      <c r="E150" s="1068"/>
      <c r="F150" s="1067"/>
      <c r="G150" s="177"/>
      <c r="H150" s="177"/>
    </row>
    <row r="151" spans="1:8">
      <c r="A151" s="285"/>
      <c r="B151" s="1069" t="s">
        <v>131</v>
      </c>
      <c r="C151" s="1067" t="s">
        <v>101</v>
      </c>
      <c r="D151" s="1067" t="s">
        <v>102</v>
      </c>
      <c r="E151" s="1068" t="s">
        <v>103</v>
      </c>
      <c r="F151" s="1070">
        <f>'SUMMARY TENDERED FEE'!G22</f>
        <v>0</v>
      </c>
      <c r="G151" s="177"/>
      <c r="H151" s="177"/>
    </row>
    <row r="152" spans="1:8">
      <c r="A152" s="285"/>
      <c r="B152" s="1071" t="s">
        <v>132</v>
      </c>
      <c r="C152" s="1067" t="s">
        <v>101</v>
      </c>
      <c r="D152" s="1067" t="s">
        <v>102</v>
      </c>
      <c r="E152" s="1068" t="s">
        <v>103</v>
      </c>
      <c r="F152" s="1070">
        <v>0</v>
      </c>
      <c r="G152" s="177"/>
      <c r="H152" s="177"/>
    </row>
    <row r="153" spans="1:8">
      <c r="A153" s="285"/>
      <c r="B153" s="1067" t="s">
        <v>138</v>
      </c>
      <c r="C153" s="1067"/>
      <c r="D153" s="1067"/>
      <c r="E153" s="1068"/>
      <c r="F153" s="1067"/>
      <c r="G153" s="177"/>
      <c r="H153" s="177"/>
    </row>
    <row r="154" spans="1:8">
      <c r="A154" s="285"/>
      <c r="B154" s="1069" t="s">
        <v>131</v>
      </c>
      <c r="C154" s="1067" t="s">
        <v>101</v>
      </c>
      <c r="D154" s="1067" t="s">
        <v>102</v>
      </c>
      <c r="E154" s="1068" t="s">
        <v>103</v>
      </c>
      <c r="F154" s="1070">
        <f>'SUMMARY TENDERED FEE'!G23</f>
        <v>0</v>
      </c>
      <c r="G154" s="177"/>
      <c r="H154" s="177"/>
    </row>
    <row r="155" spans="1:8">
      <c r="A155" s="285"/>
      <c r="B155" s="1071" t="s">
        <v>139</v>
      </c>
      <c r="C155" s="1067" t="s">
        <v>101</v>
      </c>
      <c r="D155" s="1067" t="s">
        <v>102</v>
      </c>
      <c r="E155" s="1068" t="s">
        <v>103</v>
      </c>
      <c r="F155" s="1070">
        <v>0</v>
      </c>
      <c r="G155" s="177"/>
      <c r="H155" s="177"/>
    </row>
    <row r="156" spans="1:8">
      <c r="A156" s="287" t="s">
        <v>240</v>
      </c>
      <c r="B156" s="285" t="s">
        <v>142</v>
      </c>
      <c r="C156" s="285"/>
      <c r="D156" s="285"/>
      <c r="E156" s="286"/>
      <c r="F156" s="285"/>
      <c r="G156" s="177"/>
      <c r="H156" s="177"/>
    </row>
    <row r="157" spans="1:8">
      <c r="A157" s="285"/>
      <c r="B157" s="285" t="s">
        <v>143</v>
      </c>
      <c r="C157" s="285" t="s">
        <v>101</v>
      </c>
      <c r="D157" s="285" t="s">
        <v>102</v>
      </c>
      <c r="E157" s="285" t="s">
        <v>103</v>
      </c>
      <c r="F157" s="902"/>
      <c r="G157" s="1111" t="s">
        <v>989</v>
      </c>
      <c r="H157" s="177">
        <f>IF(G157="n",0,999999999999999000000)</f>
        <v>0</v>
      </c>
    </row>
    <row r="158" spans="1:8">
      <c r="A158" s="285"/>
      <c r="B158" s="285" t="s">
        <v>144</v>
      </c>
      <c r="C158" s="285" t="s">
        <v>101</v>
      </c>
      <c r="D158" s="285" t="s">
        <v>102</v>
      </c>
      <c r="E158" s="285" t="s">
        <v>103</v>
      </c>
      <c r="F158" s="902"/>
      <c r="G158" s="1111" t="s">
        <v>826</v>
      </c>
      <c r="H158" s="177">
        <f>IF(G158="n",0,999999999999999000000)</f>
        <v>9.9999999999999895E+20</v>
      </c>
    </row>
    <row r="159" spans="1:8">
      <c r="A159" s="285"/>
      <c r="B159" s="285" t="s">
        <v>145</v>
      </c>
      <c r="C159" s="285" t="s">
        <v>101</v>
      </c>
      <c r="D159" s="285" t="s">
        <v>102</v>
      </c>
      <c r="E159" s="285" t="s">
        <v>103</v>
      </c>
      <c r="F159" s="902"/>
      <c r="G159" s="1111" t="s">
        <v>826</v>
      </c>
      <c r="H159" s="177">
        <f>IF(G159="n",0,999999999999999000000)</f>
        <v>9.9999999999999895E+20</v>
      </c>
    </row>
    <row r="160" spans="1:8">
      <c r="A160" s="287" t="s">
        <v>241</v>
      </c>
      <c r="B160" s="781" t="s">
        <v>912</v>
      </c>
      <c r="C160" s="285"/>
      <c r="D160" s="285"/>
      <c r="E160" s="286"/>
      <c r="F160" s="285"/>
      <c r="G160" s="177"/>
      <c r="H160" s="177"/>
    </row>
    <row r="161" spans="1:8" ht="30.75" customHeight="1">
      <c r="A161" s="287"/>
      <c r="B161" s="781" t="s">
        <v>913</v>
      </c>
      <c r="C161" s="285" t="s">
        <v>160</v>
      </c>
      <c r="D161" s="294">
        <v>10</v>
      </c>
      <c r="E161" s="902"/>
      <c r="F161" s="290">
        <f>D161*E161</f>
        <v>0</v>
      </c>
      <c r="G161" s="1111" t="s">
        <v>826</v>
      </c>
      <c r="H161" s="177">
        <f t="shared" ref="H161:H163" si="5">IF(G161="n",0,999999999999999000000)</f>
        <v>9.9999999999999895E+20</v>
      </c>
    </row>
    <row r="162" spans="1:8" ht="30.75" customHeight="1">
      <c r="A162" s="287"/>
      <c r="B162" s="781" t="s">
        <v>914</v>
      </c>
      <c r="C162" s="285" t="s">
        <v>160</v>
      </c>
      <c r="D162" s="294"/>
      <c r="E162" s="902"/>
      <c r="F162" s="290">
        <f>D162*E162</f>
        <v>0</v>
      </c>
      <c r="G162" s="1111" t="s">
        <v>992</v>
      </c>
      <c r="H162" s="177">
        <f t="shared" si="5"/>
        <v>0</v>
      </c>
    </row>
    <row r="163" spans="1:8" ht="30.75" customHeight="1">
      <c r="A163" s="287"/>
      <c r="B163" s="781" t="s">
        <v>915</v>
      </c>
      <c r="C163" s="285" t="s">
        <v>160</v>
      </c>
      <c r="D163" s="294"/>
      <c r="E163" s="902"/>
      <c r="F163" s="290">
        <f>D163*E163</f>
        <v>0</v>
      </c>
      <c r="G163" s="1111" t="s">
        <v>992</v>
      </c>
      <c r="H163" s="177">
        <f t="shared" si="5"/>
        <v>0</v>
      </c>
    </row>
    <row r="164" spans="1:8">
      <c r="A164" s="287" t="s">
        <v>242</v>
      </c>
      <c r="B164" s="285" t="s">
        <v>916</v>
      </c>
      <c r="C164" s="285"/>
      <c r="D164" s="285"/>
      <c r="E164" s="286"/>
      <c r="F164" s="290"/>
      <c r="G164" s="177"/>
      <c r="H164" s="177"/>
    </row>
    <row r="165" spans="1:8">
      <c r="A165" s="285"/>
      <c r="B165" s="285" t="s">
        <v>146</v>
      </c>
      <c r="C165" s="285" t="s">
        <v>113</v>
      </c>
      <c r="D165" s="285" t="s">
        <v>114</v>
      </c>
      <c r="E165" s="285" t="s">
        <v>115</v>
      </c>
      <c r="F165" s="893">
        <v>100000</v>
      </c>
      <c r="G165" s="1111" t="s">
        <v>826</v>
      </c>
      <c r="H165" s="177">
        <f>IF(G165="n",0,999999999999999000000)</f>
        <v>9.9999999999999895E+20</v>
      </c>
    </row>
    <row r="166" spans="1:8">
      <c r="A166" s="285"/>
      <c r="B166" s="285" t="s">
        <v>526</v>
      </c>
      <c r="C166" s="285" t="s">
        <v>147</v>
      </c>
      <c r="D166" s="285" t="s">
        <v>102</v>
      </c>
      <c r="E166" s="285" t="s">
        <v>103</v>
      </c>
      <c r="F166" s="902"/>
      <c r="G166" s="1111" t="s">
        <v>826</v>
      </c>
      <c r="H166" s="177">
        <f>IF(G166="n",0,999999999999999000000)</f>
        <v>9.9999999999999895E+20</v>
      </c>
    </row>
    <row r="167" spans="1:8">
      <c r="A167" s="287" t="s">
        <v>243</v>
      </c>
      <c r="B167" s="285" t="s">
        <v>917</v>
      </c>
      <c r="C167" s="285"/>
      <c r="D167" s="285"/>
      <c r="E167" s="286"/>
      <c r="F167" s="290"/>
      <c r="G167" s="177"/>
      <c r="H167" s="177"/>
    </row>
    <row r="168" spans="1:8">
      <c r="A168" s="285"/>
      <c r="B168" s="285" t="s">
        <v>148</v>
      </c>
      <c r="C168" s="285" t="s">
        <v>113</v>
      </c>
      <c r="D168" s="285" t="s">
        <v>114</v>
      </c>
      <c r="E168" s="285" t="s">
        <v>115</v>
      </c>
      <c r="F168" s="893">
        <v>100000</v>
      </c>
      <c r="G168" s="1111" t="s">
        <v>826</v>
      </c>
      <c r="H168" s="177">
        <f>IF(G168="n",0,999999999999999000000)</f>
        <v>9.9999999999999895E+20</v>
      </c>
    </row>
    <row r="169" spans="1:8">
      <c r="A169" s="285"/>
      <c r="B169" s="285" t="s">
        <v>527</v>
      </c>
      <c r="C169" s="285" t="s">
        <v>147</v>
      </c>
      <c r="D169" s="285" t="s">
        <v>102</v>
      </c>
      <c r="E169" s="285" t="s">
        <v>103</v>
      </c>
      <c r="F169" s="902"/>
      <c r="G169" s="1111" t="s">
        <v>826</v>
      </c>
      <c r="H169" s="177">
        <f>IF(G169="n",0,999999999999999000000)</f>
        <v>9.9999999999999895E+20</v>
      </c>
    </row>
    <row r="170" spans="1:8">
      <c r="A170" s="287" t="s">
        <v>244</v>
      </c>
      <c r="B170" s="285" t="s">
        <v>149</v>
      </c>
      <c r="C170" s="285" t="s">
        <v>101</v>
      </c>
      <c r="D170" s="285" t="s">
        <v>102</v>
      </c>
      <c r="E170" s="285" t="s">
        <v>103</v>
      </c>
      <c r="F170" s="902"/>
      <c r="G170" s="1111" t="s">
        <v>826</v>
      </c>
      <c r="H170" s="177">
        <f>IF(G170="n",0,999999999999999000000)</f>
        <v>9.9999999999999895E+20</v>
      </c>
    </row>
    <row r="171" spans="1:8">
      <c r="A171" s="287" t="s">
        <v>245</v>
      </c>
      <c r="B171" s="285" t="s">
        <v>150</v>
      </c>
      <c r="C171" s="285"/>
      <c r="D171" s="285"/>
      <c r="E171" s="286"/>
      <c r="F171" s="290"/>
      <c r="G171" s="177"/>
      <c r="H171" s="177"/>
    </row>
    <row r="172" spans="1:8">
      <c r="A172" s="287"/>
      <c r="B172" s="285" t="s">
        <v>922</v>
      </c>
      <c r="C172" s="285"/>
      <c r="D172" s="285"/>
      <c r="E172" s="286"/>
      <c r="F172" s="290"/>
      <c r="G172" s="177"/>
      <c r="H172" s="177"/>
    </row>
    <row r="173" spans="1:8">
      <c r="A173" s="287"/>
      <c r="B173" s="781" t="s">
        <v>918</v>
      </c>
      <c r="C173" s="285" t="s">
        <v>123</v>
      </c>
      <c r="D173" s="285" t="s">
        <v>124</v>
      </c>
      <c r="E173" s="285" t="s">
        <v>103</v>
      </c>
      <c r="F173" s="892">
        <v>250000</v>
      </c>
      <c r="G173" s="1111" t="s">
        <v>826</v>
      </c>
      <c r="H173" s="177">
        <f>IF(G173="n",0,999999999999999000000)</f>
        <v>9.9999999999999895E+20</v>
      </c>
    </row>
    <row r="174" spans="1:8">
      <c r="A174" s="287"/>
      <c r="B174" s="781" t="s">
        <v>919</v>
      </c>
      <c r="C174" s="285" t="s">
        <v>123</v>
      </c>
      <c r="D174" s="285" t="s">
        <v>124</v>
      </c>
      <c r="E174" s="285" t="s">
        <v>103</v>
      </c>
      <c r="F174" s="892">
        <v>250000</v>
      </c>
      <c r="G174" s="1111" t="s">
        <v>826</v>
      </c>
      <c r="H174" s="177">
        <f>IF(G174="n",0,999999999999999000000)</f>
        <v>9.9999999999999895E+20</v>
      </c>
    </row>
    <row r="175" spans="1:8">
      <c r="A175" s="287"/>
      <c r="B175" s="285" t="s">
        <v>920</v>
      </c>
      <c r="C175" s="285" t="s">
        <v>113</v>
      </c>
      <c r="D175" s="285" t="s">
        <v>114</v>
      </c>
      <c r="E175" s="285" t="s">
        <v>115</v>
      </c>
      <c r="F175" s="893">
        <v>100000</v>
      </c>
      <c r="G175" s="1111" t="s">
        <v>826</v>
      </c>
      <c r="H175" s="177">
        <f>IF(G175="n",0,999999999999999000000)</f>
        <v>9.9999999999999895E+20</v>
      </c>
    </row>
    <row r="176" spans="1:8">
      <c r="A176" s="287"/>
      <c r="B176" s="285" t="s">
        <v>921</v>
      </c>
      <c r="C176" s="285"/>
      <c r="D176" s="285"/>
      <c r="E176" s="286"/>
      <c r="F176" s="290"/>
      <c r="G176" s="177"/>
      <c r="H176" s="177"/>
    </row>
    <row r="177" spans="1:8">
      <c r="A177" s="287"/>
      <c r="B177" s="781" t="s">
        <v>923</v>
      </c>
      <c r="C177" s="285" t="s">
        <v>152</v>
      </c>
      <c r="D177" s="294">
        <v>10</v>
      </c>
      <c r="E177" s="902"/>
      <c r="F177" s="290">
        <f>D177*E177</f>
        <v>0</v>
      </c>
      <c r="G177" s="1111" t="s">
        <v>826</v>
      </c>
      <c r="H177" s="177">
        <f t="shared" ref="H177:H179" si="6">IF(G177="n",0,999999999999999000000)</f>
        <v>9.9999999999999895E+20</v>
      </c>
    </row>
    <row r="178" spans="1:8">
      <c r="A178" s="287"/>
      <c r="B178" s="781" t="s">
        <v>924</v>
      </c>
      <c r="C178" s="285" t="s">
        <v>152</v>
      </c>
      <c r="D178" s="294">
        <v>10</v>
      </c>
      <c r="E178" s="902"/>
      <c r="F178" s="290">
        <f>D178*E178</f>
        <v>0</v>
      </c>
      <c r="G178" s="1111" t="s">
        <v>826</v>
      </c>
      <c r="H178" s="177">
        <f t="shared" si="6"/>
        <v>9.9999999999999895E+20</v>
      </c>
    </row>
    <row r="179" spans="1:8">
      <c r="A179" s="287"/>
      <c r="B179" s="285" t="s">
        <v>925</v>
      </c>
      <c r="C179" s="285" t="s">
        <v>123</v>
      </c>
      <c r="D179" s="285" t="s">
        <v>124</v>
      </c>
      <c r="E179" s="285" t="s">
        <v>103</v>
      </c>
      <c r="F179" s="893">
        <v>100000</v>
      </c>
      <c r="G179" s="1111" t="s">
        <v>826</v>
      </c>
      <c r="H179" s="177">
        <f t="shared" si="6"/>
        <v>9.9999999999999895E+20</v>
      </c>
    </row>
    <row r="180" spans="1:8">
      <c r="A180" s="304" t="s">
        <v>246</v>
      </c>
      <c r="B180" s="285" t="s">
        <v>818</v>
      </c>
      <c r="C180" s="285"/>
      <c r="D180" s="285"/>
      <c r="E180" s="286"/>
      <c r="F180" s="290"/>
      <c r="G180" s="177"/>
      <c r="H180" s="177"/>
    </row>
    <row r="181" spans="1:8">
      <c r="A181" s="287"/>
      <c r="B181" s="285" t="s">
        <v>819</v>
      </c>
      <c r="C181" s="285" t="s">
        <v>101</v>
      </c>
      <c r="D181" s="285" t="s">
        <v>102</v>
      </c>
      <c r="E181" s="285" t="s">
        <v>103</v>
      </c>
      <c r="F181" s="902"/>
      <c r="G181" s="1111" t="s">
        <v>989</v>
      </c>
      <c r="H181" s="177">
        <f>IF(G181="n",0,999999999999999000000)</f>
        <v>0</v>
      </c>
    </row>
    <row r="182" spans="1:8">
      <c r="A182" s="287"/>
      <c r="B182" s="285" t="s">
        <v>154</v>
      </c>
      <c r="C182" s="285" t="s">
        <v>113</v>
      </c>
      <c r="D182" s="285" t="s">
        <v>114</v>
      </c>
      <c r="E182" s="285" t="s">
        <v>115</v>
      </c>
      <c r="F182" s="893"/>
      <c r="G182" s="1111" t="s">
        <v>989</v>
      </c>
      <c r="H182" s="177">
        <f>IF(G182="n",0,999999999999999000000)</f>
        <v>0</v>
      </c>
    </row>
    <row r="183" spans="1:8">
      <c r="A183" s="287"/>
      <c r="B183" s="285" t="s">
        <v>155</v>
      </c>
      <c r="C183" s="285" t="s">
        <v>113</v>
      </c>
      <c r="D183" s="285" t="s">
        <v>114</v>
      </c>
      <c r="E183" s="285" t="s">
        <v>115</v>
      </c>
      <c r="F183" s="893"/>
      <c r="G183" s="1111" t="s">
        <v>989</v>
      </c>
      <c r="H183" s="177">
        <f>IF(G183="n",0,999999999999999000000)</f>
        <v>0</v>
      </c>
    </row>
    <row r="184" spans="1:8">
      <c r="A184" s="285"/>
      <c r="B184" s="285" t="s">
        <v>528</v>
      </c>
      <c r="C184" s="285" t="s">
        <v>156</v>
      </c>
      <c r="D184" s="302">
        <f>SUM(F182:F183)</f>
        <v>0</v>
      </c>
      <c r="E184" s="903"/>
      <c r="F184" s="290">
        <f>D184*E184</f>
        <v>0</v>
      </c>
      <c r="G184" s="1111" t="s">
        <v>989</v>
      </c>
      <c r="H184" s="177">
        <f>IF(G184="n",0,999999999999999000000)</f>
        <v>0</v>
      </c>
    </row>
    <row r="185" spans="1:8">
      <c r="A185" s="287" t="s">
        <v>579</v>
      </c>
      <c r="B185" s="285" t="s">
        <v>121</v>
      </c>
      <c r="C185" s="285"/>
      <c r="D185" s="285"/>
      <c r="E185" s="286"/>
      <c r="F185" s="290"/>
      <c r="G185" s="177"/>
      <c r="H185" s="177"/>
    </row>
    <row r="186" spans="1:8">
      <c r="A186" s="287"/>
      <c r="B186" s="285" t="s">
        <v>122</v>
      </c>
      <c r="C186" s="285" t="s">
        <v>123</v>
      </c>
      <c r="D186" s="285" t="s">
        <v>124</v>
      </c>
      <c r="E186" s="285" t="s">
        <v>103</v>
      </c>
      <c r="F186" s="893"/>
      <c r="G186" s="1111" t="s">
        <v>989</v>
      </c>
      <c r="H186" s="177">
        <f>IF(G186="n",0,999999999999999000000)</f>
        <v>0</v>
      </c>
    </row>
    <row r="187" spans="1:8">
      <c r="A187" s="287"/>
      <c r="B187" s="285" t="s">
        <v>125</v>
      </c>
      <c r="C187" s="285" t="s">
        <v>113</v>
      </c>
      <c r="D187" s="285" t="s">
        <v>114</v>
      </c>
      <c r="E187" s="285" t="s">
        <v>115</v>
      </c>
      <c r="F187" s="893"/>
      <c r="G187" s="1111" t="s">
        <v>989</v>
      </c>
      <c r="H187" s="177">
        <f>IF(G187="n",0,999999999999999000000)</f>
        <v>0</v>
      </c>
    </row>
    <row r="188" spans="1:8">
      <c r="A188" s="285"/>
      <c r="B188" s="285" t="s">
        <v>849</v>
      </c>
      <c r="C188" s="285" t="s">
        <v>126</v>
      </c>
      <c r="D188" s="302">
        <f>F187</f>
        <v>0</v>
      </c>
      <c r="E188" s="903"/>
      <c r="F188" s="290">
        <f>D188*E188</f>
        <v>0</v>
      </c>
      <c r="G188" s="1111" t="s">
        <v>989</v>
      </c>
      <c r="H188" s="177">
        <f>IF(G188="n",0,999999999999999000000)</f>
        <v>0</v>
      </c>
    </row>
    <row r="189" spans="1:8">
      <c r="A189" s="304" t="s">
        <v>587</v>
      </c>
      <c r="B189" s="285" t="s">
        <v>580</v>
      </c>
      <c r="C189" s="285"/>
      <c r="D189" s="285"/>
      <c r="E189" s="286"/>
      <c r="F189" s="290"/>
      <c r="G189" s="177"/>
      <c r="H189" s="177"/>
    </row>
    <row r="190" spans="1:8">
      <c r="A190" s="287"/>
      <c r="B190" s="285" t="s">
        <v>581</v>
      </c>
      <c r="C190" s="285" t="s">
        <v>101</v>
      </c>
      <c r="D190" s="285" t="s">
        <v>102</v>
      </c>
      <c r="E190" s="285" t="s">
        <v>103</v>
      </c>
      <c r="F190" s="902"/>
      <c r="G190" s="1111" t="s">
        <v>989</v>
      </c>
      <c r="H190" s="177">
        <f t="shared" ref="H190:H195" si="7">IF(G190="n",0,999999999999999000000)</f>
        <v>0</v>
      </c>
    </row>
    <row r="191" spans="1:8">
      <c r="A191" s="287"/>
      <c r="B191" s="285" t="s">
        <v>582</v>
      </c>
      <c r="C191" s="285" t="s">
        <v>113</v>
      </c>
      <c r="D191" s="285" t="s">
        <v>114</v>
      </c>
      <c r="E191" s="285" t="s">
        <v>115</v>
      </c>
      <c r="F191" s="893"/>
      <c r="G191" s="1111" t="s">
        <v>989</v>
      </c>
      <c r="H191" s="177">
        <f t="shared" si="7"/>
        <v>0</v>
      </c>
    </row>
    <row r="192" spans="1:8">
      <c r="A192" s="285"/>
      <c r="B192" s="285" t="s">
        <v>850</v>
      </c>
      <c r="C192" s="285" t="s">
        <v>156</v>
      </c>
      <c r="D192" s="302">
        <f>SUM(F191:F191)</f>
        <v>0</v>
      </c>
      <c r="E192" s="903"/>
      <c r="F192" s="290">
        <f>D192*E192</f>
        <v>0</v>
      </c>
      <c r="G192" s="1111" t="s">
        <v>989</v>
      </c>
      <c r="H192" s="177">
        <f t="shared" si="7"/>
        <v>0</v>
      </c>
    </row>
    <row r="193" spans="1:8">
      <c r="A193" s="287"/>
      <c r="B193" s="781" t="s">
        <v>583</v>
      </c>
      <c r="C193" s="285" t="s">
        <v>160</v>
      </c>
      <c r="D193" s="294"/>
      <c r="E193" s="902"/>
      <c r="F193" s="290">
        <f>D193*E193</f>
        <v>0</v>
      </c>
      <c r="G193" s="1111" t="s">
        <v>989</v>
      </c>
      <c r="H193" s="177">
        <f t="shared" si="7"/>
        <v>0</v>
      </c>
    </row>
    <row r="194" spans="1:8">
      <c r="A194" s="287"/>
      <c r="B194" s="781" t="s">
        <v>584</v>
      </c>
      <c r="C194" s="285" t="s">
        <v>160</v>
      </c>
      <c r="D194" s="294"/>
      <c r="E194" s="902"/>
      <c r="F194" s="290">
        <f>D194*E194</f>
        <v>0</v>
      </c>
      <c r="G194" s="1111" t="s">
        <v>989</v>
      </c>
      <c r="H194" s="177">
        <f t="shared" si="7"/>
        <v>0</v>
      </c>
    </row>
    <row r="195" spans="1:8">
      <c r="A195" s="287"/>
      <c r="B195" s="781" t="s">
        <v>585</v>
      </c>
      <c r="C195" s="285" t="s">
        <v>160</v>
      </c>
      <c r="D195" s="294"/>
      <c r="E195" s="902"/>
      <c r="F195" s="290">
        <f>D195*E195</f>
        <v>0</v>
      </c>
      <c r="G195" s="1111" t="s">
        <v>989</v>
      </c>
      <c r="H195" s="177">
        <f t="shared" si="7"/>
        <v>0</v>
      </c>
    </row>
    <row r="196" spans="1:8">
      <c r="A196" s="285"/>
      <c r="B196" s="285" t="s">
        <v>586</v>
      </c>
      <c r="C196" s="285"/>
      <c r="D196" s="285"/>
      <c r="E196" s="286"/>
      <c r="F196" s="290"/>
      <c r="G196" s="177"/>
      <c r="H196" s="177"/>
    </row>
    <row r="197" spans="1:8">
      <c r="A197" s="287"/>
      <c r="B197" s="781" t="s">
        <v>832</v>
      </c>
      <c r="C197" s="285" t="s">
        <v>160</v>
      </c>
      <c r="D197" s="294"/>
      <c r="E197" s="902"/>
      <c r="F197" s="290">
        <f>D197*E197</f>
        <v>0</v>
      </c>
      <c r="G197" s="1111" t="s">
        <v>989</v>
      </c>
      <c r="H197" s="177">
        <f>IF(G197="n",0,999999999999999000000)</f>
        <v>0</v>
      </c>
    </row>
    <row r="198" spans="1:8">
      <c r="A198" s="287"/>
      <c r="B198" s="781" t="s">
        <v>833</v>
      </c>
      <c r="C198" s="285" t="s">
        <v>160</v>
      </c>
      <c r="D198" s="294"/>
      <c r="E198" s="902"/>
      <c r="F198" s="290">
        <f>D198*E198</f>
        <v>0</v>
      </c>
      <c r="G198" s="1111" t="s">
        <v>989</v>
      </c>
      <c r="H198" s="177">
        <f>IF(G198="n",0,999999999999999000000)</f>
        <v>0</v>
      </c>
    </row>
    <row r="199" spans="1:8">
      <c r="A199" s="304" t="s">
        <v>807</v>
      </c>
      <c r="B199" s="285" t="s">
        <v>577</v>
      </c>
      <c r="C199" s="285"/>
      <c r="D199" s="285"/>
      <c r="E199" s="286"/>
      <c r="F199" s="290"/>
      <c r="G199" s="177"/>
      <c r="H199" s="177"/>
    </row>
    <row r="200" spans="1:8">
      <c r="A200" s="285"/>
      <c r="B200" s="285" t="s">
        <v>645</v>
      </c>
      <c r="C200" s="285"/>
      <c r="D200" s="310"/>
      <c r="E200" s="653"/>
      <c r="F200" s="290"/>
      <c r="G200" s="177"/>
      <c r="H200" s="177"/>
    </row>
    <row r="201" spans="1:8">
      <c r="A201" s="287"/>
      <c r="B201" s="781" t="s">
        <v>617</v>
      </c>
      <c r="C201" s="285" t="s">
        <v>160</v>
      </c>
      <c r="D201" s="294"/>
      <c r="E201" s="902"/>
      <c r="F201" s="290">
        <f t="shared" ref="F201:F228" si="8">D201*E201</f>
        <v>0</v>
      </c>
      <c r="G201" s="1111" t="s">
        <v>989</v>
      </c>
      <c r="H201" s="177" t="s">
        <v>989</v>
      </c>
    </row>
    <row r="202" spans="1:8">
      <c r="A202" s="287"/>
      <c r="B202" s="781" t="s">
        <v>618</v>
      </c>
      <c r="C202" s="285" t="s">
        <v>160</v>
      </c>
      <c r="D202" s="294"/>
      <c r="E202" s="902"/>
      <c r="F202" s="290">
        <f t="shared" si="8"/>
        <v>0</v>
      </c>
      <c r="G202" s="1111" t="s">
        <v>989</v>
      </c>
      <c r="H202" s="177">
        <f t="shared" ref="H202:H236" si="9">IF(G202="n",0,999999999999999000000)</f>
        <v>0</v>
      </c>
    </row>
    <row r="203" spans="1:8">
      <c r="A203" s="287"/>
      <c r="B203" s="781" t="s">
        <v>619</v>
      </c>
      <c r="C203" s="285" t="s">
        <v>160</v>
      </c>
      <c r="D203" s="294"/>
      <c r="E203" s="902"/>
      <c r="F203" s="290">
        <f t="shared" si="8"/>
        <v>0</v>
      </c>
      <c r="G203" s="1111" t="s">
        <v>989</v>
      </c>
      <c r="H203" s="177">
        <f t="shared" si="9"/>
        <v>0</v>
      </c>
    </row>
    <row r="204" spans="1:8">
      <c r="A204" s="287"/>
      <c r="B204" s="781" t="s">
        <v>620</v>
      </c>
      <c r="C204" s="285" t="s">
        <v>160</v>
      </c>
      <c r="D204" s="294"/>
      <c r="E204" s="902"/>
      <c r="F204" s="290">
        <f t="shared" si="8"/>
        <v>0</v>
      </c>
      <c r="G204" s="1111" t="s">
        <v>989</v>
      </c>
      <c r="H204" s="177">
        <f t="shared" si="9"/>
        <v>0</v>
      </c>
    </row>
    <row r="205" spans="1:8">
      <c r="A205" s="287"/>
      <c r="B205" s="781" t="s">
        <v>621</v>
      </c>
      <c r="C205" s="285" t="s">
        <v>160</v>
      </c>
      <c r="D205" s="294"/>
      <c r="E205" s="902"/>
      <c r="F205" s="290">
        <f t="shared" si="8"/>
        <v>0</v>
      </c>
      <c r="G205" s="1111" t="s">
        <v>989</v>
      </c>
      <c r="H205" s="177">
        <f t="shared" si="9"/>
        <v>0</v>
      </c>
    </row>
    <row r="206" spans="1:8">
      <c r="A206" s="287"/>
      <c r="B206" s="781" t="s">
        <v>622</v>
      </c>
      <c r="C206" s="285" t="s">
        <v>160</v>
      </c>
      <c r="D206" s="294"/>
      <c r="E206" s="902"/>
      <c r="F206" s="290">
        <f t="shared" si="8"/>
        <v>0</v>
      </c>
      <c r="G206" s="1111" t="s">
        <v>989</v>
      </c>
      <c r="H206" s="177">
        <f t="shared" si="9"/>
        <v>0</v>
      </c>
    </row>
    <row r="207" spans="1:8">
      <c r="A207" s="287"/>
      <c r="B207" s="781" t="s">
        <v>623</v>
      </c>
      <c r="C207" s="285" t="s">
        <v>160</v>
      </c>
      <c r="D207" s="294"/>
      <c r="E207" s="902"/>
      <c r="F207" s="290">
        <f t="shared" si="8"/>
        <v>0</v>
      </c>
      <c r="G207" s="1111" t="s">
        <v>989</v>
      </c>
      <c r="H207" s="177">
        <f t="shared" si="9"/>
        <v>0</v>
      </c>
    </row>
    <row r="208" spans="1:8">
      <c r="A208" s="287"/>
      <c r="B208" s="781" t="s">
        <v>624</v>
      </c>
      <c r="C208" s="285" t="s">
        <v>160</v>
      </c>
      <c r="D208" s="294"/>
      <c r="E208" s="902"/>
      <c r="F208" s="290">
        <f t="shared" si="8"/>
        <v>0</v>
      </c>
      <c r="G208" s="1111" t="s">
        <v>989</v>
      </c>
      <c r="H208" s="177">
        <f t="shared" si="9"/>
        <v>0</v>
      </c>
    </row>
    <row r="209" spans="1:8">
      <c r="A209" s="287"/>
      <c r="B209" s="781" t="s">
        <v>625</v>
      </c>
      <c r="C209" s="285" t="s">
        <v>160</v>
      </c>
      <c r="D209" s="294"/>
      <c r="E209" s="902"/>
      <c r="F209" s="290">
        <f t="shared" si="8"/>
        <v>0</v>
      </c>
      <c r="G209" s="1111" t="s">
        <v>989</v>
      </c>
      <c r="H209" s="177">
        <f t="shared" si="9"/>
        <v>0</v>
      </c>
    </row>
    <row r="210" spans="1:8">
      <c r="A210" s="287"/>
      <c r="B210" s="781" t="s">
        <v>626</v>
      </c>
      <c r="C210" s="285" t="s">
        <v>160</v>
      </c>
      <c r="D210" s="294"/>
      <c r="E210" s="902"/>
      <c r="F210" s="290">
        <f t="shared" si="8"/>
        <v>0</v>
      </c>
      <c r="G210" s="1111" t="s">
        <v>989</v>
      </c>
      <c r="H210" s="177">
        <f t="shared" si="9"/>
        <v>0</v>
      </c>
    </row>
    <row r="211" spans="1:8">
      <c r="A211" s="287"/>
      <c r="B211" s="781" t="s">
        <v>627</v>
      </c>
      <c r="C211" s="285" t="s">
        <v>160</v>
      </c>
      <c r="D211" s="294"/>
      <c r="E211" s="902"/>
      <c r="F211" s="290">
        <f t="shared" si="8"/>
        <v>0</v>
      </c>
      <c r="G211" s="1111" t="s">
        <v>989</v>
      </c>
      <c r="H211" s="177">
        <f t="shared" si="9"/>
        <v>0</v>
      </c>
    </row>
    <row r="212" spans="1:8">
      <c r="A212" s="287"/>
      <c r="B212" s="781" t="s">
        <v>628</v>
      </c>
      <c r="C212" s="285" t="s">
        <v>160</v>
      </c>
      <c r="D212" s="294"/>
      <c r="E212" s="902"/>
      <c r="F212" s="290">
        <f t="shared" si="8"/>
        <v>0</v>
      </c>
      <c r="G212" s="1111" t="s">
        <v>989</v>
      </c>
      <c r="H212" s="177">
        <f t="shared" si="9"/>
        <v>0</v>
      </c>
    </row>
    <row r="213" spans="1:8">
      <c r="A213" s="287"/>
      <c r="B213" s="781" t="s">
        <v>629</v>
      </c>
      <c r="C213" s="285" t="s">
        <v>160</v>
      </c>
      <c r="D213" s="294"/>
      <c r="E213" s="902"/>
      <c r="F213" s="290">
        <f t="shared" si="8"/>
        <v>0</v>
      </c>
      <c r="G213" s="1111" t="s">
        <v>989</v>
      </c>
      <c r="H213" s="177">
        <f t="shared" si="9"/>
        <v>0</v>
      </c>
    </row>
    <row r="214" spans="1:8">
      <c r="A214" s="287"/>
      <c r="B214" s="781" t="s">
        <v>630</v>
      </c>
      <c r="C214" s="285" t="s">
        <v>160</v>
      </c>
      <c r="D214" s="294"/>
      <c r="E214" s="902"/>
      <c r="F214" s="290">
        <f t="shared" si="8"/>
        <v>0</v>
      </c>
      <c r="G214" s="1111" t="s">
        <v>989</v>
      </c>
      <c r="H214" s="177">
        <f t="shared" si="9"/>
        <v>0</v>
      </c>
    </row>
    <row r="215" spans="1:8">
      <c r="A215" s="287"/>
      <c r="B215" s="781" t="s">
        <v>631</v>
      </c>
      <c r="C215" s="285" t="s">
        <v>160</v>
      </c>
      <c r="D215" s="294"/>
      <c r="E215" s="902"/>
      <c r="F215" s="290">
        <f t="shared" si="8"/>
        <v>0</v>
      </c>
      <c r="G215" s="1111" t="s">
        <v>989</v>
      </c>
      <c r="H215" s="177">
        <f t="shared" si="9"/>
        <v>0</v>
      </c>
    </row>
    <row r="216" spans="1:8">
      <c r="A216" s="287"/>
      <c r="B216" s="781" t="s">
        <v>632</v>
      </c>
      <c r="C216" s="285" t="s">
        <v>160</v>
      </c>
      <c r="D216" s="294"/>
      <c r="E216" s="902"/>
      <c r="F216" s="290">
        <f t="shared" si="8"/>
        <v>0</v>
      </c>
      <c r="G216" s="1111" t="s">
        <v>989</v>
      </c>
      <c r="H216" s="177">
        <f t="shared" si="9"/>
        <v>0</v>
      </c>
    </row>
    <row r="217" spans="1:8">
      <c r="A217" s="287"/>
      <c r="B217" s="781" t="s">
        <v>633</v>
      </c>
      <c r="C217" s="285" t="s">
        <v>160</v>
      </c>
      <c r="D217" s="294"/>
      <c r="E217" s="902"/>
      <c r="F217" s="290">
        <f t="shared" si="8"/>
        <v>0</v>
      </c>
      <c r="G217" s="1111" t="s">
        <v>989</v>
      </c>
      <c r="H217" s="177">
        <f t="shared" si="9"/>
        <v>0</v>
      </c>
    </row>
    <row r="218" spans="1:8">
      <c r="A218" s="287"/>
      <c r="B218" s="781" t="s">
        <v>634</v>
      </c>
      <c r="C218" s="285" t="s">
        <v>160</v>
      </c>
      <c r="D218" s="294"/>
      <c r="E218" s="902"/>
      <c r="F218" s="290">
        <f t="shared" si="8"/>
        <v>0</v>
      </c>
      <c r="G218" s="1111" t="s">
        <v>989</v>
      </c>
      <c r="H218" s="177">
        <f t="shared" si="9"/>
        <v>0</v>
      </c>
    </row>
    <row r="219" spans="1:8">
      <c r="A219" s="287"/>
      <c r="B219" s="781" t="s">
        <v>635</v>
      </c>
      <c r="C219" s="285" t="s">
        <v>160</v>
      </c>
      <c r="D219" s="294"/>
      <c r="E219" s="902"/>
      <c r="F219" s="290">
        <f t="shared" si="8"/>
        <v>0</v>
      </c>
      <c r="G219" s="1111" t="s">
        <v>989</v>
      </c>
      <c r="H219" s="177">
        <f t="shared" si="9"/>
        <v>0</v>
      </c>
    </row>
    <row r="220" spans="1:8">
      <c r="A220" s="287"/>
      <c r="B220" s="781" t="s">
        <v>636</v>
      </c>
      <c r="C220" s="285" t="s">
        <v>160</v>
      </c>
      <c r="D220" s="294"/>
      <c r="E220" s="902"/>
      <c r="F220" s="290">
        <f t="shared" si="8"/>
        <v>0</v>
      </c>
      <c r="G220" s="1111" t="s">
        <v>989</v>
      </c>
      <c r="H220" s="177">
        <f t="shared" si="9"/>
        <v>0</v>
      </c>
    </row>
    <row r="221" spans="1:8">
      <c r="A221" s="287"/>
      <c r="B221" s="781" t="s">
        <v>637</v>
      </c>
      <c r="C221" s="285" t="s">
        <v>160</v>
      </c>
      <c r="D221" s="294"/>
      <c r="E221" s="902"/>
      <c r="F221" s="290">
        <f t="shared" si="8"/>
        <v>0</v>
      </c>
      <c r="G221" s="1111" t="s">
        <v>989</v>
      </c>
      <c r="H221" s="177">
        <f t="shared" si="9"/>
        <v>0</v>
      </c>
    </row>
    <row r="222" spans="1:8">
      <c r="A222" s="287"/>
      <c r="B222" s="781" t="s">
        <v>638</v>
      </c>
      <c r="C222" s="285" t="s">
        <v>160</v>
      </c>
      <c r="D222" s="294"/>
      <c r="E222" s="902"/>
      <c r="F222" s="290">
        <f t="shared" si="8"/>
        <v>0</v>
      </c>
      <c r="G222" s="1111" t="s">
        <v>989</v>
      </c>
      <c r="H222" s="177">
        <f t="shared" si="9"/>
        <v>0</v>
      </c>
    </row>
    <row r="223" spans="1:8">
      <c r="A223" s="287"/>
      <c r="B223" s="781" t="s">
        <v>639</v>
      </c>
      <c r="C223" s="285" t="s">
        <v>160</v>
      </c>
      <c r="D223" s="294"/>
      <c r="E223" s="902"/>
      <c r="F223" s="290">
        <f t="shared" si="8"/>
        <v>0</v>
      </c>
      <c r="G223" s="1111" t="s">
        <v>989</v>
      </c>
      <c r="H223" s="177">
        <f t="shared" si="9"/>
        <v>0</v>
      </c>
    </row>
    <row r="224" spans="1:8">
      <c r="A224" s="287"/>
      <c r="B224" s="781" t="s">
        <v>640</v>
      </c>
      <c r="C224" s="285" t="s">
        <v>160</v>
      </c>
      <c r="D224" s="294"/>
      <c r="E224" s="902"/>
      <c r="F224" s="290">
        <f t="shared" si="8"/>
        <v>0</v>
      </c>
      <c r="G224" s="1111" t="s">
        <v>989</v>
      </c>
      <c r="H224" s="177">
        <f t="shared" si="9"/>
        <v>0</v>
      </c>
    </row>
    <row r="225" spans="1:8">
      <c r="A225" s="287"/>
      <c r="B225" s="781" t="s">
        <v>641</v>
      </c>
      <c r="C225" s="285" t="s">
        <v>160</v>
      </c>
      <c r="D225" s="294"/>
      <c r="E225" s="902"/>
      <c r="F225" s="290">
        <f t="shared" si="8"/>
        <v>0</v>
      </c>
      <c r="G225" s="1111" t="s">
        <v>989</v>
      </c>
      <c r="H225" s="177">
        <f t="shared" si="9"/>
        <v>0</v>
      </c>
    </row>
    <row r="226" spans="1:8">
      <c r="A226" s="287"/>
      <c r="B226" s="781" t="s">
        <v>642</v>
      </c>
      <c r="C226" s="285" t="s">
        <v>160</v>
      </c>
      <c r="D226" s="294"/>
      <c r="E226" s="902"/>
      <c r="F226" s="290">
        <f t="shared" si="8"/>
        <v>0</v>
      </c>
      <c r="G226" s="1111" t="s">
        <v>989</v>
      </c>
      <c r="H226" s="177">
        <f t="shared" si="9"/>
        <v>0</v>
      </c>
    </row>
    <row r="227" spans="1:8">
      <c r="A227" s="287"/>
      <c r="B227" s="781" t="s">
        <v>643</v>
      </c>
      <c r="C227" s="285" t="s">
        <v>160</v>
      </c>
      <c r="D227" s="294"/>
      <c r="E227" s="902"/>
      <c r="F227" s="290">
        <f t="shared" si="8"/>
        <v>0</v>
      </c>
      <c r="G227" s="1111" t="s">
        <v>989</v>
      </c>
      <c r="H227" s="177">
        <f t="shared" si="9"/>
        <v>0</v>
      </c>
    </row>
    <row r="228" spans="1:8">
      <c r="A228" s="287"/>
      <c r="B228" s="781" t="s">
        <v>644</v>
      </c>
      <c r="C228" s="285" t="s">
        <v>160</v>
      </c>
      <c r="D228" s="294"/>
      <c r="E228" s="902"/>
      <c r="F228" s="290">
        <f t="shared" si="8"/>
        <v>0</v>
      </c>
      <c r="G228" s="1111" t="s">
        <v>989</v>
      </c>
      <c r="H228" s="177">
        <f t="shared" si="9"/>
        <v>0</v>
      </c>
    </row>
    <row r="229" spans="1:8" ht="30.75" customHeight="1">
      <c r="A229" s="287"/>
      <c r="B229" s="781" t="s">
        <v>588</v>
      </c>
      <c r="C229" s="285" t="s">
        <v>113</v>
      </c>
      <c r="D229" s="285" t="s">
        <v>114</v>
      </c>
      <c r="E229" s="285" t="s">
        <v>115</v>
      </c>
      <c r="F229" s="893">
        <v>250000</v>
      </c>
      <c r="G229" s="1111" t="s">
        <v>826</v>
      </c>
      <c r="H229" s="177">
        <f t="shared" si="9"/>
        <v>9.9999999999999895E+20</v>
      </c>
    </row>
    <row r="230" spans="1:8">
      <c r="A230" s="285"/>
      <c r="B230" s="285" t="s">
        <v>851</v>
      </c>
      <c r="C230" s="285" t="s">
        <v>156</v>
      </c>
      <c r="D230" s="302">
        <f>SUM(F229:F229)</f>
        <v>250000</v>
      </c>
      <c r="E230" s="903"/>
      <c r="F230" s="290">
        <f>D230*E230</f>
        <v>0</v>
      </c>
      <c r="G230" s="1111" t="s">
        <v>826</v>
      </c>
      <c r="H230" s="177">
        <f t="shared" si="9"/>
        <v>9.9999999999999895E+20</v>
      </c>
    </row>
    <row r="231" spans="1:8" ht="28.8">
      <c r="A231" s="304" t="s">
        <v>880</v>
      </c>
      <c r="B231" s="781" t="s">
        <v>881</v>
      </c>
      <c r="C231" s="285"/>
      <c r="D231" s="285"/>
      <c r="E231" s="286"/>
      <c r="F231" s="290"/>
      <c r="G231" s="177"/>
      <c r="H231" s="177"/>
    </row>
    <row r="232" spans="1:8">
      <c r="A232" s="287"/>
      <c r="B232" s="285" t="s">
        <v>883</v>
      </c>
      <c r="C232" s="285" t="s">
        <v>113</v>
      </c>
      <c r="D232" s="285" t="s">
        <v>114</v>
      </c>
      <c r="E232" s="285" t="s">
        <v>115</v>
      </c>
      <c r="F232" s="893">
        <v>250000</v>
      </c>
      <c r="G232" s="1111" t="s">
        <v>826</v>
      </c>
      <c r="H232" s="177">
        <f t="shared" si="9"/>
        <v>9.9999999999999895E+20</v>
      </c>
    </row>
    <row r="233" spans="1:8">
      <c r="A233" s="285"/>
      <c r="B233" s="285" t="s">
        <v>882</v>
      </c>
      <c r="C233" s="285" t="s">
        <v>156</v>
      </c>
      <c r="D233" s="302">
        <f>F232</f>
        <v>250000</v>
      </c>
      <c r="E233" s="903"/>
      <c r="F233" s="290">
        <f>D233*E233</f>
        <v>0</v>
      </c>
      <c r="G233" s="1111" t="s">
        <v>826</v>
      </c>
      <c r="H233" s="177">
        <f t="shared" si="9"/>
        <v>9.9999999999999895E+20</v>
      </c>
    </row>
    <row r="234" spans="1:8">
      <c r="A234" s="304" t="s">
        <v>926</v>
      </c>
      <c r="B234" s="781" t="s">
        <v>927</v>
      </c>
      <c r="C234" s="285"/>
      <c r="D234" s="285"/>
      <c r="E234" s="286"/>
      <c r="F234" s="290"/>
      <c r="G234" s="177"/>
      <c r="H234" s="177"/>
    </row>
    <row r="235" spans="1:8">
      <c r="A235" s="285"/>
      <c r="B235" s="286" t="s">
        <v>928</v>
      </c>
      <c r="C235" s="285" t="s">
        <v>101</v>
      </c>
      <c r="D235" s="285" t="s">
        <v>102</v>
      </c>
      <c r="E235" s="285" t="s">
        <v>103</v>
      </c>
      <c r="F235" s="902"/>
      <c r="G235" s="1111" t="s">
        <v>826</v>
      </c>
      <c r="H235" s="177">
        <f t="shared" si="9"/>
        <v>9.9999999999999895E+20</v>
      </c>
    </row>
    <row r="236" spans="1:8">
      <c r="A236" s="285"/>
      <c r="B236" s="781" t="s">
        <v>929</v>
      </c>
      <c r="C236" s="285" t="s">
        <v>101</v>
      </c>
      <c r="D236" s="285" t="s">
        <v>102</v>
      </c>
      <c r="E236" s="285" t="s">
        <v>103</v>
      </c>
      <c r="F236" s="902"/>
      <c r="G236" s="1111" t="s">
        <v>992</v>
      </c>
      <c r="H236" s="177">
        <f t="shared" si="9"/>
        <v>0</v>
      </c>
    </row>
    <row r="237" spans="1:8">
      <c r="A237" s="285"/>
      <c r="B237" s="291" t="s">
        <v>199</v>
      </c>
      <c r="C237" s="292"/>
      <c r="D237" s="292"/>
      <c r="E237" s="293"/>
      <c r="F237" s="290">
        <f>SUM(F92:F236)</f>
        <v>1400000</v>
      </c>
      <c r="G237" s="177"/>
      <c r="H237" s="177"/>
    </row>
    <row r="238" spans="1:8">
      <c r="A238" s="284">
        <v>3.5</v>
      </c>
      <c r="B238" s="284" t="s">
        <v>200</v>
      </c>
      <c r="C238" s="285"/>
      <c r="D238" s="285"/>
      <c r="E238" s="286"/>
      <c r="F238" s="290"/>
      <c r="G238" s="177"/>
      <c r="H238" s="177"/>
    </row>
    <row r="239" spans="1:8">
      <c r="A239" s="287" t="s">
        <v>247</v>
      </c>
      <c r="B239" s="285" t="s">
        <v>157</v>
      </c>
      <c r="C239" s="285"/>
      <c r="D239" s="285"/>
      <c r="E239" s="286"/>
      <c r="F239" s="285"/>
      <c r="G239" s="177"/>
      <c r="H239" s="177"/>
    </row>
    <row r="240" spans="1:8">
      <c r="A240" s="285"/>
      <c r="B240" s="288" t="s">
        <v>158</v>
      </c>
      <c r="C240" s="285" t="s">
        <v>101</v>
      </c>
      <c r="D240" s="285" t="s">
        <v>102</v>
      </c>
      <c r="E240" s="285" t="s">
        <v>103</v>
      </c>
      <c r="F240" s="289">
        <f>'Non Fee Hours'!H306</f>
        <v>0</v>
      </c>
      <c r="G240" s="1111" t="s">
        <v>826</v>
      </c>
      <c r="H240" s="177">
        <f>IF(G240="n",0,999999999999999000000)</f>
        <v>9.9999999999999895E+20</v>
      </c>
    </row>
    <row r="241" spans="1:8">
      <c r="A241" s="287"/>
      <c r="B241" s="285" t="s">
        <v>125</v>
      </c>
      <c r="C241" s="285" t="s">
        <v>101</v>
      </c>
      <c r="D241" s="285" t="s">
        <v>102</v>
      </c>
      <c r="E241" s="285" t="s">
        <v>103</v>
      </c>
      <c r="F241" s="902"/>
      <c r="G241" s="1111" t="s">
        <v>826</v>
      </c>
      <c r="H241" s="177">
        <f>IF(G241="n",0,999999999999999000000)</f>
        <v>9.9999999999999895E+20</v>
      </c>
    </row>
    <row r="242" spans="1:8">
      <c r="A242" s="287"/>
      <c r="B242" s="781" t="s">
        <v>159</v>
      </c>
      <c r="C242" s="285" t="s">
        <v>160</v>
      </c>
      <c r="D242" s="294">
        <v>1</v>
      </c>
      <c r="E242" s="902"/>
      <c r="F242" s="290">
        <f>D242*E242</f>
        <v>0</v>
      </c>
      <c r="G242" s="1111" t="s">
        <v>826</v>
      </c>
      <c r="H242" s="177">
        <f>IF(G242="n",0,999999999999999000000)</f>
        <v>9.9999999999999895E+20</v>
      </c>
    </row>
    <row r="243" spans="1:8">
      <c r="A243" s="285"/>
      <c r="B243" s="291" t="s">
        <v>199</v>
      </c>
      <c r="C243" s="292"/>
      <c r="D243" s="292"/>
      <c r="E243" s="293"/>
      <c r="F243" s="290">
        <f>SUM(F240:F242)</f>
        <v>0</v>
      </c>
      <c r="G243" s="177"/>
      <c r="H243" s="177"/>
    </row>
    <row r="244" spans="1:8">
      <c r="A244" s="284">
        <v>3.6</v>
      </c>
      <c r="B244" s="284" t="s">
        <v>201</v>
      </c>
      <c r="C244" s="285"/>
      <c r="D244" s="285"/>
      <c r="E244" s="286"/>
      <c r="F244" s="290"/>
      <c r="G244" s="177"/>
      <c r="H244" s="177"/>
    </row>
    <row r="245" spans="1:8">
      <c r="A245" s="287" t="s">
        <v>248</v>
      </c>
      <c r="B245" s="285" t="s">
        <v>161</v>
      </c>
      <c r="C245" s="285"/>
      <c r="D245" s="285"/>
      <c r="E245" s="286"/>
      <c r="F245" s="285"/>
      <c r="G245" s="177"/>
      <c r="H245" s="177"/>
    </row>
    <row r="246" spans="1:8">
      <c r="A246" s="287"/>
      <c r="B246" s="285" t="s">
        <v>162</v>
      </c>
      <c r="C246" s="285" t="s">
        <v>101</v>
      </c>
      <c r="D246" s="285" t="s">
        <v>102</v>
      </c>
      <c r="E246" s="285" t="s">
        <v>103</v>
      </c>
      <c r="F246" s="902"/>
      <c r="G246" s="1111" t="s">
        <v>826</v>
      </c>
      <c r="H246" s="177">
        <f>IF(G246="n",0,999999999999999000000)</f>
        <v>9.9999999999999895E+20</v>
      </c>
    </row>
    <row r="247" spans="1:8">
      <c r="A247" s="287"/>
      <c r="B247" s="285" t="s">
        <v>971</v>
      </c>
      <c r="C247" s="285" t="s">
        <v>113</v>
      </c>
      <c r="D247" s="285" t="s">
        <v>114</v>
      </c>
      <c r="E247" s="285" t="s">
        <v>115</v>
      </c>
      <c r="F247" s="893">
        <v>20000</v>
      </c>
      <c r="G247" s="1111" t="s">
        <v>826</v>
      </c>
      <c r="H247" s="177">
        <f>IF(G247="n",0,999999999999999000000)</f>
        <v>9.9999999999999895E+20</v>
      </c>
    </row>
    <row r="248" spans="1:8">
      <c r="A248" s="285"/>
      <c r="B248" s="285" t="s">
        <v>255</v>
      </c>
      <c r="C248" s="285" t="s">
        <v>156</v>
      </c>
      <c r="D248" s="302">
        <f>F247</f>
        <v>20000</v>
      </c>
      <c r="E248" s="903"/>
      <c r="F248" s="290">
        <f>D248*E248</f>
        <v>0</v>
      </c>
      <c r="G248" s="1111" t="s">
        <v>826</v>
      </c>
      <c r="H248" s="177">
        <f>IF(G248="n",0,999999999999999000000)</f>
        <v>9.9999999999999895E+20</v>
      </c>
    </row>
    <row r="249" spans="1:8">
      <c r="A249" s="287" t="s">
        <v>249</v>
      </c>
      <c r="B249" s="285" t="s">
        <v>163</v>
      </c>
      <c r="C249" s="285"/>
      <c r="D249" s="285"/>
      <c r="E249" s="286"/>
      <c r="F249" s="285"/>
      <c r="G249" s="177"/>
      <c r="H249" s="177"/>
    </row>
    <row r="250" spans="1:8">
      <c r="A250" s="285"/>
      <c r="B250" s="288" t="s">
        <v>164</v>
      </c>
      <c r="C250" s="285" t="s">
        <v>101</v>
      </c>
      <c r="D250" s="285" t="s">
        <v>102</v>
      </c>
      <c r="E250" s="285" t="s">
        <v>103</v>
      </c>
      <c r="F250" s="289">
        <f>'Non Fee Hours'!H406</f>
        <v>0</v>
      </c>
      <c r="G250" s="1111" t="s">
        <v>826</v>
      </c>
      <c r="H250" s="177">
        <f>IF(G250="n",0,999999999999999000000)</f>
        <v>9.9999999999999895E+20</v>
      </c>
    </row>
    <row r="251" spans="1:8">
      <c r="A251" s="287"/>
      <c r="B251" s="285" t="s">
        <v>104</v>
      </c>
      <c r="C251" s="285" t="s">
        <v>101</v>
      </c>
      <c r="D251" s="285" t="s">
        <v>102</v>
      </c>
      <c r="E251" s="285" t="s">
        <v>103</v>
      </c>
      <c r="F251" s="902"/>
      <c r="G251" s="1111" t="s">
        <v>826</v>
      </c>
      <c r="H251" s="177">
        <f>IF(G251="n",0,999999999999999000000)</f>
        <v>9.9999999999999895E+20</v>
      </c>
    </row>
    <row r="252" spans="1:8">
      <c r="A252" s="287" t="s">
        <v>931</v>
      </c>
      <c r="B252" s="286" t="s">
        <v>930</v>
      </c>
      <c r="C252" s="285" t="s">
        <v>101</v>
      </c>
      <c r="D252" s="285" t="s">
        <v>102</v>
      </c>
      <c r="E252" s="285" t="s">
        <v>103</v>
      </c>
      <c r="F252" s="902"/>
      <c r="G252" s="1111" t="s">
        <v>826</v>
      </c>
      <c r="H252" s="177">
        <f>IF(G252="n",0,999999999999999000000)</f>
        <v>9.9999999999999895E+20</v>
      </c>
    </row>
    <row r="253" spans="1:8">
      <c r="A253" s="285"/>
      <c r="B253" s="291" t="s">
        <v>199</v>
      </c>
      <c r="C253" s="292"/>
      <c r="D253" s="292"/>
      <c r="E253" s="293"/>
      <c r="F253" s="290">
        <f>SUM(F246:F252)</f>
        <v>20000</v>
      </c>
      <c r="G253" s="177"/>
      <c r="H253" s="177"/>
    </row>
    <row r="254" spans="1:8">
      <c r="A254" s="284">
        <v>3.7</v>
      </c>
      <c r="B254" s="284" t="s">
        <v>202</v>
      </c>
      <c r="C254" s="285"/>
      <c r="D254" s="285"/>
      <c r="E254" s="286"/>
      <c r="F254" s="285"/>
      <c r="G254" s="177"/>
      <c r="H254" s="177"/>
    </row>
    <row r="255" spans="1:8">
      <c r="A255" s="297" t="s">
        <v>529</v>
      </c>
      <c r="B255" s="298" t="s">
        <v>202</v>
      </c>
      <c r="C255" s="299"/>
      <c r="D255" s="299"/>
      <c r="E255" s="300"/>
      <c r="F255" s="299"/>
      <c r="G255" s="177"/>
      <c r="H255" s="177"/>
    </row>
    <row r="256" spans="1:8">
      <c r="A256" s="285"/>
      <c r="B256" s="285" t="s">
        <v>130</v>
      </c>
      <c r="C256" s="285"/>
      <c r="D256" s="285"/>
      <c r="E256" s="286"/>
      <c r="F256" s="285"/>
      <c r="G256" s="177"/>
      <c r="H256" s="177"/>
    </row>
    <row r="257" spans="1:9">
      <c r="A257" s="285"/>
      <c r="B257" s="301" t="s">
        <v>131</v>
      </c>
      <c r="C257" s="285" t="s">
        <v>101</v>
      </c>
      <c r="D257" s="285" t="s">
        <v>102</v>
      </c>
      <c r="E257" s="286" t="s">
        <v>103</v>
      </c>
      <c r="F257" s="302">
        <f>'SUMMARY TENDERED FEE'!H17</f>
        <v>0</v>
      </c>
      <c r="G257" s="177"/>
      <c r="H257" s="177"/>
    </row>
    <row r="258" spans="1:9">
      <c r="A258" s="285"/>
      <c r="B258" s="303" t="s">
        <v>132</v>
      </c>
      <c r="C258" s="285" t="s">
        <v>101</v>
      </c>
      <c r="D258" s="285" t="s">
        <v>102</v>
      </c>
      <c r="E258" s="286" t="s">
        <v>103</v>
      </c>
      <c r="F258" s="302">
        <v>0</v>
      </c>
      <c r="G258" s="177"/>
      <c r="H258" s="177"/>
    </row>
    <row r="259" spans="1:9">
      <c r="A259" s="1067"/>
      <c r="B259" s="1067" t="s">
        <v>133</v>
      </c>
      <c r="C259" s="1067"/>
      <c r="D259" s="1067"/>
      <c r="E259" s="1068"/>
      <c r="F259" s="1067"/>
      <c r="G259" s="177"/>
      <c r="H259" s="177"/>
    </row>
    <row r="260" spans="1:9">
      <c r="A260" s="1067"/>
      <c r="B260" s="1069" t="s">
        <v>131</v>
      </c>
      <c r="C260" s="1067" t="s">
        <v>101</v>
      </c>
      <c r="D260" s="1067" t="s">
        <v>102</v>
      </c>
      <c r="E260" s="1068" t="s">
        <v>103</v>
      </c>
      <c r="F260" s="1070">
        <f>'SUMMARY TENDERED FEE'!H18</f>
        <v>0</v>
      </c>
      <c r="G260" s="177"/>
      <c r="H260" s="177"/>
    </row>
    <row r="261" spans="1:9">
      <c r="A261" s="1067"/>
      <c r="B261" s="1071" t="s">
        <v>132</v>
      </c>
      <c r="C261" s="1067" t="s">
        <v>101</v>
      </c>
      <c r="D261" s="1067" t="s">
        <v>102</v>
      </c>
      <c r="E261" s="1068" t="s">
        <v>103</v>
      </c>
      <c r="F261" s="1070">
        <v>0</v>
      </c>
      <c r="G261" s="177"/>
      <c r="H261" s="177"/>
    </row>
    <row r="262" spans="1:9">
      <c r="A262" s="285"/>
      <c r="B262" s="1067" t="s">
        <v>134</v>
      </c>
      <c r="C262" s="1067"/>
      <c r="D262" s="1067"/>
      <c r="E262" s="1068"/>
      <c r="F262" s="1067"/>
      <c r="G262" s="177"/>
      <c r="H262" s="177"/>
      <c r="I262" s="140"/>
    </row>
    <row r="263" spans="1:9">
      <c r="A263" s="285"/>
      <c r="B263" s="1069" t="s">
        <v>131</v>
      </c>
      <c r="C263" s="1067" t="s">
        <v>101</v>
      </c>
      <c r="D263" s="1067" t="s">
        <v>102</v>
      </c>
      <c r="E263" s="1068" t="s">
        <v>103</v>
      </c>
      <c r="F263" s="1070">
        <f>'SUMMARY TENDERED FEE'!H19</f>
        <v>0</v>
      </c>
      <c r="G263" s="177"/>
      <c r="H263" s="177"/>
    </row>
    <row r="264" spans="1:9">
      <c r="A264" s="285"/>
      <c r="B264" s="1071" t="s">
        <v>132</v>
      </c>
      <c r="C264" s="1067" t="s">
        <v>101</v>
      </c>
      <c r="D264" s="1067" t="s">
        <v>102</v>
      </c>
      <c r="E264" s="1068" t="s">
        <v>103</v>
      </c>
      <c r="F264" s="1070">
        <v>0</v>
      </c>
      <c r="G264" s="177"/>
      <c r="H264" s="177"/>
    </row>
    <row r="265" spans="1:9">
      <c r="A265" s="285"/>
      <c r="B265" s="1067" t="s">
        <v>135</v>
      </c>
      <c r="C265" s="1067"/>
      <c r="D265" s="1067"/>
      <c r="E265" s="1068"/>
      <c r="F265" s="1067"/>
      <c r="G265" s="177"/>
      <c r="H265" s="177"/>
      <c r="I265" s="140"/>
    </row>
    <row r="266" spans="1:9">
      <c r="A266" s="285"/>
      <c r="B266" s="1069" t="s">
        <v>131</v>
      </c>
      <c r="C266" s="1067" t="s">
        <v>101</v>
      </c>
      <c r="D266" s="1067" t="s">
        <v>102</v>
      </c>
      <c r="E266" s="1068" t="s">
        <v>103</v>
      </c>
      <c r="F266" s="1070">
        <f>'SUMMARY TENDERED FEE'!H20</f>
        <v>0</v>
      </c>
      <c r="G266" s="177"/>
      <c r="H266" s="177"/>
    </row>
    <row r="267" spans="1:9">
      <c r="A267" s="285"/>
      <c r="B267" s="1071" t="s">
        <v>132</v>
      </c>
      <c r="C267" s="1067" t="s">
        <v>101</v>
      </c>
      <c r="D267" s="1067" t="s">
        <v>102</v>
      </c>
      <c r="E267" s="1068" t="s">
        <v>103</v>
      </c>
      <c r="F267" s="1070">
        <v>0</v>
      </c>
      <c r="G267" s="177"/>
      <c r="H267" s="177"/>
    </row>
    <row r="268" spans="1:9">
      <c r="A268" s="285"/>
      <c r="B268" s="1067" t="s">
        <v>136</v>
      </c>
      <c r="C268" s="1067"/>
      <c r="D268" s="1067"/>
      <c r="E268" s="1068"/>
      <c r="F268" s="1067"/>
      <c r="G268" s="177"/>
      <c r="H268" s="177"/>
      <c r="I268" s="140"/>
    </row>
    <row r="269" spans="1:9">
      <c r="A269" s="285"/>
      <c r="B269" s="1069" t="s">
        <v>131</v>
      </c>
      <c r="C269" s="1067" t="s">
        <v>101</v>
      </c>
      <c r="D269" s="1067" t="s">
        <v>102</v>
      </c>
      <c r="E269" s="1068" t="s">
        <v>103</v>
      </c>
      <c r="F269" s="1070">
        <f>'SUMMARY TENDERED FEE'!H21</f>
        <v>0</v>
      </c>
      <c r="G269" s="177"/>
      <c r="H269" s="177"/>
    </row>
    <row r="270" spans="1:9">
      <c r="A270" s="285"/>
      <c r="B270" s="1071" t="s">
        <v>132</v>
      </c>
      <c r="C270" s="1067" t="s">
        <v>101</v>
      </c>
      <c r="D270" s="1067" t="s">
        <v>102</v>
      </c>
      <c r="E270" s="1068" t="s">
        <v>103</v>
      </c>
      <c r="F270" s="1070">
        <v>0</v>
      </c>
      <c r="G270" s="177"/>
      <c r="H270" s="177"/>
    </row>
    <row r="271" spans="1:9">
      <c r="A271" s="285"/>
      <c r="B271" s="1067" t="s">
        <v>137</v>
      </c>
      <c r="C271" s="1067"/>
      <c r="D271" s="1067"/>
      <c r="E271" s="1068"/>
      <c r="F271" s="1067"/>
      <c r="G271" s="177"/>
      <c r="H271" s="177"/>
    </row>
    <row r="272" spans="1:9">
      <c r="A272" s="285"/>
      <c r="B272" s="1069" t="s">
        <v>131</v>
      </c>
      <c r="C272" s="1067" t="s">
        <v>101</v>
      </c>
      <c r="D272" s="1067" t="s">
        <v>102</v>
      </c>
      <c r="E272" s="1068" t="s">
        <v>103</v>
      </c>
      <c r="F272" s="1070">
        <f>'SUMMARY TENDERED FEE'!H22</f>
        <v>0</v>
      </c>
      <c r="G272" s="177"/>
      <c r="H272" s="177"/>
    </row>
    <row r="273" spans="1:8">
      <c r="A273" s="285"/>
      <c r="B273" s="1071" t="s">
        <v>132</v>
      </c>
      <c r="C273" s="1067" t="s">
        <v>101</v>
      </c>
      <c r="D273" s="1067" t="s">
        <v>102</v>
      </c>
      <c r="E273" s="1068" t="s">
        <v>103</v>
      </c>
      <c r="F273" s="1070">
        <v>0</v>
      </c>
      <c r="G273" s="177"/>
      <c r="H273" s="177"/>
    </row>
    <row r="274" spans="1:8">
      <c r="A274" s="285"/>
      <c r="B274" s="1067" t="s">
        <v>138</v>
      </c>
      <c r="C274" s="1067"/>
      <c r="D274" s="1067"/>
      <c r="E274" s="1068"/>
      <c r="F274" s="1067"/>
      <c r="G274" s="177"/>
      <c r="H274" s="177"/>
    </row>
    <row r="275" spans="1:8">
      <c r="A275" s="285"/>
      <c r="B275" s="1069" t="s">
        <v>131</v>
      </c>
      <c r="C275" s="1067" t="s">
        <v>101</v>
      </c>
      <c r="D275" s="1067" t="s">
        <v>102</v>
      </c>
      <c r="E275" s="1068" t="s">
        <v>103</v>
      </c>
      <c r="F275" s="1070">
        <f>'SUMMARY TENDERED FEE'!H23</f>
        <v>0</v>
      </c>
      <c r="G275" s="177"/>
      <c r="H275" s="177"/>
    </row>
    <row r="276" spans="1:8">
      <c r="A276" s="285"/>
      <c r="B276" s="1071" t="s">
        <v>139</v>
      </c>
      <c r="C276" s="1067" t="s">
        <v>101</v>
      </c>
      <c r="D276" s="1067" t="s">
        <v>102</v>
      </c>
      <c r="E276" s="1068" t="s">
        <v>103</v>
      </c>
      <c r="F276" s="1070">
        <v>0</v>
      </c>
      <c r="G276" s="177"/>
      <c r="H276" s="177"/>
    </row>
    <row r="277" spans="1:8">
      <c r="A277" s="285"/>
      <c r="B277" s="59" t="s">
        <v>861</v>
      </c>
      <c r="C277" s="285" t="s">
        <v>120</v>
      </c>
      <c r="D277" s="294">
        <v>18</v>
      </c>
      <c r="E277" s="902"/>
      <c r="F277" s="290">
        <f>D277*E277</f>
        <v>0</v>
      </c>
      <c r="G277" s="1111" t="s">
        <v>826</v>
      </c>
      <c r="H277" s="177">
        <f t="shared" ref="H277:H282" si="10">IF(G277="n",0,999999999999999000000)</f>
        <v>9.9999999999999895E+20</v>
      </c>
    </row>
    <row r="278" spans="1:8" ht="28.8">
      <c r="A278" s="285"/>
      <c r="B278" s="950" t="s">
        <v>932</v>
      </c>
      <c r="C278" s="285" t="s">
        <v>120</v>
      </c>
      <c r="D278" s="294">
        <v>2</v>
      </c>
      <c r="E278" s="902"/>
      <c r="F278" s="290">
        <f>D278*E278</f>
        <v>0</v>
      </c>
      <c r="G278" s="1111" t="s">
        <v>826</v>
      </c>
      <c r="H278" s="177">
        <f t="shared" si="10"/>
        <v>9.9999999999999895E+20</v>
      </c>
    </row>
    <row r="279" spans="1:8" ht="28.8">
      <c r="A279" s="285"/>
      <c r="B279" s="950" t="s">
        <v>933</v>
      </c>
      <c r="C279" s="285" t="s">
        <v>120</v>
      </c>
      <c r="D279" s="294">
        <v>2</v>
      </c>
      <c r="E279" s="902"/>
      <c r="F279" s="290">
        <f>D279*E279</f>
        <v>0</v>
      </c>
      <c r="G279" s="1111" t="s">
        <v>826</v>
      </c>
      <c r="H279" s="177">
        <f t="shared" si="10"/>
        <v>9.9999999999999895E+20</v>
      </c>
    </row>
    <row r="280" spans="1:8">
      <c r="A280" s="287"/>
      <c r="B280" s="59" t="s">
        <v>934</v>
      </c>
      <c r="C280" s="285"/>
      <c r="D280" s="285"/>
      <c r="E280" s="286"/>
      <c r="F280" s="302"/>
      <c r="G280" s="177"/>
      <c r="H280" s="177"/>
    </row>
    <row r="281" spans="1:8">
      <c r="A281" s="285"/>
      <c r="B281" s="59" t="s">
        <v>935</v>
      </c>
      <c r="C281" s="285" t="s">
        <v>123</v>
      </c>
      <c r="D281" s="285" t="s">
        <v>124</v>
      </c>
      <c r="E281" s="285" t="s">
        <v>103</v>
      </c>
      <c r="F281" s="893">
        <v>400000</v>
      </c>
      <c r="G281" s="1111" t="s">
        <v>826</v>
      </c>
      <c r="H281" s="177">
        <f t="shared" si="10"/>
        <v>9.9999999999999895E+20</v>
      </c>
    </row>
    <row r="282" spans="1:8">
      <c r="A282" s="285"/>
      <c r="B282" s="59" t="s">
        <v>936</v>
      </c>
      <c r="C282" s="285" t="s">
        <v>113</v>
      </c>
      <c r="D282" s="285" t="s">
        <v>114</v>
      </c>
      <c r="E282" s="285" t="s">
        <v>115</v>
      </c>
      <c r="F282" s="893">
        <v>100000</v>
      </c>
      <c r="G282" s="1111" t="s">
        <v>826</v>
      </c>
      <c r="H282" s="177">
        <f t="shared" si="10"/>
        <v>9.9999999999999895E+20</v>
      </c>
    </row>
    <row r="283" spans="1:8">
      <c r="A283" s="287" t="s">
        <v>530</v>
      </c>
      <c r="B283" s="59" t="s">
        <v>534</v>
      </c>
      <c r="C283" s="285"/>
      <c r="D283" s="285"/>
      <c r="E283" s="286"/>
      <c r="F283" s="302"/>
      <c r="G283" s="177"/>
      <c r="H283" s="177"/>
    </row>
    <row r="284" spans="1:8">
      <c r="A284" s="287"/>
      <c r="B284" s="781" t="s">
        <v>532</v>
      </c>
      <c r="C284" s="285" t="s">
        <v>120</v>
      </c>
      <c r="D284" s="294">
        <v>18</v>
      </c>
      <c r="E284" s="902"/>
      <c r="F284" s="290">
        <f>D284*E284</f>
        <v>0</v>
      </c>
      <c r="G284" s="1111" t="s">
        <v>826</v>
      </c>
      <c r="H284" s="177">
        <f>IF(G284="n",0,999999999999999000000)</f>
        <v>9.9999999999999895E+20</v>
      </c>
    </row>
    <row r="285" spans="1:8">
      <c r="A285" s="287"/>
      <c r="B285" s="285" t="s">
        <v>533</v>
      </c>
      <c r="C285" s="285" t="s">
        <v>123</v>
      </c>
      <c r="D285" s="285" t="s">
        <v>124</v>
      </c>
      <c r="E285" s="285" t="s">
        <v>103</v>
      </c>
      <c r="F285" s="893">
        <v>30000</v>
      </c>
      <c r="G285" s="1111" t="s">
        <v>826</v>
      </c>
      <c r="H285" s="177">
        <f>IF(G285="n",0,999999999999999000000)</f>
        <v>9.9999999999999895E+20</v>
      </c>
    </row>
    <row r="286" spans="1:8">
      <c r="A286" s="285"/>
      <c r="B286" s="285" t="s">
        <v>535</v>
      </c>
      <c r="C286" s="285" t="s">
        <v>156</v>
      </c>
      <c r="D286" s="302">
        <f>F285</f>
        <v>30000</v>
      </c>
      <c r="E286" s="903"/>
      <c r="F286" s="290">
        <f>D286*E286</f>
        <v>0</v>
      </c>
      <c r="G286" s="1111" t="s">
        <v>826</v>
      </c>
      <c r="H286" s="177">
        <f>IF(G286="n",0,999999999999999000000)</f>
        <v>9.9999999999999895E+20</v>
      </c>
    </row>
    <row r="287" spans="1:8">
      <c r="A287" s="287" t="s">
        <v>536</v>
      </c>
      <c r="B287" s="59" t="s">
        <v>537</v>
      </c>
      <c r="C287" s="285"/>
      <c r="D287" s="285"/>
      <c r="E287" s="286"/>
      <c r="F287" s="302"/>
      <c r="G287" s="177"/>
      <c r="H287" s="177"/>
    </row>
    <row r="288" spans="1:8">
      <c r="A288" s="287"/>
      <c r="B288" s="285" t="s">
        <v>538</v>
      </c>
      <c r="C288" s="285" t="s">
        <v>113</v>
      </c>
      <c r="D288" s="285" t="s">
        <v>114</v>
      </c>
      <c r="E288" s="285" t="s">
        <v>115</v>
      </c>
      <c r="F288" s="893">
        <v>100000</v>
      </c>
      <c r="G288" s="1111" t="s">
        <v>826</v>
      </c>
      <c r="H288" s="177">
        <f>IF(G288="n",0,999999999999999000000)</f>
        <v>9.9999999999999895E+20</v>
      </c>
    </row>
    <row r="289" spans="1:8">
      <c r="A289" s="285"/>
      <c r="B289" s="285" t="s">
        <v>539</v>
      </c>
      <c r="C289" s="285" t="s">
        <v>156</v>
      </c>
      <c r="D289" s="302">
        <f>F288</f>
        <v>100000</v>
      </c>
      <c r="E289" s="903"/>
      <c r="F289" s="290">
        <f>D289*E289</f>
        <v>0</v>
      </c>
      <c r="G289" s="1111" t="s">
        <v>826</v>
      </c>
      <c r="H289" s="177">
        <f>IF(G289="n",0,999999999999999000000)</f>
        <v>9.9999999999999895E+20</v>
      </c>
    </row>
    <row r="290" spans="1:8">
      <c r="A290" s="287"/>
      <c r="B290" s="285" t="s">
        <v>646</v>
      </c>
      <c r="C290" s="285" t="s">
        <v>101</v>
      </c>
      <c r="D290" s="285" t="s">
        <v>102</v>
      </c>
      <c r="E290" s="285" t="s">
        <v>103</v>
      </c>
      <c r="F290" s="902"/>
      <c r="G290" s="1111" t="s">
        <v>826</v>
      </c>
      <c r="H290" s="177">
        <f>IF(G290="n",0,999999999999999000000)</f>
        <v>9.9999999999999895E+20</v>
      </c>
    </row>
    <row r="291" spans="1:8">
      <c r="A291" s="287" t="s">
        <v>540</v>
      </c>
      <c r="B291" s="59" t="s">
        <v>547</v>
      </c>
      <c r="C291" s="285"/>
      <c r="D291" s="285"/>
      <c r="E291" s="286"/>
      <c r="F291" s="653"/>
      <c r="G291" s="177"/>
      <c r="H291" s="177"/>
    </row>
    <row r="292" spans="1:8">
      <c r="A292" s="287"/>
      <c r="B292" s="285" t="s">
        <v>541</v>
      </c>
      <c r="C292" s="285" t="s">
        <v>123</v>
      </c>
      <c r="D292" s="285" t="s">
        <v>124</v>
      </c>
      <c r="E292" s="285" t="s">
        <v>103</v>
      </c>
      <c r="F292" s="893">
        <v>11000000</v>
      </c>
      <c r="G292" s="1111" t="s">
        <v>826</v>
      </c>
      <c r="H292" s="177">
        <f t="shared" ref="H292:H300" si="11">IF(G292="n",0,999999999999999000000)</f>
        <v>9.9999999999999895E+20</v>
      </c>
    </row>
    <row r="293" spans="1:8">
      <c r="A293" s="285"/>
      <c r="B293" s="285" t="s">
        <v>542</v>
      </c>
      <c r="C293" s="285" t="s">
        <v>156</v>
      </c>
      <c r="D293" s="302">
        <f>F292</f>
        <v>11000000</v>
      </c>
      <c r="E293" s="903"/>
      <c r="F293" s="290">
        <f>D293*E293</f>
        <v>0</v>
      </c>
      <c r="G293" s="1111" t="s">
        <v>826</v>
      </c>
      <c r="H293" s="177">
        <f t="shared" si="11"/>
        <v>9.9999999999999895E+20</v>
      </c>
    </row>
    <row r="294" spans="1:8">
      <c r="A294" s="287"/>
      <c r="B294" s="285" t="s">
        <v>543</v>
      </c>
      <c r="C294" s="285" t="s">
        <v>113</v>
      </c>
      <c r="D294" s="285" t="s">
        <v>114</v>
      </c>
      <c r="E294" s="285" t="s">
        <v>115</v>
      </c>
      <c r="F294" s="893">
        <v>700000</v>
      </c>
      <c r="G294" s="1111" t="s">
        <v>826</v>
      </c>
      <c r="H294" s="177">
        <f t="shared" si="11"/>
        <v>9.9999999999999895E+20</v>
      </c>
    </row>
    <row r="295" spans="1:8">
      <c r="A295" s="285"/>
      <c r="B295" s="285" t="s">
        <v>647</v>
      </c>
      <c r="C295" s="285" t="s">
        <v>156</v>
      </c>
      <c r="D295" s="302">
        <f>F294</f>
        <v>700000</v>
      </c>
      <c r="E295" s="903"/>
      <c r="F295" s="290">
        <f>D295*E295</f>
        <v>0</v>
      </c>
      <c r="G295" s="1111" t="s">
        <v>826</v>
      </c>
      <c r="H295" s="177">
        <f t="shared" si="11"/>
        <v>9.9999999999999895E+20</v>
      </c>
    </row>
    <row r="296" spans="1:8">
      <c r="A296" s="287"/>
      <c r="B296" s="781" t="s">
        <v>544</v>
      </c>
      <c r="C296" s="285" t="s">
        <v>120</v>
      </c>
      <c r="D296" s="294">
        <v>18</v>
      </c>
      <c r="E296" s="902"/>
      <c r="F296" s="290">
        <f>D296*E296</f>
        <v>0</v>
      </c>
      <c r="G296" s="1111" t="s">
        <v>826</v>
      </c>
      <c r="H296" s="177">
        <f t="shared" si="11"/>
        <v>9.9999999999999895E+20</v>
      </c>
    </row>
    <row r="297" spans="1:8">
      <c r="A297" s="287"/>
      <c r="B297" s="285" t="s">
        <v>820</v>
      </c>
      <c r="C297" s="285" t="s">
        <v>123</v>
      </c>
      <c r="D297" s="285" t="s">
        <v>124</v>
      </c>
      <c r="E297" s="285" t="s">
        <v>103</v>
      </c>
      <c r="F297" s="893">
        <v>250000</v>
      </c>
      <c r="G297" s="1111" t="s">
        <v>826</v>
      </c>
      <c r="H297" s="177">
        <f t="shared" si="11"/>
        <v>9.9999999999999895E+20</v>
      </c>
    </row>
    <row r="298" spans="1:8">
      <c r="A298" s="285"/>
      <c r="B298" s="285" t="s">
        <v>545</v>
      </c>
      <c r="C298" s="285" t="s">
        <v>156</v>
      </c>
      <c r="D298" s="302">
        <f>F297</f>
        <v>250000</v>
      </c>
      <c r="E298" s="903"/>
      <c r="F298" s="290">
        <f>D298*E298</f>
        <v>0</v>
      </c>
      <c r="G298" s="1111" t="s">
        <v>826</v>
      </c>
      <c r="H298" s="177">
        <f t="shared" si="11"/>
        <v>9.9999999999999895E+20</v>
      </c>
    </row>
    <row r="299" spans="1:8">
      <c r="A299" s="287"/>
      <c r="B299" s="285" t="s">
        <v>589</v>
      </c>
      <c r="C299" s="285" t="s">
        <v>123</v>
      </c>
      <c r="D299" s="285" t="s">
        <v>124</v>
      </c>
      <c r="E299" s="285" t="s">
        <v>103</v>
      </c>
      <c r="F299" s="893">
        <v>1500000</v>
      </c>
      <c r="G299" s="1111" t="s">
        <v>826</v>
      </c>
      <c r="H299" s="177">
        <f t="shared" si="11"/>
        <v>9.9999999999999895E+20</v>
      </c>
    </row>
    <row r="300" spans="1:8">
      <c r="A300" s="285"/>
      <c r="B300" s="285" t="s">
        <v>546</v>
      </c>
      <c r="C300" s="285" t="s">
        <v>156</v>
      </c>
      <c r="D300" s="302">
        <f>F299</f>
        <v>1500000</v>
      </c>
      <c r="E300" s="903"/>
      <c r="F300" s="290">
        <f>D300*E300</f>
        <v>0</v>
      </c>
      <c r="G300" s="1111" t="s">
        <v>826</v>
      </c>
      <c r="H300" s="177">
        <f t="shared" si="11"/>
        <v>9.9999999999999895E+20</v>
      </c>
    </row>
    <row r="301" spans="1:8">
      <c r="A301" s="287" t="s">
        <v>531</v>
      </c>
      <c r="B301" s="285" t="s">
        <v>150</v>
      </c>
      <c r="C301" s="285"/>
      <c r="D301" s="285"/>
      <c r="E301" s="286"/>
      <c r="F301" s="290"/>
      <c r="G301" s="177"/>
      <c r="H301" s="177"/>
    </row>
    <row r="302" spans="1:8">
      <c r="A302" s="287"/>
      <c r="B302" s="781" t="s">
        <v>151</v>
      </c>
      <c r="C302" s="285" t="s">
        <v>152</v>
      </c>
      <c r="D302" s="294">
        <v>18</v>
      </c>
      <c r="E302" s="902"/>
      <c r="F302" s="290">
        <f>D302*E302</f>
        <v>0</v>
      </c>
      <c r="G302" s="1111" t="s">
        <v>826</v>
      </c>
      <c r="H302" s="177">
        <f>IF(G302="n",0,999999999999999000000)</f>
        <v>9.9999999999999895E+20</v>
      </c>
    </row>
    <row r="303" spans="1:8">
      <c r="A303" s="287"/>
      <c r="B303" s="781" t="s">
        <v>869</v>
      </c>
      <c r="C303" s="285" t="s">
        <v>152</v>
      </c>
      <c r="D303" s="294">
        <v>36</v>
      </c>
      <c r="E303" s="902"/>
      <c r="F303" s="290">
        <f>D303*E303</f>
        <v>0</v>
      </c>
      <c r="G303" s="1111" t="s">
        <v>826</v>
      </c>
      <c r="H303" s="177">
        <f>IF(G303="n",0,999999999999999000000)</f>
        <v>9.9999999999999895E+20</v>
      </c>
    </row>
    <row r="304" spans="1:8">
      <c r="A304" s="287"/>
      <c r="B304" s="285" t="s">
        <v>153</v>
      </c>
      <c r="C304" s="285" t="s">
        <v>123</v>
      </c>
      <c r="D304" s="285" t="s">
        <v>124</v>
      </c>
      <c r="E304" s="285" t="s">
        <v>103</v>
      </c>
      <c r="F304" s="893">
        <v>300000</v>
      </c>
      <c r="G304" s="1111" t="s">
        <v>826</v>
      </c>
      <c r="H304" s="177">
        <f>IF(G304="n",0,999999999999999000000)</f>
        <v>9.9999999999999895E+20</v>
      </c>
    </row>
    <row r="305" spans="1:8">
      <c r="A305" s="287" t="s">
        <v>556</v>
      </c>
      <c r="B305" s="285" t="s">
        <v>558</v>
      </c>
      <c r="C305" s="285"/>
      <c r="D305" s="285"/>
      <c r="E305" s="286"/>
      <c r="F305" s="312"/>
      <c r="G305" s="177"/>
      <c r="H305" s="177"/>
    </row>
    <row r="306" spans="1:8">
      <c r="A306" s="287"/>
      <c r="B306" s="285" t="s">
        <v>557</v>
      </c>
      <c r="C306" s="285" t="s">
        <v>123</v>
      </c>
      <c r="D306" s="285" t="s">
        <v>124</v>
      </c>
      <c r="E306" s="285" t="s">
        <v>103</v>
      </c>
      <c r="F306" s="893">
        <v>1500000</v>
      </c>
      <c r="G306" s="1111" t="s">
        <v>826</v>
      </c>
      <c r="H306" s="177">
        <f>IF(G306="n",0,999999999999999000000)</f>
        <v>9.9999999999999895E+20</v>
      </c>
    </row>
    <row r="307" spans="1:8">
      <c r="A307" s="285"/>
      <c r="B307" s="285" t="s">
        <v>559</v>
      </c>
      <c r="C307" s="285" t="s">
        <v>156</v>
      </c>
      <c r="D307" s="302">
        <f>F306</f>
        <v>1500000</v>
      </c>
      <c r="E307" s="903"/>
      <c r="F307" s="290">
        <f>D307*E307</f>
        <v>0</v>
      </c>
      <c r="G307" s="1111" t="s">
        <v>826</v>
      </c>
      <c r="H307" s="177">
        <f>IF(G307="n",0,999999999999999000000)</f>
        <v>9.9999999999999895E+20</v>
      </c>
    </row>
    <row r="308" spans="1:8">
      <c r="A308" s="285"/>
      <c r="B308" s="285" t="s">
        <v>872</v>
      </c>
      <c r="C308" s="285" t="s">
        <v>113</v>
      </c>
      <c r="D308" s="285" t="s">
        <v>114</v>
      </c>
      <c r="E308" s="285" t="s">
        <v>115</v>
      </c>
      <c r="F308" s="967"/>
      <c r="G308" s="1112" t="s">
        <v>989</v>
      </c>
      <c r="H308" s="177">
        <f>IF(G308="n",0,999999999999999000000)</f>
        <v>0</v>
      </c>
    </row>
    <row r="309" spans="1:8" ht="28.8">
      <c r="A309" s="287" t="s">
        <v>885</v>
      </c>
      <c r="B309" s="781" t="s">
        <v>886</v>
      </c>
      <c r="C309" s="285"/>
      <c r="D309" s="285"/>
      <c r="E309" s="286"/>
      <c r="F309" s="312"/>
      <c r="G309" s="177"/>
      <c r="H309" s="177"/>
    </row>
    <row r="310" spans="1:8">
      <c r="A310" s="287"/>
      <c r="B310" s="781" t="s">
        <v>162</v>
      </c>
      <c r="C310" s="285" t="s">
        <v>160</v>
      </c>
      <c r="D310" s="294">
        <v>10</v>
      </c>
      <c r="E310" s="902"/>
      <c r="F310" s="290">
        <f>D310*E310</f>
        <v>0</v>
      </c>
      <c r="G310" s="1111" t="s">
        <v>826</v>
      </c>
      <c r="H310" s="177">
        <f t="shared" ref="H310:H315" si="12">IF(G310="n",0,999999999999999000000)</f>
        <v>9.9999999999999895E+20</v>
      </c>
    </row>
    <row r="311" spans="1:8">
      <c r="A311" s="287"/>
      <c r="B311" s="781" t="s">
        <v>887</v>
      </c>
      <c r="C311" s="285" t="s">
        <v>160</v>
      </c>
      <c r="D311" s="294">
        <v>20</v>
      </c>
      <c r="E311" s="902"/>
      <c r="F311" s="290">
        <f>D311*E311</f>
        <v>0</v>
      </c>
      <c r="G311" s="1111" t="s">
        <v>826</v>
      </c>
      <c r="H311" s="177">
        <f t="shared" si="12"/>
        <v>9.9999999999999895E+20</v>
      </c>
    </row>
    <row r="312" spans="1:8">
      <c r="A312" s="287"/>
      <c r="B312" s="781" t="s">
        <v>888</v>
      </c>
      <c r="C312" s="285" t="s">
        <v>160</v>
      </c>
      <c r="D312" s="294">
        <v>20</v>
      </c>
      <c r="E312" s="902"/>
      <c r="F312" s="290">
        <f>D312*E312</f>
        <v>0</v>
      </c>
      <c r="G312" s="1111" t="s">
        <v>826</v>
      </c>
      <c r="H312" s="177">
        <f t="shared" si="12"/>
        <v>9.9999999999999895E+20</v>
      </c>
    </row>
    <row r="313" spans="1:8">
      <c r="A313" s="287" t="s">
        <v>937</v>
      </c>
      <c r="B313" s="781" t="s">
        <v>938</v>
      </c>
      <c r="C313" s="285"/>
      <c r="D313" s="285"/>
      <c r="E313" s="286"/>
      <c r="F313" s="312"/>
      <c r="G313" s="177"/>
      <c r="H313" s="177"/>
    </row>
    <row r="314" spans="1:8">
      <c r="A314" s="287"/>
      <c r="B314" s="951" t="s">
        <v>939</v>
      </c>
      <c r="C314" s="285" t="s">
        <v>113</v>
      </c>
      <c r="D314" s="285" t="s">
        <v>114</v>
      </c>
      <c r="E314" s="285" t="s">
        <v>115</v>
      </c>
      <c r="F314" s="967">
        <v>250000</v>
      </c>
      <c r="G314" s="1112" t="s">
        <v>826</v>
      </c>
      <c r="H314" s="177">
        <f t="shared" si="12"/>
        <v>9.9999999999999895E+20</v>
      </c>
    </row>
    <row r="315" spans="1:8" ht="28.8">
      <c r="A315" s="287"/>
      <c r="B315" s="951" t="s">
        <v>940</v>
      </c>
      <c r="C315" s="285" t="s">
        <v>101</v>
      </c>
      <c r="D315" s="285" t="s">
        <v>102</v>
      </c>
      <c r="E315" s="285" t="s">
        <v>103</v>
      </c>
      <c r="F315" s="902"/>
      <c r="G315" s="1111" t="s">
        <v>826</v>
      </c>
      <c r="H315" s="177">
        <f t="shared" si="12"/>
        <v>9.9999999999999895E+20</v>
      </c>
    </row>
    <row r="316" spans="1:8">
      <c r="A316" s="285"/>
      <c r="B316" s="291" t="s">
        <v>199</v>
      </c>
      <c r="C316" s="292"/>
      <c r="D316" s="292"/>
      <c r="E316" s="293"/>
      <c r="F316" s="290">
        <f>SUM(F256:F315)</f>
        <v>16130000</v>
      </c>
      <c r="G316" s="177"/>
      <c r="H316" s="177"/>
    </row>
    <row r="317" spans="1:8">
      <c r="A317" s="284">
        <v>3.8</v>
      </c>
      <c r="B317" s="305" t="s">
        <v>815</v>
      </c>
      <c r="C317" s="285"/>
      <c r="D317" s="285"/>
      <c r="E317" s="286"/>
      <c r="F317" s="302"/>
      <c r="G317" s="177"/>
      <c r="H317" s="177"/>
    </row>
    <row r="318" spans="1:8">
      <c r="A318" s="287" t="s">
        <v>250</v>
      </c>
      <c r="B318" s="306" t="s">
        <v>226</v>
      </c>
      <c r="C318" s="285"/>
      <c r="D318" s="285"/>
      <c r="E318" s="286"/>
      <c r="F318" s="302"/>
      <c r="G318" s="177"/>
      <c r="H318" s="177"/>
    </row>
    <row r="319" spans="1:8">
      <c r="A319" s="287"/>
      <c r="B319" s="307" t="s">
        <v>263</v>
      </c>
      <c r="C319" s="296"/>
      <c r="D319" s="285"/>
      <c r="E319" s="286"/>
      <c r="F319" s="302"/>
      <c r="G319" s="177"/>
      <c r="H319" s="177"/>
    </row>
    <row r="320" spans="1:8">
      <c r="A320" s="285"/>
      <c r="B320" s="285" t="s">
        <v>264</v>
      </c>
      <c r="C320" s="285" t="s">
        <v>227</v>
      </c>
      <c r="D320" s="294">
        <v>0</v>
      </c>
      <c r="E320" s="302">
        <f>DATA!$B$7</f>
        <v>3534</v>
      </c>
      <c r="F320" s="290">
        <f>D320*E320</f>
        <v>0</v>
      </c>
      <c r="G320" s="1111" t="s">
        <v>826</v>
      </c>
      <c r="H320" s="177">
        <f t="shared" ref="H320:H325" si="13">IF(G320="n",0,999999999999999000000)</f>
        <v>9.9999999999999895E+20</v>
      </c>
    </row>
    <row r="321" spans="1:8">
      <c r="A321" s="285"/>
      <c r="B321" s="285" t="s">
        <v>265</v>
      </c>
      <c r="C321" s="285" t="s">
        <v>227</v>
      </c>
      <c r="D321" s="294">
        <v>80</v>
      </c>
      <c r="E321" s="302">
        <f>DATA!$B$8</f>
        <v>2796</v>
      </c>
      <c r="F321" s="290">
        <f>D321*E321</f>
        <v>223680</v>
      </c>
      <c r="G321" s="1111" t="s">
        <v>826</v>
      </c>
      <c r="H321" s="177">
        <f t="shared" si="13"/>
        <v>9.9999999999999895E+20</v>
      </c>
    </row>
    <row r="322" spans="1:8">
      <c r="A322" s="285"/>
      <c r="B322" s="285" t="s">
        <v>266</v>
      </c>
      <c r="C322" s="285" t="s">
        <v>227</v>
      </c>
      <c r="D322" s="294">
        <v>100</v>
      </c>
      <c r="E322" s="302">
        <f>DATA!$B$9</f>
        <v>2403</v>
      </c>
      <c r="F322" s="290">
        <f>D322*E322</f>
        <v>240300</v>
      </c>
      <c r="G322" s="1111" t="s">
        <v>826</v>
      </c>
      <c r="H322" s="177">
        <f t="shared" si="13"/>
        <v>9.9999999999999895E+20</v>
      </c>
    </row>
    <row r="323" spans="1:8">
      <c r="A323" s="285"/>
      <c r="B323" s="285" t="s">
        <v>267</v>
      </c>
      <c r="C323" s="285" t="s">
        <v>227</v>
      </c>
      <c r="D323" s="294">
        <v>50</v>
      </c>
      <c r="E323" s="302">
        <f>DATA!$B$10</f>
        <v>1167</v>
      </c>
      <c r="F323" s="290">
        <f>D323*E323</f>
        <v>58350</v>
      </c>
      <c r="G323" s="1111" t="s">
        <v>826</v>
      </c>
      <c r="H323" s="177">
        <f t="shared" si="13"/>
        <v>9.9999999999999895E+20</v>
      </c>
    </row>
    <row r="324" spans="1:8">
      <c r="A324" s="287"/>
      <c r="B324" s="285" t="s">
        <v>125</v>
      </c>
      <c r="C324" s="285" t="s">
        <v>113</v>
      </c>
      <c r="D324" s="285" t="s">
        <v>114</v>
      </c>
      <c r="E324" s="285" t="s">
        <v>115</v>
      </c>
      <c r="F324" s="893">
        <v>50000</v>
      </c>
      <c r="G324" s="1111" t="s">
        <v>826</v>
      </c>
      <c r="H324" s="177">
        <f t="shared" si="13"/>
        <v>9.9999999999999895E+20</v>
      </c>
    </row>
    <row r="325" spans="1:8">
      <c r="A325" s="285"/>
      <c r="B325" s="285" t="s">
        <v>268</v>
      </c>
      <c r="C325" s="285" t="s">
        <v>126</v>
      </c>
      <c r="D325" s="302">
        <f>F324</f>
        <v>50000</v>
      </c>
      <c r="E325" s="903"/>
      <c r="F325" s="290">
        <f>D325*E325</f>
        <v>0</v>
      </c>
      <c r="G325" s="1111" t="s">
        <v>826</v>
      </c>
      <c r="H325" s="177">
        <f t="shared" si="13"/>
        <v>9.9999999999999895E+20</v>
      </c>
    </row>
    <row r="326" spans="1:8">
      <c r="A326" s="309" t="s">
        <v>251</v>
      </c>
      <c r="B326" s="307" t="s">
        <v>228</v>
      </c>
      <c r="C326" s="308" t="s">
        <v>227</v>
      </c>
      <c r="D326" s="310"/>
      <c r="E326" s="311">
        <v>-1500</v>
      </c>
      <c r="F326" s="310" t="s">
        <v>229</v>
      </c>
      <c r="G326" s="177"/>
      <c r="H326" s="177"/>
    </row>
    <row r="327" spans="1:8">
      <c r="A327" s="309" t="s">
        <v>252</v>
      </c>
      <c r="B327" s="307" t="s">
        <v>261</v>
      </c>
      <c r="C327" s="285"/>
      <c r="D327" s="285"/>
      <c r="E327" s="286"/>
      <c r="F327" s="312"/>
      <c r="G327" s="177"/>
      <c r="H327" s="177"/>
    </row>
    <row r="328" spans="1:8">
      <c r="A328" s="309"/>
      <c r="B328" s="307" t="s">
        <v>262</v>
      </c>
      <c r="C328" s="285"/>
      <c r="D328" s="285"/>
      <c r="E328" s="286"/>
      <c r="F328" s="312"/>
      <c r="G328" s="177"/>
      <c r="H328" s="177"/>
    </row>
    <row r="329" spans="1:8">
      <c r="A329" s="285"/>
      <c r="B329" s="285" t="s">
        <v>256</v>
      </c>
      <c r="C329" s="285" t="s">
        <v>227</v>
      </c>
      <c r="D329" s="294">
        <v>0</v>
      </c>
      <c r="E329" s="302">
        <f>DATA!$B$7</f>
        <v>3534</v>
      </c>
      <c r="F329" s="290">
        <f>D329*E329</f>
        <v>0</v>
      </c>
      <c r="G329" s="1111" t="s">
        <v>826</v>
      </c>
      <c r="H329" s="177">
        <f t="shared" ref="H329:H350" si="14">IF(G329="n",0,999999999999999000000)</f>
        <v>9.9999999999999895E+20</v>
      </c>
    </row>
    <row r="330" spans="1:8">
      <c r="A330" s="285"/>
      <c r="B330" s="285" t="s">
        <v>257</v>
      </c>
      <c r="C330" s="285" t="s">
        <v>227</v>
      </c>
      <c r="D330" s="294">
        <v>50</v>
      </c>
      <c r="E330" s="302">
        <f>DATA!$B$8</f>
        <v>2796</v>
      </c>
      <c r="F330" s="290">
        <f>D330*E330</f>
        <v>139800</v>
      </c>
      <c r="G330" s="1111" t="s">
        <v>826</v>
      </c>
      <c r="H330" s="177">
        <f t="shared" si="14"/>
        <v>9.9999999999999895E+20</v>
      </c>
    </row>
    <row r="331" spans="1:8">
      <c r="A331" s="285"/>
      <c r="B331" s="285" t="s">
        <v>258</v>
      </c>
      <c r="C331" s="285" t="s">
        <v>227</v>
      </c>
      <c r="D331" s="294">
        <v>50</v>
      </c>
      <c r="E331" s="302">
        <f>DATA!$B$9</f>
        <v>2403</v>
      </c>
      <c r="F331" s="290">
        <f>D331*E331</f>
        <v>120150</v>
      </c>
      <c r="G331" s="1111" t="s">
        <v>826</v>
      </c>
      <c r="H331" s="177">
        <f t="shared" si="14"/>
        <v>9.9999999999999895E+20</v>
      </c>
    </row>
    <row r="332" spans="1:8">
      <c r="A332" s="285"/>
      <c r="B332" s="285" t="s">
        <v>259</v>
      </c>
      <c r="C332" s="285" t="s">
        <v>227</v>
      </c>
      <c r="D332" s="294">
        <v>50</v>
      </c>
      <c r="E332" s="302">
        <f>DATA!$B$10</f>
        <v>1167</v>
      </c>
      <c r="F332" s="290">
        <f>D332*E332</f>
        <v>58350</v>
      </c>
      <c r="G332" s="1111" t="s">
        <v>826</v>
      </c>
      <c r="H332" s="177">
        <f t="shared" si="14"/>
        <v>9.9999999999999895E+20</v>
      </c>
    </row>
    <row r="333" spans="1:8">
      <c r="A333" s="287"/>
      <c r="B333" s="285" t="s">
        <v>260</v>
      </c>
      <c r="C333" s="285" t="s">
        <v>113</v>
      </c>
      <c r="D333" s="285" t="s">
        <v>114</v>
      </c>
      <c r="E333" s="285" t="s">
        <v>115</v>
      </c>
      <c r="F333" s="893">
        <v>200000</v>
      </c>
      <c r="G333" s="1111" t="s">
        <v>826</v>
      </c>
      <c r="H333" s="177">
        <f t="shared" si="14"/>
        <v>9.9999999999999895E+20</v>
      </c>
    </row>
    <row r="334" spans="1:8">
      <c r="A334" s="285"/>
      <c r="B334" s="285" t="s">
        <v>852</v>
      </c>
      <c r="C334" s="285" t="s">
        <v>156</v>
      </c>
      <c r="D334" s="302">
        <f>F333</f>
        <v>200000</v>
      </c>
      <c r="E334" s="903"/>
      <c r="F334" s="290">
        <f>D334*E334</f>
        <v>0</v>
      </c>
      <c r="G334" s="1111" t="s">
        <v>826</v>
      </c>
      <c r="H334" s="177">
        <f t="shared" si="14"/>
        <v>9.9999999999999895E+20</v>
      </c>
    </row>
    <row r="335" spans="1:8">
      <c r="A335" s="287" t="s">
        <v>253</v>
      </c>
      <c r="B335" s="285" t="s">
        <v>854</v>
      </c>
      <c r="C335" s="285" t="s">
        <v>123</v>
      </c>
      <c r="D335" s="285" t="s">
        <v>124</v>
      </c>
      <c r="E335" s="285" t="s">
        <v>103</v>
      </c>
      <c r="F335" s="893">
        <v>100000</v>
      </c>
      <c r="G335" s="1111" t="s">
        <v>826</v>
      </c>
      <c r="H335" s="177">
        <f t="shared" si="14"/>
        <v>9.9999999999999895E+20</v>
      </c>
    </row>
    <row r="336" spans="1:8">
      <c r="A336" s="287" t="s">
        <v>254</v>
      </c>
      <c r="B336" s="781" t="s">
        <v>972</v>
      </c>
      <c r="C336" s="285" t="s">
        <v>120</v>
      </c>
      <c r="D336" s="294">
        <v>28</v>
      </c>
      <c r="E336" s="902"/>
      <c r="F336" s="290">
        <f>D336*E336</f>
        <v>0</v>
      </c>
      <c r="G336" s="1111" t="s">
        <v>826</v>
      </c>
      <c r="H336" s="177">
        <f t="shared" si="14"/>
        <v>9.9999999999999895E+20</v>
      </c>
    </row>
    <row r="337" spans="1:8">
      <c r="A337" s="309" t="s">
        <v>889</v>
      </c>
      <c r="B337" s="307" t="s">
        <v>890</v>
      </c>
      <c r="C337" s="285"/>
      <c r="D337" s="285"/>
      <c r="E337" s="286"/>
      <c r="F337" s="312"/>
      <c r="G337" s="177"/>
      <c r="H337" s="177"/>
    </row>
    <row r="338" spans="1:8">
      <c r="A338" s="287"/>
      <c r="B338" s="285" t="s">
        <v>891</v>
      </c>
      <c r="C338" s="285" t="s">
        <v>101</v>
      </c>
      <c r="D338" s="285" t="s">
        <v>102</v>
      </c>
      <c r="E338" s="285" t="s">
        <v>103</v>
      </c>
      <c r="F338" s="902"/>
      <c r="G338" s="1111" t="s">
        <v>826</v>
      </c>
      <c r="H338" s="177">
        <f t="shared" si="14"/>
        <v>9.9999999999999895E+20</v>
      </c>
    </row>
    <row r="339" spans="1:8">
      <c r="A339" s="287"/>
      <c r="B339" s="285" t="s">
        <v>892</v>
      </c>
      <c r="C339" s="285" t="s">
        <v>123</v>
      </c>
      <c r="D339" s="285" t="s">
        <v>124</v>
      </c>
      <c r="E339" s="285" t="s">
        <v>103</v>
      </c>
      <c r="F339" s="893">
        <v>100000</v>
      </c>
      <c r="G339" s="1111" t="s">
        <v>826</v>
      </c>
      <c r="H339" s="177">
        <f t="shared" si="14"/>
        <v>9.9999999999999895E+20</v>
      </c>
    </row>
    <row r="340" spans="1:8">
      <c r="A340" s="287"/>
      <c r="B340" s="285" t="s">
        <v>893</v>
      </c>
      <c r="C340" s="285" t="s">
        <v>123</v>
      </c>
      <c r="D340" s="285" t="s">
        <v>124</v>
      </c>
      <c r="E340" s="285" t="s">
        <v>103</v>
      </c>
      <c r="F340" s="893">
        <v>200000</v>
      </c>
      <c r="G340" s="1111" t="s">
        <v>826</v>
      </c>
      <c r="H340" s="177">
        <f t="shared" si="14"/>
        <v>9.9999999999999895E+20</v>
      </c>
    </row>
    <row r="341" spans="1:8">
      <c r="A341" s="287"/>
      <c r="B341" s="285" t="s">
        <v>941</v>
      </c>
      <c r="C341" s="285" t="s">
        <v>156</v>
      </c>
      <c r="D341" s="302">
        <f>F340</f>
        <v>200000</v>
      </c>
      <c r="E341" s="903"/>
      <c r="F341" s="290">
        <f>D341*E341</f>
        <v>0</v>
      </c>
      <c r="G341" s="1111" t="s">
        <v>826</v>
      </c>
      <c r="H341" s="177">
        <f t="shared" si="14"/>
        <v>9.9999999999999895E+20</v>
      </c>
    </row>
    <row r="342" spans="1:8">
      <c r="A342" s="287"/>
      <c r="B342" s="285" t="s">
        <v>942</v>
      </c>
      <c r="C342" s="285" t="s">
        <v>123</v>
      </c>
      <c r="D342" s="285" t="s">
        <v>124</v>
      </c>
      <c r="E342" s="285" t="s">
        <v>103</v>
      </c>
      <c r="F342" s="893">
        <v>100000</v>
      </c>
      <c r="G342" s="1111" t="s">
        <v>826</v>
      </c>
      <c r="H342" s="177">
        <f t="shared" si="14"/>
        <v>9.9999999999999895E+20</v>
      </c>
    </row>
    <row r="343" spans="1:8">
      <c r="A343" s="287"/>
      <c r="B343" s="285" t="s">
        <v>943</v>
      </c>
      <c r="C343" s="285" t="s">
        <v>156</v>
      </c>
      <c r="D343" s="302">
        <f>F342</f>
        <v>100000</v>
      </c>
      <c r="E343" s="903"/>
      <c r="F343" s="290">
        <f>D343*E343</f>
        <v>0</v>
      </c>
      <c r="G343" s="1111" t="s">
        <v>826</v>
      </c>
      <c r="H343" s="177">
        <f t="shared" si="14"/>
        <v>9.9999999999999895E+20</v>
      </c>
    </row>
    <row r="344" spans="1:8">
      <c r="A344" s="309" t="s">
        <v>894</v>
      </c>
      <c r="B344" s="307" t="s">
        <v>944</v>
      </c>
      <c r="C344" s="285"/>
      <c r="D344" s="285"/>
      <c r="E344" s="286"/>
      <c r="F344" s="312"/>
      <c r="G344" s="177"/>
      <c r="H344" s="177"/>
    </row>
    <row r="345" spans="1:8">
      <c r="A345" s="287"/>
      <c r="B345" s="781" t="s">
        <v>945</v>
      </c>
      <c r="C345" s="285" t="s">
        <v>101</v>
      </c>
      <c r="D345" s="285" t="s">
        <v>102</v>
      </c>
      <c r="E345" s="285" t="s">
        <v>103</v>
      </c>
      <c r="F345" s="902"/>
      <c r="G345" s="1111" t="s">
        <v>826</v>
      </c>
      <c r="H345" s="177">
        <f t="shared" si="14"/>
        <v>9.9999999999999895E+20</v>
      </c>
    </row>
    <row r="346" spans="1:8">
      <c r="A346" s="287"/>
      <c r="B346" s="781" t="s">
        <v>946</v>
      </c>
      <c r="C346" s="285" t="s">
        <v>120</v>
      </c>
      <c r="D346" s="294">
        <v>18</v>
      </c>
      <c r="E346" s="902"/>
      <c r="F346" s="290">
        <f>D346*E346</f>
        <v>0</v>
      </c>
      <c r="G346" s="1111" t="s">
        <v>826</v>
      </c>
      <c r="H346" s="177">
        <f t="shared" si="14"/>
        <v>9.9999999999999895E+20</v>
      </c>
    </row>
    <row r="347" spans="1:8">
      <c r="A347" s="287"/>
      <c r="B347" s="951" t="s">
        <v>947</v>
      </c>
      <c r="C347" s="285" t="s">
        <v>120</v>
      </c>
      <c r="D347" s="294">
        <v>18</v>
      </c>
      <c r="E347" s="902"/>
      <c r="F347" s="290">
        <f>D347*E347</f>
        <v>0</v>
      </c>
      <c r="G347" s="1111" t="s">
        <v>826</v>
      </c>
      <c r="H347" s="177">
        <f t="shared" si="14"/>
        <v>9.9999999999999895E+20</v>
      </c>
    </row>
    <row r="348" spans="1:8">
      <c r="A348" s="309" t="s">
        <v>948</v>
      </c>
      <c r="B348" s="307" t="s">
        <v>949</v>
      </c>
      <c r="C348" s="285"/>
      <c r="D348" s="285"/>
      <c r="E348" s="286"/>
      <c r="F348" s="312"/>
      <c r="G348" s="177"/>
      <c r="H348" s="177"/>
    </row>
    <row r="349" spans="1:8">
      <c r="A349" s="287"/>
      <c r="B349" s="951" t="s">
        <v>950</v>
      </c>
      <c r="C349" s="285" t="s">
        <v>123</v>
      </c>
      <c r="D349" s="285" t="s">
        <v>124</v>
      </c>
      <c r="E349" s="285" t="s">
        <v>103</v>
      </c>
      <c r="F349" s="893">
        <v>250000</v>
      </c>
      <c r="G349" s="1111" t="s">
        <v>826</v>
      </c>
      <c r="H349" s="177">
        <f t="shared" si="14"/>
        <v>9.9999999999999895E+20</v>
      </c>
    </row>
    <row r="350" spans="1:8">
      <c r="A350" s="287"/>
      <c r="B350" s="951" t="s">
        <v>951</v>
      </c>
      <c r="C350" s="285" t="s">
        <v>156</v>
      </c>
      <c r="D350" s="302">
        <f>F349</f>
        <v>250000</v>
      </c>
      <c r="E350" s="903"/>
      <c r="F350" s="290">
        <f>D350*E350</f>
        <v>0</v>
      </c>
      <c r="G350" s="1111" t="s">
        <v>826</v>
      </c>
      <c r="H350" s="177">
        <f t="shared" si="14"/>
        <v>9.9999999999999895E+20</v>
      </c>
    </row>
    <row r="351" spans="1:8">
      <c r="A351" s="285"/>
      <c r="B351" s="291" t="s">
        <v>199</v>
      </c>
      <c r="C351" s="292"/>
      <c r="D351" s="292"/>
      <c r="E351" s="293"/>
      <c r="F351" s="290">
        <f>SUM(F317:F350)</f>
        <v>1840630</v>
      </c>
      <c r="G351" s="177"/>
      <c r="H351" s="177"/>
    </row>
    <row r="352" spans="1:8">
      <c r="A352" s="284">
        <v>3.9</v>
      </c>
      <c r="B352" s="305" t="s">
        <v>821</v>
      </c>
      <c r="C352" s="285"/>
      <c r="D352" s="285"/>
      <c r="E352" s="286"/>
      <c r="F352" s="302"/>
      <c r="G352" s="177"/>
      <c r="H352" s="177"/>
    </row>
    <row r="353" spans="1:8">
      <c r="A353" s="287" t="s">
        <v>561</v>
      </c>
      <c r="B353" s="59" t="s">
        <v>590</v>
      </c>
      <c r="C353" s="285"/>
      <c r="D353" s="285"/>
      <c r="E353" s="286"/>
      <c r="F353" s="302"/>
      <c r="G353" s="177"/>
      <c r="H353" s="177"/>
    </row>
    <row r="354" spans="1:8">
      <c r="A354" s="287"/>
      <c r="B354" s="285" t="s">
        <v>593</v>
      </c>
      <c r="C354" s="285" t="s">
        <v>113</v>
      </c>
      <c r="D354" s="285" t="s">
        <v>114</v>
      </c>
      <c r="E354" s="285" t="s">
        <v>115</v>
      </c>
      <c r="F354" s="893">
        <v>18000000</v>
      </c>
      <c r="G354" s="1111" t="s">
        <v>826</v>
      </c>
      <c r="H354" s="177">
        <f>IF(G354="n",0,999999999999999000000)</f>
        <v>9.9999999999999895E+20</v>
      </c>
    </row>
    <row r="355" spans="1:8">
      <c r="A355" s="285"/>
      <c r="B355" s="285" t="s">
        <v>591</v>
      </c>
      <c r="C355" s="285" t="s">
        <v>156</v>
      </c>
      <c r="D355" s="302">
        <f>F354</f>
        <v>18000000</v>
      </c>
      <c r="E355" s="903"/>
      <c r="F355" s="290">
        <f>D355*E355</f>
        <v>0</v>
      </c>
      <c r="G355" s="1111" t="s">
        <v>826</v>
      </c>
      <c r="H355" s="177">
        <f>IF(G355="n",0,999999999999999000000)</f>
        <v>9.9999999999999895E+20</v>
      </c>
    </row>
    <row r="356" spans="1:8">
      <c r="A356" s="287"/>
      <c r="B356" s="285" t="s">
        <v>592</v>
      </c>
      <c r="C356" s="285" t="s">
        <v>113</v>
      </c>
      <c r="D356" s="285" t="s">
        <v>114</v>
      </c>
      <c r="E356" s="285" t="s">
        <v>115</v>
      </c>
      <c r="F356" s="893">
        <v>250000</v>
      </c>
      <c r="G356" s="1111" t="s">
        <v>826</v>
      </c>
      <c r="H356" s="177">
        <f>IF(G356="n",0,999999999999999000000)</f>
        <v>9.9999999999999895E+20</v>
      </c>
    </row>
    <row r="357" spans="1:8">
      <c r="A357" s="285"/>
      <c r="B357" s="285" t="s">
        <v>648</v>
      </c>
      <c r="C357" s="285" t="s">
        <v>156</v>
      </c>
      <c r="D357" s="302">
        <f>F356</f>
        <v>250000</v>
      </c>
      <c r="E357" s="903"/>
      <c r="F357" s="290">
        <f>D357*E357</f>
        <v>0</v>
      </c>
      <c r="G357" s="1111" t="s">
        <v>826</v>
      </c>
      <c r="H357" s="177">
        <f>IF(G357="n",0,999999999999999000000)</f>
        <v>9.9999999999999895E+20</v>
      </c>
    </row>
    <row r="358" spans="1:8">
      <c r="A358" s="285"/>
      <c r="B358" s="291" t="s">
        <v>199</v>
      </c>
      <c r="C358" s="292"/>
      <c r="D358" s="292"/>
      <c r="E358" s="293"/>
      <c r="F358" s="290">
        <f>SUM(F352:F357)</f>
        <v>18250000</v>
      </c>
      <c r="G358" s="177"/>
      <c r="H358" s="177"/>
    </row>
    <row r="359" spans="1:8">
      <c r="A359" s="697">
        <v>3.1</v>
      </c>
      <c r="B359" s="291" t="s">
        <v>203</v>
      </c>
      <c r="C359" s="292"/>
      <c r="D359" s="292"/>
      <c r="E359" s="292"/>
      <c r="F359" s="290"/>
      <c r="G359" s="177"/>
      <c r="H359" s="177"/>
    </row>
    <row r="360" spans="1:8">
      <c r="A360" s="698" t="s">
        <v>594</v>
      </c>
      <c r="B360" s="298" t="s">
        <v>203</v>
      </c>
      <c r="C360" s="299"/>
      <c r="D360" s="299"/>
      <c r="E360" s="300"/>
      <c r="F360" s="299"/>
      <c r="G360" s="177"/>
      <c r="H360" s="177"/>
    </row>
    <row r="361" spans="1:8">
      <c r="A361" s="285"/>
      <c r="B361" s="285" t="s">
        <v>130</v>
      </c>
      <c r="C361" s="285"/>
      <c r="D361" s="285"/>
      <c r="E361" s="286"/>
      <c r="F361" s="285"/>
      <c r="G361" s="177"/>
      <c r="H361" s="177"/>
    </row>
    <row r="362" spans="1:8">
      <c r="A362" s="285"/>
      <c r="B362" s="301" t="s">
        <v>131</v>
      </c>
      <c r="C362" s="285" t="s">
        <v>101</v>
      </c>
      <c r="D362" s="285" t="s">
        <v>102</v>
      </c>
      <c r="E362" s="286" t="s">
        <v>103</v>
      </c>
      <c r="F362" s="302">
        <f>'SUMMARY TENDERED FEE'!I17</f>
        <v>0</v>
      </c>
      <c r="G362" s="177"/>
      <c r="H362" s="177"/>
    </row>
    <row r="363" spans="1:8">
      <c r="A363" s="285"/>
      <c r="B363" s="303" t="s">
        <v>132</v>
      </c>
      <c r="C363" s="285" t="s">
        <v>101</v>
      </c>
      <c r="D363" s="285" t="s">
        <v>102</v>
      </c>
      <c r="E363" s="286" t="s">
        <v>103</v>
      </c>
      <c r="F363" s="302">
        <v>0</v>
      </c>
      <c r="G363" s="177"/>
      <c r="H363" s="177"/>
    </row>
    <row r="364" spans="1:8">
      <c r="A364" s="1067"/>
      <c r="B364" s="1067" t="s">
        <v>133</v>
      </c>
      <c r="C364" s="1067"/>
      <c r="D364" s="1067"/>
      <c r="E364" s="1068"/>
      <c r="F364" s="1067"/>
      <c r="G364" s="177"/>
      <c r="H364" s="177"/>
    </row>
    <row r="365" spans="1:8">
      <c r="A365" s="1067"/>
      <c r="B365" s="1069" t="s">
        <v>131</v>
      </c>
      <c r="C365" s="1067" t="s">
        <v>101</v>
      </c>
      <c r="D365" s="1067" t="s">
        <v>102</v>
      </c>
      <c r="E365" s="1068" t="s">
        <v>103</v>
      </c>
      <c r="F365" s="1070">
        <f>'SUMMARY TENDERED FEE'!I18</f>
        <v>0</v>
      </c>
      <c r="G365" s="177"/>
      <c r="H365" s="177"/>
    </row>
    <row r="366" spans="1:8">
      <c r="A366" s="1067"/>
      <c r="B366" s="1071" t="s">
        <v>132</v>
      </c>
      <c r="C366" s="1067" t="s">
        <v>101</v>
      </c>
      <c r="D366" s="1067" t="s">
        <v>102</v>
      </c>
      <c r="E366" s="1068" t="s">
        <v>103</v>
      </c>
      <c r="F366" s="1070">
        <v>0</v>
      </c>
      <c r="G366" s="177"/>
      <c r="H366" s="177"/>
    </row>
    <row r="367" spans="1:8">
      <c r="A367" s="285"/>
      <c r="B367" s="1067" t="s">
        <v>134</v>
      </c>
      <c r="C367" s="1067"/>
      <c r="D367" s="1067"/>
      <c r="E367" s="1068"/>
      <c r="F367" s="1067"/>
      <c r="G367" s="177"/>
      <c r="H367" s="177"/>
    </row>
    <row r="368" spans="1:8">
      <c r="A368" s="285"/>
      <c r="B368" s="1069" t="s">
        <v>131</v>
      </c>
      <c r="C368" s="1067" t="s">
        <v>101</v>
      </c>
      <c r="D368" s="1067" t="s">
        <v>102</v>
      </c>
      <c r="E368" s="1068" t="s">
        <v>103</v>
      </c>
      <c r="F368" s="1070">
        <f>'SUMMARY TENDERED FEE'!I19</f>
        <v>0</v>
      </c>
      <c r="G368" s="177"/>
      <c r="H368" s="177"/>
    </row>
    <row r="369" spans="1:9">
      <c r="A369" s="285"/>
      <c r="B369" s="1071" t="s">
        <v>132</v>
      </c>
      <c r="C369" s="1067" t="s">
        <v>101</v>
      </c>
      <c r="D369" s="1067" t="s">
        <v>102</v>
      </c>
      <c r="E369" s="1068" t="s">
        <v>103</v>
      </c>
      <c r="F369" s="1070">
        <v>0</v>
      </c>
      <c r="G369" s="177"/>
      <c r="H369" s="177"/>
      <c r="I369" s="140"/>
    </row>
    <row r="370" spans="1:9">
      <c r="A370" s="285"/>
      <c r="B370" s="1067" t="s">
        <v>135</v>
      </c>
      <c r="C370" s="1067"/>
      <c r="D370" s="1067"/>
      <c r="E370" s="1068"/>
      <c r="F370" s="1067"/>
      <c r="G370" s="177"/>
      <c r="H370" s="177"/>
      <c r="I370" s="140"/>
    </row>
    <row r="371" spans="1:9">
      <c r="A371" s="285"/>
      <c r="B371" s="1069" t="s">
        <v>131</v>
      </c>
      <c r="C371" s="1067" t="s">
        <v>101</v>
      </c>
      <c r="D371" s="1067" t="s">
        <v>102</v>
      </c>
      <c r="E371" s="1068" t="s">
        <v>103</v>
      </c>
      <c r="F371" s="1070">
        <f>'SUMMARY TENDERED FEE'!I20</f>
        <v>0</v>
      </c>
      <c r="G371" s="177"/>
      <c r="H371" s="177"/>
      <c r="I371" s="140"/>
    </row>
    <row r="372" spans="1:9">
      <c r="A372" s="285"/>
      <c r="B372" s="1071" t="s">
        <v>132</v>
      </c>
      <c r="C372" s="1067" t="s">
        <v>101</v>
      </c>
      <c r="D372" s="1067" t="s">
        <v>102</v>
      </c>
      <c r="E372" s="1068" t="s">
        <v>103</v>
      </c>
      <c r="F372" s="1070">
        <v>0</v>
      </c>
      <c r="G372" s="177"/>
      <c r="H372" s="177"/>
    </row>
    <row r="373" spans="1:9">
      <c r="A373" s="285"/>
      <c r="B373" s="1067" t="s">
        <v>136</v>
      </c>
      <c r="C373" s="1067"/>
      <c r="D373" s="1067"/>
      <c r="E373" s="1068"/>
      <c r="F373" s="1067"/>
      <c r="G373" s="177"/>
      <c r="H373" s="177"/>
    </row>
    <row r="374" spans="1:9">
      <c r="A374" s="285"/>
      <c r="B374" s="1069" t="s">
        <v>131</v>
      </c>
      <c r="C374" s="1067" t="s">
        <v>101</v>
      </c>
      <c r="D374" s="1067" t="s">
        <v>102</v>
      </c>
      <c r="E374" s="1068" t="s">
        <v>103</v>
      </c>
      <c r="F374" s="1070">
        <f>'SUMMARY TENDERED FEE'!I21</f>
        <v>0</v>
      </c>
      <c r="G374" s="177"/>
      <c r="H374" s="177"/>
    </row>
    <row r="375" spans="1:9">
      <c r="A375" s="285"/>
      <c r="B375" s="1071" t="s">
        <v>132</v>
      </c>
      <c r="C375" s="1067" t="s">
        <v>101</v>
      </c>
      <c r="D375" s="1067" t="s">
        <v>102</v>
      </c>
      <c r="E375" s="1068" t="s">
        <v>103</v>
      </c>
      <c r="F375" s="1070">
        <v>0</v>
      </c>
      <c r="G375" s="177"/>
      <c r="H375" s="177"/>
    </row>
    <row r="376" spans="1:9">
      <c r="A376" s="285"/>
      <c r="B376" s="1067" t="s">
        <v>137</v>
      </c>
      <c r="C376" s="1067"/>
      <c r="D376" s="1067"/>
      <c r="E376" s="1068"/>
      <c r="F376" s="1067"/>
      <c r="G376" s="177"/>
      <c r="H376" s="177"/>
    </row>
    <row r="377" spans="1:9">
      <c r="A377" s="285"/>
      <c r="B377" s="1069" t="s">
        <v>131</v>
      </c>
      <c r="C377" s="1067" t="s">
        <v>101</v>
      </c>
      <c r="D377" s="1067" t="s">
        <v>102</v>
      </c>
      <c r="E377" s="1068" t="s">
        <v>103</v>
      </c>
      <c r="F377" s="1070">
        <f>'SUMMARY TENDERED FEE'!I22</f>
        <v>0</v>
      </c>
      <c r="G377" s="177"/>
      <c r="H377" s="177"/>
    </row>
    <row r="378" spans="1:9">
      <c r="A378" s="285"/>
      <c r="B378" s="1071" t="s">
        <v>132</v>
      </c>
      <c r="C378" s="1067" t="s">
        <v>101</v>
      </c>
      <c r="D378" s="1067" t="s">
        <v>102</v>
      </c>
      <c r="E378" s="1068" t="s">
        <v>103</v>
      </c>
      <c r="F378" s="1070">
        <v>0</v>
      </c>
      <c r="G378" s="177"/>
      <c r="H378" s="177"/>
    </row>
    <row r="379" spans="1:9">
      <c r="A379" s="285"/>
      <c r="B379" s="1067" t="s">
        <v>138</v>
      </c>
      <c r="C379" s="1067"/>
      <c r="D379" s="1067"/>
      <c r="E379" s="1068"/>
      <c r="F379" s="1067"/>
      <c r="G379" s="177"/>
      <c r="H379" s="177"/>
    </row>
    <row r="380" spans="1:9">
      <c r="A380" s="285"/>
      <c r="B380" s="1069" t="s">
        <v>131</v>
      </c>
      <c r="C380" s="1067" t="s">
        <v>101</v>
      </c>
      <c r="D380" s="1067" t="s">
        <v>102</v>
      </c>
      <c r="E380" s="1068" t="s">
        <v>103</v>
      </c>
      <c r="F380" s="1070">
        <f>'SUMMARY TENDERED FEE'!I23</f>
        <v>0</v>
      </c>
      <c r="G380" s="177"/>
      <c r="H380" s="177"/>
    </row>
    <row r="381" spans="1:9">
      <c r="A381" s="285"/>
      <c r="B381" s="1071" t="s">
        <v>139</v>
      </c>
      <c r="C381" s="1067" t="s">
        <v>101</v>
      </c>
      <c r="D381" s="1067" t="s">
        <v>102</v>
      </c>
      <c r="E381" s="1068" t="s">
        <v>103</v>
      </c>
      <c r="F381" s="1070">
        <v>0</v>
      </c>
      <c r="G381" s="177"/>
      <c r="H381" s="177"/>
    </row>
    <row r="382" spans="1:9">
      <c r="A382" s="285"/>
      <c r="B382" s="291" t="s">
        <v>199</v>
      </c>
      <c r="C382" s="292"/>
      <c r="D382" s="292"/>
      <c r="E382" s="293"/>
      <c r="F382" s="290">
        <f>SUM(F362:F381)</f>
        <v>0</v>
      </c>
      <c r="G382" s="177"/>
      <c r="H382" s="177"/>
    </row>
    <row r="383" spans="1:9">
      <c r="F383" s="181"/>
    </row>
    <row r="384" spans="1:9">
      <c r="B384" t="s">
        <v>975</v>
      </c>
      <c r="F384" s="1062">
        <f>SUMIFS($F$13:$F$381,$C$13:$C$381,"Prime cost (PC)")+SUMIFS($F$13:$F$381,$C$13:$C$381,"provisional sum (PS)")</f>
        <v>45750000</v>
      </c>
    </row>
    <row r="385" spans="1:9">
      <c r="B385" t="s">
        <v>978</v>
      </c>
      <c r="F385" s="1062">
        <f>SUMIFS($F$13:$F$381,$B$13:$B$381,"*Handling cost*")+SUMIFS($F$13:$F$381,$B$13:$B$381,"*Mark up*")</f>
        <v>0</v>
      </c>
    </row>
    <row r="386" spans="1:9" ht="15" thickBot="1">
      <c r="B386" s="1061" t="s">
        <v>977</v>
      </c>
      <c r="C386" s="1061"/>
      <c r="D386" s="1061"/>
      <c r="E386" s="1061"/>
      <c r="F386" s="1064">
        <f>SUM(F384:F385)</f>
        <v>45750000</v>
      </c>
    </row>
    <row r="387" spans="1:9" ht="15" thickTop="1">
      <c r="F387" s="1060"/>
    </row>
    <row r="388" spans="1:9" ht="42.6" customHeight="1">
      <c r="A388" s="1065" t="s">
        <v>984</v>
      </c>
      <c r="B388" s="1672" t="s">
        <v>979</v>
      </c>
      <c r="C388" s="1672"/>
      <c r="D388" s="1672"/>
      <c r="E388" s="1672"/>
      <c r="F388" s="1063">
        <f>F402-F386+F292+F293</f>
        <v>11840630</v>
      </c>
      <c r="I388" s="140"/>
    </row>
    <row r="390" spans="1:9" ht="21">
      <c r="A390" s="209" t="s">
        <v>816</v>
      </c>
      <c r="B390" s="182"/>
      <c r="C390" s="183"/>
      <c r="D390" s="184"/>
      <c r="E390" s="185"/>
      <c r="F390" s="1074" t="str">
        <f>'TENDERER INPUT DATA'!$G$5</f>
        <v>ADDENDUM 1</v>
      </c>
    </row>
    <row r="391" spans="1:9">
      <c r="A391" s="186"/>
      <c r="B391" s="187"/>
      <c r="C391" s="188"/>
      <c r="D391" s="186"/>
      <c r="E391" s="189"/>
    </row>
    <row r="392" spans="1:9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9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8950000</v>
      </c>
    </row>
    <row r="394" spans="1:9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1400000</v>
      </c>
    </row>
    <row r="395" spans="1:9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9">
      <c r="A396" s="207">
        <f>A244</f>
        <v>3.6</v>
      </c>
      <c r="B396" s="952" t="str">
        <f>B244</f>
        <v>CLARIFICATION MEETING, TENDER PERIOD AND TENDER EVALUATION</v>
      </c>
      <c r="C396" s="195"/>
      <c r="D396" s="195"/>
      <c r="E396" s="196"/>
      <c r="F396" s="197">
        <f>F253</f>
        <v>20000</v>
      </c>
    </row>
    <row r="397" spans="1:9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16130000</v>
      </c>
    </row>
    <row r="398" spans="1:9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1840630</v>
      </c>
    </row>
    <row r="399" spans="1:9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18250000</v>
      </c>
    </row>
    <row r="400" spans="1:9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165</v>
      </c>
      <c r="C402" s="188"/>
      <c r="D402" s="186"/>
      <c r="E402" s="189"/>
      <c r="F402" s="140">
        <f>SUM(F392:F400)</f>
        <v>46590630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6988594.5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166</v>
      </c>
      <c r="C406" s="188"/>
      <c r="D406" s="186"/>
      <c r="E406" s="189"/>
      <c r="F406" s="231">
        <f>SUM(F402:F404)</f>
        <v>53579224.5</v>
      </c>
    </row>
    <row r="414" spans="1:6" ht="15" thickBot="1">
      <c r="B414" s="280" t="s">
        <v>835</v>
      </c>
      <c r="C414" s="894"/>
      <c r="D414" s="894"/>
      <c r="E414" s="894"/>
    </row>
  </sheetData>
  <sheetProtection algorithmName="SHA-512" hashValue="XqJ6/ttu9YfFqW4Eb5Yqqg+ZPxdEM8wZdXU/F4SJhyjMX6W35fQn9NGVD1XwRcjGlWhYFHYu4Oi5xXMSUAn/ww==" saltValue="nRvWzpI2Ul/dDCqmDnWFaw==" spinCount="100000" sheet="1" objects="1" scenarios="1"/>
  <mergeCells count="2">
    <mergeCell ref="B89:C89"/>
    <mergeCell ref="B388:E388"/>
  </mergeCells>
  <conditionalFormatting sqref="B19 B44:B45">
    <cfRule type="expression" dxfId="2311" priority="2184">
      <formula>G19="n"</formula>
    </cfRule>
  </conditionalFormatting>
  <conditionalFormatting sqref="B2">
    <cfRule type="cellIs" dxfId="2310" priority="2183" operator="equal">
      <formula>0</formula>
    </cfRule>
  </conditionalFormatting>
  <conditionalFormatting sqref="C19">
    <cfRule type="expression" dxfId="2309" priority="2182">
      <formula>G19="n"</formula>
    </cfRule>
  </conditionalFormatting>
  <conditionalFormatting sqref="D19">
    <cfRule type="expression" dxfId="2308" priority="2181">
      <formula>G19="n"</formula>
    </cfRule>
  </conditionalFormatting>
  <conditionalFormatting sqref="E19">
    <cfRule type="expression" dxfId="2307" priority="2180">
      <formula>G19="n"</formula>
    </cfRule>
  </conditionalFormatting>
  <conditionalFormatting sqref="F19">
    <cfRule type="expression" dxfId="2306" priority="2179">
      <formula>G19="n"</formula>
    </cfRule>
  </conditionalFormatting>
  <conditionalFormatting sqref="A19 A44:A45">
    <cfRule type="expression" dxfId="2305" priority="2178">
      <formula>G19="n"</formula>
    </cfRule>
  </conditionalFormatting>
  <conditionalFormatting sqref="A20">
    <cfRule type="expression" dxfId="2304" priority="2177">
      <formula>G20="n"</formula>
    </cfRule>
  </conditionalFormatting>
  <conditionalFormatting sqref="B20">
    <cfRule type="expression" dxfId="2303" priority="2176">
      <formula>G20="n"</formula>
    </cfRule>
  </conditionalFormatting>
  <conditionalFormatting sqref="C20">
    <cfRule type="expression" dxfId="2302" priority="2175">
      <formula>G20="n"</formula>
    </cfRule>
  </conditionalFormatting>
  <conditionalFormatting sqref="D20">
    <cfRule type="expression" dxfId="2301" priority="2174">
      <formula>G20="n"</formula>
    </cfRule>
  </conditionalFormatting>
  <conditionalFormatting sqref="E20">
    <cfRule type="expression" dxfId="2300" priority="2173">
      <formula>G20="n"</formula>
    </cfRule>
  </conditionalFormatting>
  <conditionalFormatting sqref="F20">
    <cfRule type="expression" dxfId="2299" priority="2172">
      <formula>G20="n"</formula>
    </cfRule>
  </conditionalFormatting>
  <conditionalFormatting sqref="A17">
    <cfRule type="expression" dxfId="2298" priority="2171">
      <formula>G17="n"</formula>
    </cfRule>
  </conditionalFormatting>
  <conditionalFormatting sqref="B17">
    <cfRule type="expression" dxfId="2297" priority="2170">
      <formula>G17="n"</formula>
    </cfRule>
  </conditionalFormatting>
  <conditionalFormatting sqref="C17">
    <cfRule type="expression" dxfId="2296" priority="2169">
      <formula>G17="n"</formula>
    </cfRule>
  </conditionalFormatting>
  <conditionalFormatting sqref="D17">
    <cfRule type="expression" dxfId="2295" priority="2168">
      <formula>G17="n"</formula>
    </cfRule>
  </conditionalFormatting>
  <conditionalFormatting sqref="E17">
    <cfRule type="expression" dxfId="2294" priority="2167">
      <formula>G17="n"</formula>
    </cfRule>
  </conditionalFormatting>
  <conditionalFormatting sqref="F17">
    <cfRule type="expression" dxfId="2293" priority="2166">
      <formula>G17="n"</formula>
    </cfRule>
  </conditionalFormatting>
  <conditionalFormatting sqref="F17">
    <cfRule type="expression" dxfId="2292" priority="2165">
      <formula>G17="n"</formula>
    </cfRule>
  </conditionalFormatting>
  <conditionalFormatting sqref="F14">
    <cfRule type="expression" dxfId="2291" priority="2164">
      <formula>G14="n"</formula>
    </cfRule>
  </conditionalFormatting>
  <conditionalFormatting sqref="F14">
    <cfRule type="expression" dxfId="2290" priority="2163">
      <formula>G14="n"</formula>
    </cfRule>
  </conditionalFormatting>
  <conditionalFormatting sqref="A14">
    <cfRule type="expression" dxfId="2289" priority="2162">
      <formula>G14="n"</formula>
    </cfRule>
  </conditionalFormatting>
  <conditionalFormatting sqref="B14">
    <cfRule type="expression" dxfId="2288" priority="2161">
      <formula>G14="n"</formula>
    </cfRule>
  </conditionalFormatting>
  <conditionalFormatting sqref="C14">
    <cfRule type="expression" dxfId="2287" priority="2160">
      <formula>G14="n"</formula>
    </cfRule>
  </conditionalFormatting>
  <conditionalFormatting sqref="D14">
    <cfRule type="expression" dxfId="2286" priority="2159">
      <formula>G14="n"</formula>
    </cfRule>
  </conditionalFormatting>
  <conditionalFormatting sqref="E14">
    <cfRule type="expression" dxfId="2285" priority="2158">
      <formula>G14="n"</formula>
    </cfRule>
  </conditionalFormatting>
  <conditionalFormatting sqref="B16">
    <cfRule type="expression" dxfId="2284" priority="2157">
      <formula>G16="n"</formula>
    </cfRule>
  </conditionalFormatting>
  <conditionalFormatting sqref="C16">
    <cfRule type="expression" dxfId="2283" priority="2156">
      <formula>G16="n"</formula>
    </cfRule>
  </conditionalFormatting>
  <conditionalFormatting sqref="D16">
    <cfRule type="expression" dxfId="2282" priority="2155">
      <formula>G16="n"</formula>
    </cfRule>
  </conditionalFormatting>
  <conditionalFormatting sqref="E16">
    <cfRule type="expression" dxfId="2281" priority="2154">
      <formula>G16="n"</formula>
    </cfRule>
  </conditionalFormatting>
  <conditionalFormatting sqref="A16">
    <cfRule type="expression" dxfId="2280" priority="2153">
      <formula>G16="n"</formula>
    </cfRule>
  </conditionalFormatting>
  <conditionalFormatting sqref="B13">
    <cfRule type="expression" dxfId="2279" priority="2152">
      <formula>G13="n"</formula>
    </cfRule>
  </conditionalFormatting>
  <conditionalFormatting sqref="C13">
    <cfRule type="expression" dxfId="2278" priority="2151">
      <formula>G13="n"</formula>
    </cfRule>
  </conditionalFormatting>
  <conditionalFormatting sqref="D13">
    <cfRule type="expression" dxfId="2277" priority="2150">
      <formula>G13="n"</formula>
    </cfRule>
  </conditionalFormatting>
  <conditionalFormatting sqref="E13">
    <cfRule type="expression" dxfId="2276" priority="2149">
      <formula>G13="n"</formula>
    </cfRule>
  </conditionalFormatting>
  <conditionalFormatting sqref="A13">
    <cfRule type="expression" dxfId="2275" priority="2148">
      <formula>G13="n"</formula>
    </cfRule>
  </conditionalFormatting>
  <conditionalFormatting sqref="F13">
    <cfRule type="expression" dxfId="2274" priority="2147">
      <formula>G13="n"</formula>
    </cfRule>
  </conditionalFormatting>
  <conditionalFormatting sqref="F16">
    <cfRule type="expression" dxfId="2273" priority="2146">
      <formula>G16="n"</formula>
    </cfRule>
  </conditionalFormatting>
  <conditionalFormatting sqref="A25">
    <cfRule type="expression" dxfId="2272" priority="2145">
      <formula>G25="n"</formula>
    </cfRule>
  </conditionalFormatting>
  <conditionalFormatting sqref="B25">
    <cfRule type="expression" dxfId="2271" priority="2144">
      <formula>G25="n"</formula>
    </cfRule>
  </conditionalFormatting>
  <conditionalFormatting sqref="C25">
    <cfRule type="expression" dxfId="2270" priority="2143">
      <formula>G25="n"</formula>
    </cfRule>
  </conditionalFormatting>
  <conditionalFormatting sqref="D25">
    <cfRule type="expression" dxfId="2269" priority="2142">
      <formula>G25="n"</formula>
    </cfRule>
  </conditionalFormatting>
  <conditionalFormatting sqref="E25">
    <cfRule type="expression" dxfId="2268" priority="2141">
      <formula>G25="n"</formula>
    </cfRule>
  </conditionalFormatting>
  <conditionalFormatting sqref="F25">
    <cfRule type="expression" dxfId="2267" priority="2140">
      <formula>G25="n"</formula>
    </cfRule>
  </conditionalFormatting>
  <conditionalFormatting sqref="A26">
    <cfRule type="expression" dxfId="2266" priority="2139">
      <formula>G26="n"</formula>
    </cfRule>
  </conditionalFormatting>
  <conditionalFormatting sqref="B26">
    <cfRule type="expression" dxfId="2265" priority="2138">
      <formula>G26="n"</formula>
    </cfRule>
  </conditionalFormatting>
  <conditionalFormatting sqref="C26">
    <cfRule type="expression" dxfId="2264" priority="2137">
      <formula>G26="n"</formula>
    </cfRule>
  </conditionalFormatting>
  <conditionalFormatting sqref="D26">
    <cfRule type="expression" dxfId="2263" priority="2136">
      <formula>G26="n"</formula>
    </cfRule>
  </conditionalFormatting>
  <conditionalFormatting sqref="E26">
    <cfRule type="expression" dxfId="2262" priority="2135">
      <formula>G26="n"</formula>
    </cfRule>
  </conditionalFormatting>
  <conditionalFormatting sqref="F26">
    <cfRule type="expression" dxfId="2261" priority="2134">
      <formula>G26="n"</formula>
    </cfRule>
  </conditionalFormatting>
  <conditionalFormatting sqref="F25">
    <cfRule type="expression" dxfId="2260" priority="2133">
      <formula>G25="n"</formula>
    </cfRule>
  </conditionalFormatting>
  <conditionalFormatting sqref="F26">
    <cfRule type="expression" dxfId="2259" priority="2132">
      <formula>G26="n"</formula>
    </cfRule>
  </conditionalFormatting>
  <conditionalFormatting sqref="F24">
    <cfRule type="expression" dxfId="2258" priority="2131">
      <formula>G24="n"</formula>
    </cfRule>
  </conditionalFormatting>
  <conditionalFormatting sqref="F24">
    <cfRule type="expression" dxfId="2257" priority="2130">
      <formula>G24="n"</formula>
    </cfRule>
  </conditionalFormatting>
  <conditionalFormatting sqref="A24">
    <cfRule type="expression" dxfId="2256" priority="2129">
      <formula>G24="n"</formula>
    </cfRule>
  </conditionalFormatting>
  <conditionalFormatting sqref="B24">
    <cfRule type="expression" dxfId="2255" priority="2128">
      <formula>G24="n"</formula>
    </cfRule>
  </conditionalFormatting>
  <conditionalFormatting sqref="C24">
    <cfRule type="expression" dxfId="2254" priority="2127">
      <formula>G24="n"</formula>
    </cfRule>
  </conditionalFormatting>
  <conditionalFormatting sqref="D24">
    <cfRule type="expression" dxfId="2253" priority="2126">
      <formula>G24="n"</formula>
    </cfRule>
  </conditionalFormatting>
  <conditionalFormatting sqref="E24">
    <cfRule type="expression" dxfId="2252" priority="2125">
      <formula>G24="n"</formula>
    </cfRule>
  </conditionalFormatting>
  <conditionalFormatting sqref="F32">
    <cfRule type="expression" dxfId="2251" priority="2124">
      <formula>G32="n"</formula>
    </cfRule>
  </conditionalFormatting>
  <conditionalFormatting sqref="F32">
    <cfRule type="expression" dxfId="2250" priority="2123">
      <formula>G32="n"</formula>
    </cfRule>
  </conditionalFormatting>
  <conditionalFormatting sqref="F47">
    <cfRule type="expression" dxfId="2249" priority="2112">
      <formula>G47="n"</formula>
    </cfRule>
  </conditionalFormatting>
  <conditionalFormatting sqref="F47">
    <cfRule type="expression" dxfId="2248" priority="2111">
      <formula>G47="n"</formula>
    </cfRule>
  </conditionalFormatting>
  <conditionalFormatting sqref="F33">
    <cfRule type="expression" dxfId="2247" priority="2118">
      <formula>G33="n"</formula>
    </cfRule>
  </conditionalFormatting>
  <conditionalFormatting sqref="F33">
    <cfRule type="expression" dxfId="2246" priority="2117">
      <formula>G33="n"</formula>
    </cfRule>
  </conditionalFormatting>
  <conditionalFormatting sqref="A25">
    <cfRule type="expression" dxfId="2245" priority="2110">
      <formula>G25="n"</formula>
    </cfRule>
  </conditionalFormatting>
  <conditionalFormatting sqref="B25">
    <cfRule type="expression" dxfId="2244" priority="2109">
      <formula>G25="n"</formula>
    </cfRule>
  </conditionalFormatting>
  <conditionalFormatting sqref="C25">
    <cfRule type="expression" dxfId="2243" priority="2108">
      <formula>G25="n"</formula>
    </cfRule>
  </conditionalFormatting>
  <conditionalFormatting sqref="D25">
    <cfRule type="expression" dxfId="2242" priority="2107">
      <formula>G25="n"</formula>
    </cfRule>
  </conditionalFormatting>
  <conditionalFormatting sqref="E25">
    <cfRule type="expression" dxfId="2241" priority="2106">
      <formula>G25="n"</formula>
    </cfRule>
  </conditionalFormatting>
  <conditionalFormatting sqref="A26">
    <cfRule type="expression" dxfId="2240" priority="2105">
      <formula>G26="n"</formula>
    </cfRule>
  </conditionalFormatting>
  <conditionalFormatting sqref="B26">
    <cfRule type="expression" dxfId="2239" priority="2104">
      <formula>G26="n"</formula>
    </cfRule>
  </conditionalFormatting>
  <conditionalFormatting sqref="C26">
    <cfRule type="expression" dxfId="2238" priority="2103">
      <formula>G26="n"</formula>
    </cfRule>
  </conditionalFormatting>
  <conditionalFormatting sqref="D26">
    <cfRule type="expression" dxfId="2237" priority="2102">
      <formula>G26="n"</formula>
    </cfRule>
  </conditionalFormatting>
  <conditionalFormatting sqref="E26">
    <cfRule type="expression" dxfId="2236" priority="2101">
      <formula>G26="n"</formula>
    </cfRule>
  </conditionalFormatting>
  <conditionalFormatting sqref="A26">
    <cfRule type="expression" dxfId="2235" priority="2100">
      <formula>G26="n"</formula>
    </cfRule>
  </conditionalFormatting>
  <conditionalFormatting sqref="B26">
    <cfRule type="expression" dxfId="2234" priority="2099">
      <formula>G26="n"</formula>
    </cfRule>
  </conditionalFormatting>
  <conditionalFormatting sqref="C26">
    <cfRule type="expression" dxfId="2233" priority="2098">
      <formula>G26="n"</formula>
    </cfRule>
  </conditionalFormatting>
  <conditionalFormatting sqref="D26">
    <cfRule type="expression" dxfId="2232" priority="2097">
      <formula>G26="n"</formula>
    </cfRule>
  </conditionalFormatting>
  <conditionalFormatting sqref="E26">
    <cfRule type="expression" dxfId="2231" priority="2096">
      <formula>G26="n"</formula>
    </cfRule>
  </conditionalFormatting>
  <conditionalFormatting sqref="A32">
    <cfRule type="expression" dxfId="2230" priority="2095">
      <formula>G32="n"</formula>
    </cfRule>
  </conditionalFormatting>
  <conditionalFormatting sqref="B32">
    <cfRule type="expression" dxfId="2229" priority="2094">
      <formula>G32="n"</formula>
    </cfRule>
  </conditionalFormatting>
  <conditionalFormatting sqref="C32">
    <cfRule type="expression" dxfId="2228" priority="2093">
      <formula>G32="n"</formula>
    </cfRule>
  </conditionalFormatting>
  <conditionalFormatting sqref="D32">
    <cfRule type="expression" dxfId="2227" priority="2092">
      <formula>G32="n"</formula>
    </cfRule>
  </conditionalFormatting>
  <conditionalFormatting sqref="E32">
    <cfRule type="expression" dxfId="2226" priority="2091">
      <formula>G32="n"</formula>
    </cfRule>
  </conditionalFormatting>
  <conditionalFormatting sqref="A32">
    <cfRule type="expression" dxfId="2225" priority="2090">
      <formula>G32="n"</formula>
    </cfRule>
  </conditionalFormatting>
  <conditionalFormatting sqref="B32">
    <cfRule type="expression" dxfId="2224" priority="2089">
      <formula>G32="n"</formula>
    </cfRule>
  </conditionalFormatting>
  <conditionalFormatting sqref="C32">
    <cfRule type="expression" dxfId="2223" priority="2088">
      <formula>G32="n"</formula>
    </cfRule>
  </conditionalFormatting>
  <conditionalFormatting sqref="D32">
    <cfRule type="expression" dxfId="2222" priority="2087">
      <formula>G32="n"</formula>
    </cfRule>
  </conditionalFormatting>
  <conditionalFormatting sqref="E32">
    <cfRule type="expression" dxfId="2221" priority="2086">
      <formula>G32="n"</formula>
    </cfRule>
  </conditionalFormatting>
  <conditionalFormatting sqref="A33">
    <cfRule type="expression" dxfId="2220" priority="2085">
      <formula>G33="n"</formula>
    </cfRule>
  </conditionalFormatting>
  <conditionalFormatting sqref="B33">
    <cfRule type="expression" dxfId="2219" priority="2084">
      <formula>G33="n"</formula>
    </cfRule>
  </conditionalFormatting>
  <conditionalFormatting sqref="C33">
    <cfRule type="expression" dxfId="2218" priority="2083">
      <formula>G33="n"</formula>
    </cfRule>
  </conditionalFormatting>
  <conditionalFormatting sqref="D33">
    <cfRule type="expression" dxfId="2217" priority="2082">
      <formula>G33="n"</formula>
    </cfRule>
  </conditionalFormatting>
  <conditionalFormatting sqref="E33">
    <cfRule type="expression" dxfId="2216" priority="2081">
      <formula>G33="n"</formula>
    </cfRule>
  </conditionalFormatting>
  <conditionalFormatting sqref="A33">
    <cfRule type="expression" dxfId="2215" priority="2080">
      <formula>G33="n"</formula>
    </cfRule>
  </conditionalFormatting>
  <conditionalFormatting sqref="B33">
    <cfRule type="expression" dxfId="2214" priority="2079">
      <formula>G33="n"</formula>
    </cfRule>
  </conditionalFormatting>
  <conditionalFormatting sqref="C33">
    <cfRule type="expression" dxfId="2213" priority="2078">
      <formula>G33="n"</formula>
    </cfRule>
  </conditionalFormatting>
  <conditionalFormatting sqref="D33">
    <cfRule type="expression" dxfId="2212" priority="2077">
      <formula>G33="n"</formula>
    </cfRule>
  </conditionalFormatting>
  <conditionalFormatting sqref="E33">
    <cfRule type="expression" dxfId="2211" priority="2076">
      <formula>G33="n"</formula>
    </cfRule>
  </conditionalFormatting>
  <conditionalFormatting sqref="A35">
    <cfRule type="expression" dxfId="2210" priority="2055">
      <formula>G35="n"</formula>
    </cfRule>
  </conditionalFormatting>
  <conditionalFormatting sqref="B35">
    <cfRule type="expression" dxfId="2209" priority="2054">
      <formula>G35="n"</formula>
    </cfRule>
  </conditionalFormatting>
  <conditionalFormatting sqref="A35">
    <cfRule type="expression" dxfId="2208" priority="2050">
      <formula>G35="n"</formula>
    </cfRule>
  </conditionalFormatting>
  <conditionalFormatting sqref="B35">
    <cfRule type="expression" dxfId="2207" priority="2049">
      <formula>G35="n"</formula>
    </cfRule>
  </conditionalFormatting>
  <conditionalFormatting sqref="A42">
    <cfRule type="expression" dxfId="2206" priority="2045">
      <formula>G42="n"</formula>
    </cfRule>
  </conditionalFormatting>
  <conditionalFormatting sqref="B42">
    <cfRule type="expression" dxfId="2205" priority="2044">
      <formula>G42="n"</formula>
    </cfRule>
  </conditionalFormatting>
  <conditionalFormatting sqref="A42">
    <cfRule type="expression" dxfId="2204" priority="2040">
      <formula>G42="n"</formula>
    </cfRule>
  </conditionalFormatting>
  <conditionalFormatting sqref="B42">
    <cfRule type="expression" dxfId="2203" priority="2039">
      <formula>G42="n"</formula>
    </cfRule>
  </conditionalFormatting>
  <conditionalFormatting sqref="A47">
    <cfRule type="expression" dxfId="2202" priority="2035">
      <formula>G47="n"</formula>
    </cfRule>
  </conditionalFormatting>
  <conditionalFormatting sqref="B47">
    <cfRule type="expression" dxfId="2201" priority="2034">
      <formula>G47="n"</formula>
    </cfRule>
  </conditionalFormatting>
  <conditionalFormatting sqref="C47">
    <cfRule type="expression" dxfId="2200" priority="2033">
      <formula>G47="n"</formula>
    </cfRule>
  </conditionalFormatting>
  <conditionalFormatting sqref="D47">
    <cfRule type="expression" dxfId="2199" priority="2032">
      <formula>G47="n"</formula>
    </cfRule>
  </conditionalFormatting>
  <conditionalFormatting sqref="E47">
    <cfRule type="expression" dxfId="2198" priority="2031">
      <formula>G47="n"</formula>
    </cfRule>
  </conditionalFormatting>
  <conditionalFormatting sqref="A47">
    <cfRule type="expression" dxfId="2197" priority="2030">
      <formula>G47="n"</formula>
    </cfRule>
  </conditionalFormatting>
  <conditionalFormatting sqref="B47">
    <cfRule type="expression" dxfId="2196" priority="2029">
      <formula>G47="n"</formula>
    </cfRule>
  </conditionalFormatting>
  <conditionalFormatting sqref="C47">
    <cfRule type="expression" dxfId="2195" priority="2028">
      <formula>G47="n"</formula>
    </cfRule>
  </conditionalFormatting>
  <conditionalFormatting sqref="D47">
    <cfRule type="expression" dxfId="2194" priority="2027">
      <formula>G47="n"</formula>
    </cfRule>
  </conditionalFormatting>
  <conditionalFormatting sqref="E47">
    <cfRule type="expression" dxfId="2193" priority="2026">
      <formula>G47="n"</formula>
    </cfRule>
  </conditionalFormatting>
  <conditionalFormatting sqref="A41">
    <cfRule type="expression" dxfId="2192" priority="2023">
      <formula>G41="n"</formula>
    </cfRule>
  </conditionalFormatting>
  <conditionalFormatting sqref="D50">
    <cfRule type="expression" dxfId="2191" priority="2004">
      <formula>G50="n"</formula>
    </cfRule>
  </conditionalFormatting>
  <conditionalFormatting sqref="A41">
    <cfRule type="expression" dxfId="2190" priority="2019">
      <formula>G41="n"</formula>
    </cfRule>
  </conditionalFormatting>
  <conditionalFormatting sqref="D51">
    <cfRule type="expression" dxfId="2189" priority="2000">
      <formula>G51="n"</formula>
    </cfRule>
  </conditionalFormatting>
  <conditionalFormatting sqref="F51">
    <cfRule type="expression" dxfId="2188" priority="1999">
      <formula>G51="n"</formula>
    </cfRule>
  </conditionalFormatting>
  <conditionalFormatting sqref="E48">
    <cfRule type="expression" dxfId="2187" priority="2014">
      <formula>G48="n"</formula>
    </cfRule>
  </conditionalFormatting>
  <conditionalFormatting sqref="D48">
    <cfRule type="expression" dxfId="2186" priority="2013">
      <formula>G48="n"</formula>
    </cfRule>
  </conditionalFormatting>
  <conditionalFormatting sqref="D48">
    <cfRule type="expression" dxfId="2185" priority="2012">
      <formula>G48="n"</formula>
    </cfRule>
  </conditionalFormatting>
  <conditionalFormatting sqref="F48">
    <cfRule type="expression" dxfId="2184" priority="2011">
      <formula>G48="n"</formula>
    </cfRule>
  </conditionalFormatting>
  <conditionalFormatting sqref="E49">
    <cfRule type="expression" dxfId="2183" priority="2010">
      <formula>G49="n"</formula>
    </cfRule>
  </conditionalFormatting>
  <conditionalFormatting sqref="D49">
    <cfRule type="expression" dxfId="2182" priority="2009">
      <formula>G49="n"</formula>
    </cfRule>
  </conditionalFormatting>
  <conditionalFormatting sqref="D49">
    <cfRule type="expression" dxfId="2181" priority="2008">
      <formula>G49="n"</formula>
    </cfRule>
  </conditionalFormatting>
  <conditionalFormatting sqref="F49">
    <cfRule type="expression" dxfId="2180" priority="2007">
      <formula>G49="n"</formula>
    </cfRule>
  </conditionalFormatting>
  <conditionalFormatting sqref="E50">
    <cfRule type="expression" dxfId="2179" priority="2006">
      <formula>G50="n"</formula>
    </cfRule>
  </conditionalFormatting>
  <conditionalFormatting sqref="D50">
    <cfRule type="expression" dxfId="2178" priority="2005">
      <formula>G50="n"</formula>
    </cfRule>
  </conditionalFormatting>
  <conditionalFormatting sqref="F50">
    <cfRule type="expression" dxfId="2177" priority="2003">
      <formula>G50="n"</formula>
    </cfRule>
  </conditionalFormatting>
  <conditionalFormatting sqref="E51">
    <cfRule type="expression" dxfId="2176" priority="2002">
      <formula>G51="n"</formula>
    </cfRule>
  </conditionalFormatting>
  <conditionalFormatting sqref="D51">
    <cfRule type="expression" dxfId="2175" priority="2001">
      <formula>G51="n"</formula>
    </cfRule>
  </conditionalFormatting>
  <conditionalFormatting sqref="E53">
    <cfRule type="expression" dxfId="2174" priority="1998">
      <formula>G53="n"</formula>
    </cfRule>
  </conditionalFormatting>
  <conditionalFormatting sqref="D53">
    <cfRule type="expression" dxfId="2173" priority="1997">
      <formula>G53="n"</formula>
    </cfRule>
  </conditionalFormatting>
  <conditionalFormatting sqref="D53">
    <cfRule type="expression" dxfId="2172" priority="1996">
      <formula>G53="n"</formula>
    </cfRule>
  </conditionalFormatting>
  <conditionalFormatting sqref="F53">
    <cfRule type="expression" dxfId="2171" priority="1995">
      <formula>G53="n"</formula>
    </cfRule>
  </conditionalFormatting>
  <conditionalFormatting sqref="E54">
    <cfRule type="expression" dxfId="2170" priority="1994">
      <formula>G54="n"</formula>
    </cfRule>
  </conditionalFormatting>
  <conditionalFormatting sqref="D54">
    <cfRule type="expression" dxfId="2169" priority="1993">
      <formula>G54="n"</formula>
    </cfRule>
  </conditionalFormatting>
  <conditionalFormatting sqref="D54">
    <cfRule type="expression" dxfId="2168" priority="1992">
      <formula>G54="n"</formula>
    </cfRule>
  </conditionalFormatting>
  <conditionalFormatting sqref="F54">
    <cfRule type="expression" dxfId="2167" priority="1991">
      <formula>G54="n"</formula>
    </cfRule>
  </conditionalFormatting>
  <conditionalFormatting sqref="E57">
    <cfRule type="expression" dxfId="2166" priority="1990">
      <formula>G57="n"</formula>
    </cfRule>
  </conditionalFormatting>
  <conditionalFormatting sqref="D57">
    <cfRule type="expression" dxfId="2165" priority="1989">
      <formula>G57="n"</formula>
    </cfRule>
  </conditionalFormatting>
  <conditionalFormatting sqref="D57">
    <cfRule type="expression" dxfId="2164" priority="1988">
      <formula>G57="n"</formula>
    </cfRule>
  </conditionalFormatting>
  <conditionalFormatting sqref="F57">
    <cfRule type="expression" dxfId="2163" priority="1987">
      <formula>G57="n"</formula>
    </cfRule>
  </conditionalFormatting>
  <conditionalFormatting sqref="E58">
    <cfRule type="expression" dxfId="2162" priority="1986">
      <formula>G58="n"</formula>
    </cfRule>
  </conditionalFormatting>
  <conditionalFormatting sqref="D58">
    <cfRule type="expression" dxfId="2161" priority="1985">
      <formula>G58="n"</formula>
    </cfRule>
  </conditionalFormatting>
  <conditionalFormatting sqref="D58">
    <cfRule type="expression" dxfId="2160" priority="1984">
      <formula>G58="n"</formula>
    </cfRule>
  </conditionalFormatting>
  <conditionalFormatting sqref="F58">
    <cfRule type="expression" dxfId="2159" priority="1983">
      <formula>G58="n"</formula>
    </cfRule>
  </conditionalFormatting>
  <conditionalFormatting sqref="E59">
    <cfRule type="expression" dxfId="2158" priority="1982">
      <formula>G59="n"</formula>
    </cfRule>
  </conditionalFormatting>
  <conditionalFormatting sqref="D59">
    <cfRule type="expression" dxfId="2157" priority="1981">
      <formula>G59="n"</formula>
    </cfRule>
  </conditionalFormatting>
  <conditionalFormatting sqref="D59">
    <cfRule type="expression" dxfId="2156" priority="1980">
      <formula>G59="n"</formula>
    </cfRule>
  </conditionalFormatting>
  <conditionalFormatting sqref="F59">
    <cfRule type="expression" dxfId="2155" priority="1979">
      <formula>G59="n"</formula>
    </cfRule>
  </conditionalFormatting>
  <conditionalFormatting sqref="A48">
    <cfRule type="expression" dxfId="2154" priority="1978">
      <formula>G48="n"</formula>
    </cfRule>
  </conditionalFormatting>
  <conditionalFormatting sqref="B48">
    <cfRule type="expression" dxfId="2153" priority="1977">
      <formula>G48="n"</formula>
    </cfRule>
  </conditionalFormatting>
  <conditionalFormatting sqref="C48">
    <cfRule type="expression" dxfId="2152" priority="1976">
      <formula>G48="n"</formula>
    </cfRule>
  </conditionalFormatting>
  <conditionalFormatting sqref="A48">
    <cfRule type="expression" dxfId="2151" priority="1975">
      <formula>G48="n"</formula>
    </cfRule>
  </conditionalFormatting>
  <conditionalFormatting sqref="B48">
    <cfRule type="expression" dxfId="2150" priority="1974">
      <formula>G48="n"</formula>
    </cfRule>
  </conditionalFormatting>
  <conditionalFormatting sqref="C48">
    <cfRule type="expression" dxfId="2149" priority="1973">
      <formula>G48="n"</formula>
    </cfRule>
  </conditionalFormatting>
  <conditionalFormatting sqref="A49">
    <cfRule type="expression" dxfId="2148" priority="1972">
      <formula>G49="n"</formula>
    </cfRule>
  </conditionalFormatting>
  <conditionalFormatting sqref="B49">
    <cfRule type="expression" dxfId="2147" priority="1971">
      <formula>G49="n"</formula>
    </cfRule>
  </conditionalFormatting>
  <conditionalFormatting sqref="C49">
    <cfRule type="expression" dxfId="2146" priority="1970">
      <formula>G49="n"</formula>
    </cfRule>
  </conditionalFormatting>
  <conditionalFormatting sqref="A49">
    <cfRule type="expression" dxfId="2145" priority="1969">
      <formula>G49="n"</formula>
    </cfRule>
  </conditionalFormatting>
  <conditionalFormatting sqref="B49">
    <cfRule type="expression" dxfId="2144" priority="1968">
      <formula>G49="n"</formula>
    </cfRule>
  </conditionalFormatting>
  <conditionalFormatting sqref="C49">
    <cfRule type="expression" dxfId="2143" priority="1967">
      <formula>G49="n"</formula>
    </cfRule>
  </conditionalFormatting>
  <conditionalFormatting sqref="A50">
    <cfRule type="expression" dxfId="2142" priority="1966">
      <formula>G50="n"</formula>
    </cfRule>
  </conditionalFormatting>
  <conditionalFormatting sqref="B50">
    <cfRule type="expression" dxfId="2141" priority="1965">
      <formula>G50="n"</formula>
    </cfRule>
  </conditionalFormatting>
  <conditionalFormatting sqref="C50">
    <cfRule type="expression" dxfId="2140" priority="1964">
      <formula>G50="n"</formula>
    </cfRule>
  </conditionalFormatting>
  <conditionalFormatting sqref="A50">
    <cfRule type="expression" dxfId="2139" priority="1963">
      <formula>G50="n"</formula>
    </cfRule>
  </conditionalFormatting>
  <conditionalFormatting sqref="B50">
    <cfRule type="expression" dxfId="2138" priority="1962">
      <formula>G50="n"</formula>
    </cfRule>
  </conditionalFormatting>
  <conditionalFormatting sqref="C50">
    <cfRule type="expression" dxfId="2137" priority="1961">
      <formula>G50="n"</formula>
    </cfRule>
  </conditionalFormatting>
  <conditionalFormatting sqref="A51">
    <cfRule type="expression" dxfId="2136" priority="1960">
      <formula>G51="n"</formula>
    </cfRule>
  </conditionalFormatting>
  <conditionalFormatting sqref="B51">
    <cfRule type="expression" dxfId="2135" priority="1959">
      <formula>G51="n"</formula>
    </cfRule>
  </conditionalFormatting>
  <conditionalFormatting sqref="C51">
    <cfRule type="expression" dxfId="2134" priority="1958">
      <formula>G51="n"</formula>
    </cfRule>
  </conditionalFormatting>
  <conditionalFormatting sqref="A51">
    <cfRule type="expression" dxfId="2133" priority="1957">
      <formula>G51="n"</formula>
    </cfRule>
  </conditionalFormatting>
  <conditionalFormatting sqref="B51">
    <cfRule type="expression" dxfId="2132" priority="1956">
      <formula>G51="n"</formula>
    </cfRule>
  </conditionalFormatting>
  <conditionalFormatting sqref="C51">
    <cfRule type="expression" dxfId="2131" priority="1955">
      <formula>G51="n"</formula>
    </cfRule>
  </conditionalFormatting>
  <conditionalFormatting sqref="A52">
    <cfRule type="expression" dxfId="2130" priority="1954">
      <formula>G52="n"</formula>
    </cfRule>
  </conditionalFormatting>
  <conditionalFormatting sqref="B52">
    <cfRule type="expression" dxfId="2129" priority="1953">
      <formula>G52="n"</formula>
    </cfRule>
  </conditionalFormatting>
  <conditionalFormatting sqref="C52">
    <cfRule type="expression" dxfId="2128" priority="1952">
      <formula>G52="n"</formula>
    </cfRule>
  </conditionalFormatting>
  <conditionalFormatting sqref="A52">
    <cfRule type="expression" dxfId="2127" priority="1951">
      <formula>G52="n"</formula>
    </cfRule>
  </conditionalFormatting>
  <conditionalFormatting sqref="B52">
    <cfRule type="expression" dxfId="2126" priority="1950">
      <formula>G52="n"</formula>
    </cfRule>
  </conditionalFormatting>
  <conditionalFormatting sqref="C52">
    <cfRule type="expression" dxfId="2125" priority="1949">
      <formula>G52="n"</formula>
    </cfRule>
  </conditionalFormatting>
  <conditionalFormatting sqref="A53">
    <cfRule type="expression" dxfId="2124" priority="1948">
      <formula>G53="n"</formula>
    </cfRule>
  </conditionalFormatting>
  <conditionalFormatting sqref="B53">
    <cfRule type="expression" dxfId="2123" priority="1947">
      <formula>G53="n"</formula>
    </cfRule>
  </conditionalFormatting>
  <conditionalFormatting sqref="C53">
    <cfRule type="expression" dxfId="2122" priority="1946">
      <formula>G53="n"</formula>
    </cfRule>
  </conditionalFormatting>
  <conditionalFormatting sqref="A53">
    <cfRule type="expression" dxfId="2121" priority="1945">
      <formula>G53="n"</formula>
    </cfRule>
  </conditionalFormatting>
  <conditionalFormatting sqref="B53">
    <cfRule type="expression" dxfId="2120" priority="1944">
      <formula>G53="n"</formula>
    </cfRule>
  </conditionalFormatting>
  <conditionalFormatting sqref="C53">
    <cfRule type="expression" dxfId="2119" priority="1943">
      <formula>G53="n"</formula>
    </cfRule>
  </conditionalFormatting>
  <conditionalFormatting sqref="A54">
    <cfRule type="expression" dxfId="2118" priority="1942">
      <formula>G54="n"</formula>
    </cfRule>
  </conditionalFormatting>
  <conditionalFormatting sqref="B54">
    <cfRule type="expression" dxfId="2117" priority="1941">
      <formula>G54="n"</formula>
    </cfRule>
  </conditionalFormatting>
  <conditionalFormatting sqref="C54">
    <cfRule type="expression" dxfId="2116" priority="1940">
      <formula>G54="n"</formula>
    </cfRule>
  </conditionalFormatting>
  <conditionalFormatting sqref="A54">
    <cfRule type="expression" dxfId="2115" priority="1939">
      <formula>G54="n"</formula>
    </cfRule>
  </conditionalFormatting>
  <conditionalFormatting sqref="B54">
    <cfRule type="expression" dxfId="2114" priority="1938">
      <formula>G54="n"</formula>
    </cfRule>
  </conditionalFormatting>
  <conditionalFormatting sqref="C54">
    <cfRule type="expression" dxfId="2113" priority="1937">
      <formula>G54="n"</formula>
    </cfRule>
  </conditionalFormatting>
  <conditionalFormatting sqref="A57">
    <cfRule type="expression" dxfId="2112" priority="1936">
      <formula>G57="n"</formula>
    </cfRule>
  </conditionalFormatting>
  <conditionalFormatting sqref="B57">
    <cfRule type="expression" dxfId="2111" priority="1935">
      <formula>G57="n"</formula>
    </cfRule>
  </conditionalFormatting>
  <conditionalFormatting sqref="C57">
    <cfRule type="expression" dxfId="2110" priority="1934">
      <formula>G57="n"</formula>
    </cfRule>
  </conditionalFormatting>
  <conditionalFormatting sqref="A57">
    <cfRule type="expression" dxfId="2109" priority="1933">
      <formula>G57="n"</formula>
    </cfRule>
  </conditionalFormatting>
  <conditionalFormatting sqref="B57">
    <cfRule type="expression" dxfId="2108" priority="1932">
      <formula>G57="n"</formula>
    </cfRule>
  </conditionalFormatting>
  <conditionalFormatting sqref="C57">
    <cfRule type="expression" dxfId="2107" priority="1931">
      <formula>G57="n"</formula>
    </cfRule>
  </conditionalFormatting>
  <conditionalFormatting sqref="A58">
    <cfRule type="expression" dxfId="2106" priority="1930">
      <formula>G58="n"</formula>
    </cfRule>
  </conditionalFormatting>
  <conditionalFormatting sqref="B58">
    <cfRule type="expression" dxfId="2105" priority="1929">
      <formula>G58="n"</formula>
    </cfRule>
  </conditionalFormatting>
  <conditionalFormatting sqref="C58">
    <cfRule type="expression" dxfId="2104" priority="1928">
      <formula>G58="n"</formula>
    </cfRule>
  </conditionalFormatting>
  <conditionalFormatting sqref="A58">
    <cfRule type="expression" dxfId="2103" priority="1927">
      <formula>G58="n"</formula>
    </cfRule>
  </conditionalFormatting>
  <conditionalFormatting sqref="B58">
    <cfRule type="expression" dxfId="2102" priority="1926">
      <formula>G58="n"</formula>
    </cfRule>
  </conditionalFormatting>
  <conditionalFormatting sqref="C58">
    <cfRule type="expression" dxfId="2101" priority="1925">
      <formula>G58="n"</formula>
    </cfRule>
  </conditionalFormatting>
  <conditionalFormatting sqref="A59">
    <cfRule type="expression" dxfId="2100" priority="1924">
      <formula>G59="n"</formula>
    </cfRule>
  </conditionalFormatting>
  <conditionalFormatting sqref="B59">
    <cfRule type="expression" dxfId="2099" priority="1923">
      <formula>G59="n"</formula>
    </cfRule>
  </conditionalFormatting>
  <conditionalFormatting sqref="C59">
    <cfRule type="expression" dxfId="2098" priority="1922">
      <formula>G59="n"</formula>
    </cfRule>
  </conditionalFormatting>
  <conditionalFormatting sqref="A59">
    <cfRule type="expression" dxfId="2097" priority="1921">
      <formula>G59="n"</formula>
    </cfRule>
  </conditionalFormatting>
  <conditionalFormatting sqref="B59">
    <cfRule type="expression" dxfId="2096" priority="1920">
      <formula>G59="n"</formula>
    </cfRule>
  </conditionalFormatting>
  <conditionalFormatting sqref="C59">
    <cfRule type="expression" dxfId="2095" priority="1919">
      <formula>G59="n"</formula>
    </cfRule>
  </conditionalFormatting>
  <conditionalFormatting sqref="E60">
    <cfRule type="expression" dxfId="2094" priority="1918">
      <formula>G60="n"</formula>
    </cfRule>
  </conditionalFormatting>
  <conditionalFormatting sqref="D60">
    <cfRule type="expression" dxfId="2093" priority="1917">
      <formula>G60="n"</formula>
    </cfRule>
  </conditionalFormatting>
  <conditionalFormatting sqref="D60">
    <cfRule type="expression" dxfId="2092" priority="1916">
      <formula>G60="n"</formula>
    </cfRule>
  </conditionalFormatting>
  <conditionalFormatting sqref="F60">
    <cfRule type="expression" dxfId="2091" priority="1915">
      <formula>G60="n"</formula>
    </cfRule>
  </conditionalFormatting>
  <conditionalFormatting sqref="E61">
    <cfRule type="expression" dxfId="2090" priority="1914">
      <formula>G61="n"</formula>
    </cfRule>
  </conditionalFormatting>
  <conditionalFormatting sqref="D61">
    <cfRule type="expression" dxfId="2089" priority="1913">
      <formula>G61="n"</formula>
    </cfRule>
  </conditionalFormatting>
  <conditionalFormatting sqref="D61">
    <cfRule type="expression" dxfId="2088" priority="1912">
      <formula>G61="n"</formula>
    </cfRule>
  </conditionalFormatting>
  <conditionalFormatting sqref="F61">
    <cfRule type="expression" dxfId="2087" priority="1911">
      <formula>G61="n"</formula>
    </cfRule>
  </conditionalFormatting>
  <conditionalFormatting sqref="E62">
    <cfRule type="expression" dxfId="2086" priority="1910">
      <formula>G62="n"</formula>
    </cfRule>
  </conditionalFormatting>
  <conditionalFormatting sqref="D62">
    <cfRule type="expression" dxfId="2085" priority="1909">
      <formula>G62="n"</formula>
    </cfRule>
  </conditionalFormatting>
  <conditionalFormatting sqref="D62">
    <cfRule type="expression" dxfId="2084" priority="1908">
      <formula>G62="n"</formula>
    </cfRule>
  </conditionalFormatting>
  <conditionalFormatting sqref="F62">
    <cfRule type="expression" dxfId="2083" priority="1907">
      <formula>G62="n"</formula>
    </cfRule>
  </conditionalFormatting>
  <conditionalFormatting sqref="E63">
    <cfRule type="expression" dxfId="2082" priority="1906">
      <formula>G63="n"</formula>
    </cfRule>
  </conditionalFormatting>
  <conditionalFormatting sqref="D63">
    <cfRule type="expression" dxfId="2081" priority="1905">
      <formula>G63="n"</formula>
    </cfRule>
  </conditionalFormatting>
  <conditionalFormatting sqref="D63">
    <cfRule type="expression" dxfId="2080" priority="1904">
      <formula>G63="n"</formula>
    </cfRule>
  </conditionalFormatting>
  <conditionalFormatting sqref="F63">
    <cfRule type="expression" dxfId="2079" priority="1903">
      <formula>G63="n"</formula>
    </cfRule>
  </conditionalFormatting>
  <conditionalFormatting sqref="E64">
    <cfRule type="expression" dxfId="2078" priority="1902">
      <formula>G64="n"</formula>
    </cfRule>
  </conditionalFormatting>
  <conditionalFormatting sqref="D64">
    <cfRule type="expression" dxfId="2077" priority="1901">
      <formula>G64="n"</formula>
    </cfRule>
  </conditionalFormatting>
  <conditionalFormatting sqref="D64">
    <cfRule type="expression" dxfId="2076" priority="1900">
      <formula>G64="n"</formula>
    </cfRule>
  </conditionalFormatting>
  <conditionalFormatting sqref="F64">
    <cfRule type="expression" dxfId="2075" priority="1899">
      <formula>G64="n"</formula>
    </cfRule>
  </conditionalFormatting>
  <conditionalFormatting sqref="E65">
    <cfRule type="expression" dxfId="2074" priority="1898">
      <formula>G65="n"</formula>
    </cfRule>
  </conditionalFormatting>
  <conditionalFormatting sqref="D65">
    <cfRule type="expression" dxfId="2073" priority="1897">
      <formula>G65="n"</formula>
    </cfRule>
  </conditionalFormatting>
  <conditionalFormatting sqref="D65">
    <cfRule type="expression" dxfId="2072" priority="1896">
      <formula>G65="n"</formula>
    </cfRule>
  </conditionalFormatting>
  <conditionalFormatting sqref="F65">
    <cfRule type="expression" dxfId="2071" priority="1895">
      <formula>G65="n"</formula>
    </cfRule>
  </conditionalFormatting>
  <conditionalFormatting sqref="E66">
    <cfRule type="expression" dxfId="2070" priority="1894">
      <formula>G66="n"</formula>
    </cfRule>
  </conditionalFormatting>
  <conditionalFormatting sqref="D66">
    <cfRule type="expression" dxfId="2069" priority="1893">
      <formula>G66="n"</formula>
    </cfRule>
  </conditionalFormatting>
  <conditionalFormatting sqref="D66">
    <cfRule type="expression" dxfId="2068" priority="1892">
      <formula>G66="n"</formula>
    </cfRule>
  </conditionalFormatting>
  <conditionalFormatting sqref="F66">
    <cfRule type="expression" dxfId="2067" priority="1891">
      <formula>G66="n"</formula>
    </cfRule>
  </conditionalFormatting>
  <conditionalFormatting sqref="E67">
    <cfRule type="expression" dxfId="2066" priority="1890">
      <formula>G67="n"</formula>
    </cfRule>
  </conditionalFormatting>
  <conditionalFormatting sqref="D67">
    <cfRule type="expression" dxfId="2065" priority="1889">
      <formula>G67="n"</formula>
    </cfRule>
  </conditionalFormatting>
  <conditionalFormatting sqref="D67">
    <cfRule type="expression" dxfId="2064" priority="1888">
      <formula>G67="n"</formula>
    </cfRule>
  </conditionalFormatting>
  <conditionalFormatting sqref="F67">
    <cfRule type="expression" dxfId="2063" priority="1887">
      <formula>G67="n"</formula>
    </cfRule>
  </conditionalFormatting>
  <conditionalFormatting sqref="E68">
    <cfRule type="expression" dxfId="2062" priority="1886">
      <formula>G68="n"</formula>
    </cfRule>
  </conditionalFormatting>
  <conditionalFormatting sqref="D68">
    <cfRule type="expression" dxfId="2061" priority="1885">
      <formula>G68="n"</formula>
    </cfRule>
  </conditionalFormatting>
  <conditionalFormatting sqref="D68">
    <cfRule type="expression" dxfId="2060" priority="1884">
      <formula>G68="n"</formula>
    </cfRule>
  </conditionalFormatting>
  <conditionalFormatting sqref="F68">
    <cfRule type="expression" dxfId="2059" priority="1883">
      <formula>G68="n"</formula>
    </cfRule>
  </conditionalFormatting>
  <conditionalFormatting sqref="E69">
    <cfRule type="expression" dxfId="2058" priority="1882">
      <formula>G69="n"</formula>
    </cfRule>
  </conditionalFormatting>
  <conditionalFormatting sqref="D69">
    <cfRule type="expression" dxfId="2057" priority="1881">
      <formula>G69="n"</formula>
    </cfRule>
  </conditionalFormatting>
  <conditionalFormatting sqref="D69">
    <cfRule type="expression" dxfId="2056" priority="1880">
      <formula>G69="n"</formula>
    </cfRule>
  </conditionalFormatting>
  <conditionalFormatting sqref="F69">
    <cfRule type="expression" dxfId="2055" priority="1879">
      <formula>G69="n"</formula>
    </cfRule>
  </conditionalFormatting>
  <conditionalFormatting sqref="E70">
    <cfRule type="expression" dxfId="2054" priority="1878">
      <formula>G70="n"</formula>
    </cfRule>
  </conditionalFormatting>
  <conditionalFormatting sqref="D70">
    <cfRule type="expression" dxfId="2053" priority="1877">
      <formula>G70="n"</formula>
    </cfRule>
  </conditionalFormatting>
  <conditionalFormatting sqref="D70">
    <cfRule type="expression" dxfId="2052" priority="1876">
      <formula>G70="n"</formula>
    </cfRule>
  </conditionalFormatting>
  <conditionalFormatting sqref="F70">
    <cfRule type="expression" dxfId="2051" priority="1875">
      <formula>G70="n"</formula>
    </cfRule>
  </conditionalFormatting>
  <conditionalFormatting sqref="E71">
    <cfRule type="expression" dxfId="2050" priority="1874">
      <formula>G71="n"</formula>
    </cfRule>
  </conditionalFormatting>
  <conditionalFormatting sqref="D71">
    <cfRule type="expression" dxfId="2049" priority="1873">
      <formula>G71="n"</formula>
    </cfRule>
  </conditionalFormatting>
  <conditionalFormatting sqref="D71">
    <cfRule type="expression" dxfId="2048" priority="1872">
      <formula>G71="n"</formula>
    </cfRule>
  </conditionalFormatting>
  <conditionalFormatting sqref="F71">
    <cfRule type="expression" dxfId="2047" priority="1871">
      <formula>G71="n"</formula>
    </cfRule>
  </conditionalFormatting>
  <conditionalFormatting sqref="E72">
    <cfRule type="expression" dxfId="2046" priority="1870">
      <formula>G72="n"</formula>
    </cfRule>
  </conditionalFormatting>
  <conditionalFormatting sqref="D72">
    <cfRule type="expression" dxfId="2045" priority="1869">
      <formula>G72="n"</formula>
    </cfRule>
  </conditionalFormatting>
  <conditionalFormatting sqref="D72">
    <cfRule type="expression" dxfId="2044" priority="1868">
      <formula>G72="n"</formula>
    </cfRule>
  </conditionalFormatting>
  <conditionalFormatting sqref="F72">
    <cfRule type="expression" dxfId="2043" priority="1867">
      <formula>G72="n"</formula>
    </cfRule>
  </conditionalFormatting>
  <conditionalFormatting sqref="E73">
    <cfRule type="expression" dxfId="2042" priority="1866">
      <formula>G73="n"</formula>
    </cfRule>
  </conditionalFormatting>
  <conditionalFormatting sqref="D73">
    <cfRule type="expression" dxfId="2041" priority="1865">
      <formula>G73="n"</formula>
    </cfRule>
  </conditionalFormatting>
  <conditionalFormatting sqref="D73">
    <cfRule type="expression" dxfId="2040" priority="1864">
      <formula>G73="n"</formula>
    </cfRule>
  </conditionalFormatting>
  <conditionalFormatting sqref="F73">
    <cfRule type="expression" dxfId="2039" priority="1863">
      <formula>G73="n"</formula>
    </cfRule>
  </conditionalFormatting>
  <conditionalFormatting sqref="E74">
    <cfRule type="expression" dxfId="2038" priority="1862">
      <formula>G74="n"</formula>
    </cfRule>
  </conditionalFormatting>
  <conditionalFormatting sqref="D74">
    <cfRule type="expression" dxfId="2037" priority="1861">
      <formula>G74="n"</formula>
    </cfRule>
  </conditionalFormatting>
  <conditionalFormatting sqref="D74">
    <cfRule type="expression" dxfId="2036" priority="1860">
      <formula>G74="n"</formula>
    </cfRule>
  </conditionalFormatting>
  <conditionalFormatting sqref="F74">
    <cfRule type="expression" dxfId="2035" priority="1859">
      <formula>G74="n"</formula>
    </cfRule>
  </conditionalFormatting>
  <conditionalFormatting sqref="E75">
    <cfRule type="expression" dxfId="2034" priority="1858">
      <formula>G75="n"</formula>
    </cfRule>
  </conditionalFormatting>
  <conditionalFormatting sqref="D75">
    <cfRule type="expression" dxfId="2033" priority="1857">
      <formula>G75="n"</formula>
    </cfRule>
  </conditionalFormatting>
  <conditionalFormatting sqref="D75">
    <cfRule type="expression" dxfId="2032" priority="1856">
      <formula>G75="n"</formula>
    </cfRule>
  </conditionalFormatting>
  <conditionalFormatting sqref="F75">
    <cfRule type="expression" dxfId="2031" priority="1855">
      <formula>G75="n"</formula>
    </cfRule>
  </conditionalFormatting>
  <conditionalFormatting sqref="E76">
    <cfRule type="expression" dxfId="2030" priority="1854">
      <formula>G76="n"</formula>
    </cfRule>
  </conditionalFormatting>
  <conditionalFormatting sqref="D76">
    <cfRule type="expression" dxfId="2029" priority="1853">
      <formula>G76="n"</formula>
    </cfRule>
  </conditionalFormatting>
  <conditionalFormatting sqref="D76">
    <cfRule type="expression" dxfId="2028" priority="1852">
      <formula>G76="n"</formula>
    </cfRule>
  </conditionalFormatting>
  <conditionalFormatting sqref="F76">
    <cfRule type="expression" dxfId="2027" priority="1851">
      <formula>G76="n"</formula>
    </cfRule>
  </conditionalFormatting>
  <conditionalFormatting sqref="E77">
    <cfRule type="expression" dxfId="2026" priority="1850">
      <formula>G77="n"</formula>
    </cfRule>
  </conditionalFormatting>
  <conditionalFormatting sqref="D77">
    <cfRule type="expression" dxfId="2025" priority="1849">
      <formula>G77="n"</formula>
    </cfRule>
  </conditionalFormatting>
  <conditionalFormatting sqref="D77">
    <cfRule type="expression" dxfId="2024" priority="1848">
      <formula>G77="n"</formula>
    </cfRule>
  </conditionalFormatting>
  <conditionalFormatting sqref="F77">
    <cfRule type="expression" dxfId="2023" priority="1847">
      <formula>G77="n"</formula>
    </cfRule>
  </conditionalFormatting>
  <conditionalFormatting sqref="E78">
    <cfRule type="expression" dxfId="2022" priority="1846">
      <formula>G78="n"</formula>
    </cfRule>
  </conditionalFormatting>
  <conditionalFormatting sqref="D78">
    <cfRule type="expression" dxfId="2021" priority="1845">
      <formula>G78="n"</formula>
    </cfRule>
  </conditionalFormatting>
  <conditionalFormatting sqref="D78">
    <cfRule type="expression" dxfId="2020" priority="1844">
      <formula>G78="n"</formula>
    </cfRule>
  </conditionalFormatting>
  <conditionalFormatting sqref="F78">
    <cfRule type="expression" dxfId="2019" priority="1843">
      <formula>G78="n"</formula>
    </cfRule>
  </conditionalFormatting>
  <conditionalFormatting sqref="E79">
    <cfRule type="expression" dxfId="2018" priority="1842">
      <formula>G79="n"</formula>
    </cfRule>
  </conditionalFormatting>
  <conditionalFormatting sqref="D79">
    <cfRule type="expression" dxfId="2017" priority="1841">
      <formula>G79="n"</formula>
    </cfRule>
  </conditionalFormatting>
  <conditionalFormatting sqref="D79">
    <cfRule type="expression" dxfId="2016" priority="1840">
      <formula>G79="n"</formula>
    </cfRule>
  </conditionalFormatting>
  <conditionalFormatting sqref="F79">
    <cfRule type="expression" dxfId="2015" priority="1839">
      <formula>G79="n"</formula>
    </cfRule>
  </conditionalFormatting>
  <conditionalFormatting sqref="E80">
    <cfRule type="expression" dxfId="2014" priority="1838">
      <formula>G80="n"</formula>
    </cfRule>
  </conditionalFormatting>
  <conditionalFormatting sqref="D80">
    <cfRule type="expression" dxfId="2013" priority="1837">
      <formula>G80="n"</formula>
    </cfRule>
  </conditionalFormatting>
  <conditionalFormatting sqref="D80">
    <cfRule type="expression" dxfId="2012" priority="1836">
      <formula>G80="n"</formula>
    </cfRule>
  </conditionalFormatting>
  <conditionalFormatting sqref="F80">
    <cfRule type="expression" dxfId="2011" priority="1835">
      <formula>G80="n"</formula>
    </cfRule>
  </conditionalFormatting>
  <conditionalFormatting sqref="E81">
    <cfRule type="expression" dxfId="2010" priority="1834">
      <formula>G81="n"</formula>
    </cfRule>
  </conditionalFormatting>
  <conditionalFormatting sqref="D81">
    <cfRule type="expression" dxfId="2009" priority="1833">
      <formula>G81="n"</formula>
    </cfRule>
  </conditionalFormatting>
  <conditionalFormatting sqref="D81">
    <cfRule type="expression" dxfId="2008" priority="1832">
      <formula>G81="n"</formula>
    </cfRule>
  </conditionalFormatting>
  <conditionalFormatting sqref="F81">
    <cfRule type="expression" dxfId="2007" priority="1831">
      <formula>G81="n"</formula>
    </cfRule>
  </conditionalFormatting>
  <conditionalFormatting sqref="E82">
    <cfRule type="expression" dxfId="2006" priority="1830">
      <formula>G82="n"</formula>
    </cfRule>
  </conditionalFormatting>
  <conditionalFormatting sqref="D82">
    <cfRule type="expression" dxfId="2005" priority="1829">
      <formula>G82="n"</formula>
    </cfRule>
  </conditionalFormatting>
  <conditionalFormatting sqref="D82">
    <cfRule type="expression" dxfId="2004" priority="1828">
      <formula>G82="n"</formula>
    </cfRule>
  </conditionalFormatting>
  <conditionalFormatting sqref="F82">
    <cfRule type="expression" dxfId="2003" priority="1827">
      <formula>G82="n"</formula>
    </cfRule>
  </conditionalFormatting>
  <conditionalFormatting sqref="E83">
    <cfRule type="expression" dxfId="2002" priority="1826">
      <formula>G83="n"</formula>
    </cfRule>
  </conditionalFormatting>
  <conditionalFormatting sqref="D83">
    <cfRule type="expression" dxfId="2001" priority="1825">
      <formula>G83="n"</formula>
    </cfRule>
  </conditionalFormatting>
  <conditionalFormatting sqref="D83">
    <cfRule type="expression" dxfId="2000" priority="1824">
      <formula>G83="n"</formula>
    </cfRule>
  </conditionalFormatting>
  <conditionalFormatting sqref="F83">
    <cfRule type="expression" dxfId="1999" priority="1823">
      <formula>G83="n"</formula>
    </cfRule>
  </conditionalFormatting>
  <conditionalFormatting sqref="E84">
    <cfRule type="expression" dxfId="1998" priority="1822">
      <formula>G84="n"</formula>
    </cfRule>
  </conditionalFormatting>
  <conditionalFormatting sqref="D84">
    <cfRule type="expression" dxfId="1997" priority="1821">
      <formula>G84="n"</formula>
    </cfRule>
  </conditionalFormatting>
  <conditionalFormatting sqref="D84">
    <cfRule type="expression" dxfId="1996" priority="1820">
      <formula>G84="n"</formula>
    </cfRule>
  </conditionalFormatting>
  <conditionalFormatting sqref="F84">
    <cfRule type="expression" dxfId="1995" priority="1819">
      <formula>G84="n"</formula>
    </cfRule>
  </conditionalFormatting>
  <conditionalFormatting sqref="A60">
    <cfRule type="expression" dxfId="1994" priority="1818">
      <formula>G60="n"</formula>
    </cfRule>
  </conditionalFormatting>
  <conditionalFormatting sqref="B60">
    <cfRule type="expression" dxfId="1993" priority="1817">
      <formula>G60="n"</formula>
    </cfRule>
  </conditionalFormatting>
  <conditionalFormatting sqref="C60">
    <cfRule type="expression" dxfId="1992" priority="1816">
      <formula>G60="n"</formula>
    </cfRule>
  </conditionalFormatting>
  <conditionalFormatting sqref="A60">
    <cfRule type="expression" dxfId="1991" priority="1815">
      <formula>G60="n"</formula>
    </cfRule>
  </conditionalFormatting>
  <conditionalFormatting sqref="B60">
    <cfRule type="expression" dxfId="1990" priority="1814">
      <formula>G60="n"</formula>
    </cfRule>
  </conditionalFormatting>
  <conditionalFormatting sqref="C60">
    <cfRule type="expression" dxfId="1989" priority="1813">
      <formula>G60="n"</formula>
    </cfRule>
  </conditionalFormatting>
  <conditionalFormatting sqref="A61">
    <cfRule type="expression" dxfId="1988" priority="1812">
      <formula>G61="n"</formula>
    </cfRule>
  </conditionalFormatting>
  <conditionalFormatting sqref="B61">
    <cfRule type="expression" dxfId="1987" priority="1811">
      <formula>G61="n"</formula>
    </cfRule>
  </conditionalFormatting>
  <conditionalFormatting sqref="C61">
    <cfRule type="expression" dxfId="1986" priority="1810">
      <formula>G61="n"</formula>
    </cfRule>
  </conditionalFormatting>
  <conditionalFormatting sqref="A61">
    <cfRule type="expression" dxfId="1985" priority="1809">
      <formula>G61="n"</formula>
    </cfRule>
  </conditionalFormatting>
  <conditionalFormatting sqref="B61">
    <cfRule type="expression" dxfId="1984" priority="1808">
      <formula>G61="n"</formula>
    </cfRule>
  </conditionalFormatting>
  <conditionalFormatting sqref="C61">
    <cfRule type="expression" dxfId="1983" priority="1807">
      <formula>G61="n"</formula>
    </cfRule>
  </conditionalFormatting>
  <conditionalFormatting sqref="A62">
    <cfRule type="expression" dxfId="1982" priority="1806">
      <formula>G62="n"</formula>
    </cfRule>
  </conditionalFormatting>
  <conditionalFormatting sqref="B62">
    <cfRule type="expression" dxfId="1981" priority="1805">
      <formula>G62="n"</formula>
    </cfRule>
  </conditionalFormatting>
  <conditionalFormatting sqref="C62">
    <cfRule type="expression" dxfId="1980" priority="1804">
      <formula>G62="n"</formula>
    </cfRule>
  </conditionalFormatting>
  <conditionalFormatting sqref="A62">
    <cfRule type="expression" dxfId="1979" priority="1803">
      <formula>G62="n"</formula>
    </cfRule>
  </conditionalFormatting>
  <conditionalFormatting sqref="B62">
    <cfRule type="expression" dxfId="1978" priority="1802">
      <formula>G62="n"</formula>
    </cfRule>
  </conditionalFormatting>
  <conditionalFormatting sqref="C62">
    <cfRule type="expression" dxfId="1977" priority="1801">
      <formula>G62="n"</formula>
    </cfRule>
  </conditionalFormatting>
  <conditionalFormatting sqref="A63">
    <cfRule type="expression" dxfId="1976" priority="1800">
      <formula>G63="n"</formula>
    </cfRule>
  </conditionalFormatting>
  <conditionalFormatting sqref="B63">
    <cfRule type="expression" dxfId="1975" priority="1799">
      <formula>G63="n"</formula>
    </cfRule>
  </conditionalFormatting>
  <conditionalFormatting sqref="C63">
    <cfRule type="expression" dxfId="1974" priority="1798">
      <formula>G63="n"</formula>
    </cfRule>
  </conditionalFormatting>
  <conditionalFormatting sqref="A63">
    <cfRule type="expression" dxfId="1973" priority="1797">
      <formula>G63="n"</formula>
    </cfRule>
  </conditionalFormatting>
  <conditionalFormatting sqref="B63">
    <cfRule type="expression" dxfId="1972" priority="1796">
      <formula>G63="n"</formula>
    </cfRule>
  </conditionalFormatting>
  <conditionalFormatting sqref="C63">
    <cfRule type="expression" dxfId="1971" priority="1795">
      <formula>G63="n"</formula>
    </cfRule>
  </conditionalFormatting>
  <conditionalFormatting sqref="A64">
    <cfRule type="expression" dxfId="1970" priority="1794">
      <formula>G64="n"</formula>
    </cfRule>
  </conditionalFormatting>
  <conditionalFormatting sqref="B64">
    <cfRule type="expression" dxfId="1969" priority="1793">
      <formula>G64="n"</formula>
    </cfRule>
  </conditionalFormatting>
  <conditionalFormatting sqref="C64">
    <cfRule type="expression" dxfId="1968" priority="1792">
      <formula>G64="n"</formula>
    </cfRule>
  </conditionalFormatting>
  <conditionalFormatting sqref="A64">
    <cfRule type="expression" dxfId="1967" priority="1791">
      <formula>G64="n"</formula>
    </cfRule>
  </conditionalFormatting>
  <conditionalFormatting sqref="B64">
    <cfRule type="expression" dxfId="1966" priority="1790">
      <formula>G64="n"</formula>
    </cfRule>
  </conditionalFormatting>
  <conditionalFormatting sqref="C64">
    <cfRule type="expression" dxfId="1965" priority="1789">
      <formula>G64="n"</formula>
    </cfRule>
  </conditionalFormatting>
  <conditionalFormatting sqref="A65">
    <cfRule type="expression" dxfId="1964" priority="1788">
      <formula>G65="n"</formula>
    </cfRule>
  </conditionalFormatting>
  <conditionalFormatting sqref="B65">
    <cfRule type="expression" dxfId="1963" priority="1787">
      <formula>G65="n"</formula>
    </cfRule>
  </conditionalFormatting>
  <conditionalFormatting sqref="C65">
    <cfRule type="expression" dxfId="1962" priority="1786">
      <formula>G65="n"</formula>
    </cfRule>
  </conditionalFormatting>
  <conditionalFormatting sqref="A65">
    <cfRule type="expression" dxfId="1961" priority="1785">
      <formula>G65="n"</formula>
    </cfRule>
  </conditionalFormatting>
  <conditionalFormatting sqref="B65">
    <cfRule type="expression" dxfId="1960" priority="1784">
      <formula>G65="n"</formula>
    </cfRule>
  </conditionalFormatting>
  <conditionalFormatting sqref="C65">
    <cfRule type="expression" dxfId="1959" priority="1783">
      <formula>G65="n"</formula>
    </cfRule>
  </conditionalFormatting>
  <conditionalFormatting sqref="A66">
    <cfRule type="expression" dxfId="1958" priority="1782">
      <formula>G66="n"</formula>
    </cfRule>
  </conditionalFormatting>
  <conditionalFormatting sqref="B66">
    <cfRule type="expression" dxfId="1957" priority="1781">
      <formula>G66="n"</formula>
    </cfRule>
  </conditionalFormatting>
  <conditionalFormatting sqref="C66">
    <cfRule type="expression" dxfId="1956" priority="1780">
      <formula>G66="n"</formula>
    </cfRule>
  </conditionalFormatting>
  <conditionalFormatting sqref="A66">
    <cfRule type="expression" dxfId="1955" priority="1779">
      <formula>G66="n"</formula>
    </cfRule>
  </conditionalFormatting>
  <conditionalFormatting sqref="B66">
    <cfRule type="expression" dxfId="1954" priority="1778">
      <formula>G66="n"</formula>
    </cfRule>
  </conditionalFormatting>
  <conditionalFormatting sqref="C66">
    <cfRule type="expression" dxfId="1953" priority="1777">
      <formula>G66="n"</formula>
    </cfRule>
  </conditionalFormatting>
  <conditionalFormatting sqref="A67">
    <cfRule type="expression" dxfId="1952" priority="1776">
      <formula>G67="n"</formula>
    </cfRule>
  </conditionalFormatting>
  <conditionalFormatting sqref="B67">
    <cfRule type="expression" dxfId="1951" priority="1775">
      <formula>G67="n"</formula>
    </cfRule>
  </conditionalFormatting>
  <conditionalFormatting sqref="C67">
    <cfRule type="expression" dxfId="1950" priority="1774">
      <formula>G67="n"</formula>
    </cfRule>
  </conditionalFormatting>
  <conditionalFormatting sqref="A67">
    <cfRule type="expression" dxfId="1949" priority="1773">
      <formula>G67="n"</formula>
    </cfRule>
  </conditionalFormatting>
  <conditionalFormatting sqref="B67">
    <cfRule type="expression" dxfId="1948" priority="1772">
      <formula>G67="n"</formula>
    </cfRule>
  </conditionalFormatting>
  <conditionalFormatting sqref="C67">
    <cfRule type="expression" dxfId="1947" priority="1771">
      <formula>G67="n"</formula>
    </cfRule>
  </conditionalFormatting>
  <conditionalFormatting sqref="A68">
    <cfRule type="expression" dxfId="1946" priority="1770">
      <formula>G68="n"</formula>
    </cfRule>
  </conditionalFormatting>
  <conditionalFormatting sqref="B68">
    <cfRule type="expression" dxfId="1945" priority="1769">
      <formula>G68="n"</formula>
    </cfRule>
  </conditionalFormatting>
  <conditionalFormatting sqref="C68">
    <cfRule type="expression" dxfId="1944" priority="1768">
      <formula>G68="n"</formula>
    </cfRule>
  </conditionalFormatting>
  <conditionalFormatting sqref="A68">
    <cfRule type="expression" dxfId="1943" priority="1767">
      <formula>G68="n"</formula>
    </cfRule>
  </conditionalFormatting>
  <conditionalFormatting sqref="B68">
    <cfRule type="expression" dxfId="1942" priority="1766">
      <formula>G68="n"</formula>
    </cfRule>
  </conditionalFormatting>
  <conditionalFormatting sqref="C68">
    <cfRule type="expression" dxfId="1941" priority="1765">
      <formula>G68="n"</formula>
    </cfRule>
  </conditionalFormatting>
  <conditionalFormatting sqref="A69">
    <cfRule type="expression" dxfId="1940" priority="1764">
      <formula>G69="n"</formula>
    </cfRule>
  </conditionalFormatting>
  <conditionalFormatting sqref="B69">
    <cfRule type="expression" dxfId="1939" priority="1763">
      <formula>G69="n"</formula>
    </cfRule>
  </conditionalFormatting>
  <conditionalFormatting sqref="C69">
    <cfRule type="expression" dxfId="1938" priority="1762">
      <formula>G69="n"</formula>
    </cfRule>
  </conditionalFormatting>
  <conditionalFormatting sqref="A69">
    <cfRule type="expression" dxfId="1937" priority="1761">
      <formula>G69="n"</formula>
    </cfRule>
  </conditionalFormatting>
  <conditionalFormatting sqref="B69">
    <cfRule type="expression" dxfId="1936" priority="1760">
      <formula>G69="n"</formula>
    </cfRule>
  </conditionalFormatting>
  <conditionalFormatting sqref="C69">
    <cfRule type="expression" dxfId="1935" priority="1759">
      <formula>G69="n"</formula>
    </cfRule>
  </conditionalFormatting>
  <conditionalFormatting sqref="A70">
    <cfRule type="expression" dxfId="1934" priority="1758">
      <formula>G70="n"</formula>
    </cfRule>
  </conditionalFormatting>
  <conditionalFormatting sqref="B70">
    <cfRule type="expression" dxfId="1933" priority="1757">
      <formula>G70="n"</formula>
    </cfRule>
  </conditionalFormatting>
  <conditionalFormatting sqref="C70">
    <cfRule type="expression" dxfId="1932" priority="1756">
      <formula>G70="n"</formula>
    </cfRule>
  </conditionalFormatting>
  <conditionalFormatting sqref="A70">
    <cfRule type="expression" dxfId="1931" priority="1755">
      <formula>G70="n"</formula>
    </cfRule>
  </conditionalFormatting>
  <conditionalFormatting sqref="B70">
    <cfRule type="expression" dxfId="1930" priority="1754">
      <formula>G70="n"</formula>
    </cfRule>
  </conditionalFormatting>
  <conditionalFormatting sqref="C70">
    <cfRule type="expression" dxfId="1929" priority="1753">
      <formula>G70="n"</formula>
    </cfRule>
  </conditionalFormatting>
  <conditionalFormatting sqref="A71">
    <cfRule type="expression" dxfId="1928" priority="1752">
      <formula>G71="n"</formula>
    </cfRule>
  </conditionalFormatting>
  <conditionalFormatting sqref="B71">
    <cfRule type="expression" dxfId="1927" priority="1751">
      <formula>G71="n"</formula>
    </cfRule>
  </conditionalFormatting>
  <conditionalFormatting sqref="C71">
    <cfRule type="expression" dxfId="1926" priority="1750">
      <formula>G71="n"</formula>
    </cfRule>
  </conditionalFormatting>
  <conditionalFormatting sqref="A71">
    <cfRule type="expression" dxfId="1925" priority="1749">
      <formula>G71="n"</formula>
    </cfRule>
  </conditionalFormatting>
  <conditionalFormatting sqref="B71">
    <cfRule type="expression" dxfId="1924" priority="1748">
      <formula>G71="n"</formula>
    </cfRule>
  </conditionalFormatting>
  <conditionalFormatting sqref="C71">
    <cfRule type="expression" dxfId="1923" priority="1747">
      <formula>G71="n"</formula>
    </cfRule>
  </conditionalFormatting>
  <conditionalFormatting sqref="A72">
    <cfRule type="expression" dxfId="1922" priority="1746">
      <formula>G72="n"</formula>
    </cfRule>
  </conditionalFormatting>
  <conditionalFormatting sqref="B72">
    <cfRule type="expression" dxfId="1921" priority="1745">
      <formula>G72="n"</formula>
    </cfRule>
  </conditionalFormatting>
  <conditionalFormatting sqref="C72">
    <cfRule type="expression" dxfId="1920" priority="1744">
      <formula>G72="n"</formula>
    </cfRule>
  </conditionalFormatting>
  <conditionalFormatting sqref="A72">
    <cfRule type="expression" dxfId="1919" priority="1743">
      <formula>G72="n"</formula>
    </cfRule>
  </conditionalFormatting>
  <conditionalFormatting sqref="B72">
    <cfRule type="expression" dxfId="1918" priority="1742">
      <formula>G72="n"</formula>
    </cfRule>
  </conditionalFormatting>
  <conditionalFormatting sqref="C72">
    <cfRule type="expression" dxfId="1917" priority="1741">
      <formula>G72="n"</formula>
    </cfRule>
  </conditionalFormatting>
  <conditionalFormatting sqref="A73">
    <cfRule type="expression" dxfId="1916" priority="1740">
      <formula>G73="n"</formula>
    </cfRule>
  </conditionalFormatting>
  <conditionalFormatting sqref="B73">
    <cfRule type="expression" dxfId="1915" priority="1739">
      <formula>G73="n"</formula>
    </cfRule>
  </conditionalFormatting>
  <conditionalFormatting sqref="C73">
    <cfRule type="expression" dxfId="1914" priority="1738">
      <formula>G73="n"</formula>
    </cfRule>
  </conditionalFormatting>
  <conditionalFormatting sqref="A73">
    <cfRule type="expression" dxfId="1913" priority="1737">
      <formula>G73="n"</formula>
    </cfRule>
  </conditionalFormatting>
  <conditionalFormatting sqref="B73">
    <cfRule type="expression" dxfId="1912" priority="1736">
      <formula>G73="n"</formula>
    </cfRule>
  </conditionalFormatting>
  <conditionalFormatting sqref="C73">
    <cfRule type="expression" dxfId="1911" priority="1735">
      <formula>G73="n"</formula>
    </cfRule>
  </conditionalFormatting>
  <conditionalFormatting sqref="A74">
    <cfRule type="expression" dxfId="1910" priority="1734">
      <formula>G74="n"</formula>
    </cfRule>
  </conditionalFormatting>
  <conditionalFormatting sqref="B74">
    <cfRule type="expression" dxfId="1909" priority="1733">
      <formula>G74="n"</formula>
    </cfRule>
  </conditionalFormatting>
  <conditionalFormatting sqref="C74">
    <cfRule type="expression" dxfId="1908" priority="1732">
      <formula>G74="n"</formula>
    </cfRule>
  </conditionalFormatting>
  <conditionalFormatting sqref="A74">
    <cfRule type="expression" dxfId="1907" priority="1731">
      <formula>G74="n"</formula>
    </cfRule>
  </conditionalFormatting>
  <conditionalFormatting sqref="B74">
    <cfRule type="expression" dxfId="1906" priority="1730">
      <formula>G74="n"</formula>
    </cfRule>
  </conditionalFormatting>
  <conditionalFormatting sqref="C74">
    <cfRule type="expression" dxfId="1905" priority="1729">
      <formula>G74="n"</formula>
    </cfRule>
  </conditionalFormatting>
  <conditionalFormatting sqref="A75">
    <cfRule type="expression" dxfId="1904" priority="1728">
      <formula>G75="n"</formula>
    </cfRule>
  </conditionalFormatting>
  <conditionalFormatting sqref="B75">
    <cfRule type="expression" dxfId="1903" priority="1727">
      <formula>G75="n"</formula>
    </cfRule>
  </conditionalFormatting>
  <conditionalFormatting sqref="C75">
    <cfRule type="expression" dxfId="1902" priority="1726">
      <formula>G75="n"</formula>
    </cfRule>
  </conditionalFormatting>
  <conditionalFormatting sqref="A75">
    <cfRule type="expression" dxfId="1901" priority="1725">
      <formula>G75="n"</formula>
    </cfRule>
  </conditionalFormatting>
  <conditionalFormatting sqref="B75">
    <cfRule type="expression" dxfId="1900" priority="1724">
      <formula>G75="n"</formula>
    </cfRule>
  </conditionalFormatting>
  <conditionalFormatting sqref="C75">
    <cfRule type="expression" dxfId="1899" priority="1723">
      <formula>G75="n"</formula>
    </cfRule>
  </conditionalFormatting>
  <conditionalFormatting sqref="A76">
    <cfRule type="expression" dxfId="1898" priority="1722">
      <formula>G76="n"</formula>
    </cfRule>
  </conditionalFormatting>
  <conditionalFormatting sqref="B76">
    <cfRule type="expression" dxfId="1897" priority="1721">
      <formula>G76="n"</formula>
    </cfRule>
  </conditionalFormatting>
  <conditionalFormatting sqref="C76">
    <cfRule type="expression" dxfId="1896" priority="1720">
      <formula>G76="n"</formula>
    </cfRule>
  </conditionalFormatting>
  <conditionalFormatting sqref="A76">
    <cfRule type="expression" dxfId="1895" priority="1719">
      <formula>G76="n"</formula>
    </cfRule>
  </conditionalFormatting>
  <conditionalFormatting sqref="B76">
    <cfRule type="expression" dxfId="1894" priority="1718">
      <formula>G76="n"</formula>
    </cfRule>
  </conditionalFormatting>
  <conditionalFormatting sqref="C76">
    <cfRule type="expression" dxfId="1893" priority="1717">
      <formula>G76="n"</formula>
    </cfRule>
  </conditionalFormatting>
  <conditionalFormatting sqref="A77">
    <cfRule type="expression" dxfId="1892" priority="1716">
      <formula>G77="n"</formula>
    </cfRule>
  </conditionalFormatting>
  <conditionalFormatting sqref="B77">
    <cfRule type="expression" dxfId="1891" priority="1715">
      <formula>G77="n"</formula>
    </cfRule>
  </conditionalFormatting>
  <conditionalFormatting sqref="C77">
    <cfRule type="expression" dxfId="1890" priority="1714">
      <formula>G77="n"</formula>
    </cfRule>
  </conditionalFormatting>
  <conditionalFormatting sqref="A77">
    <cfRule type="expression" dxfId="1889" priority="1713">
      <formula>G77="n"</formula>
    </cfRule>
  </conditionalFormatting>
  <conditionalFormatting sqref="B77">
    <cfRule type="expression" dxfId="1888" priority="1712">
      <formula>G77="n"</formula>
    </cfRule>
  </conditionalFormatting>
  <conditionalFormatting sqref="C77">
    <cfRule type="expression" dxfId="1887" priority="1711">
      <formula>G77="n"</formula>
    </cfRule>
  </conditionalFormatting>
  <conditionalFormatting sqref="A78">
    <cfRule type="expression" dxfId="1886" priority="1710">
      <formula>G78="n"</formula>
    </cfRule>
  </conditionalFormatting>
  <conditionalFormatting sqref="B78">
    <cfRule type="expression" dxfId="1885" priority="1709">
      <formula>G78="n"</formula>
    </cfRule>
  </conditionalFormatting>
  <conditionalFormatting sqref="C78">
    <cfRule type="expression" dxfId="1884" priority="1708">
      <formula>G78="n"</formula>
    </cfRule>
  </conditionalFormatting>
  <conditionalFormatting sqref="A78">
    <cfRule type="expression" dxfId="1883" priority="1707">
      <formula>G78="n"</formula>
    </cfRule>
  </conditionalFormatting>
  <conditionalFormatting sqref="B78">
    <cfRule type="expression" dxfId="1882" priority="1706">
      <formula>G78="n"</formula>
    </cfRule>
  </conditionalFormatting>
  <conditionalFormatting sqref="C78">
    <cfRule type="expression" dxfId="1881" priority="1705">
      <formula>G78="n"</formula>
    </cfRule>
  </conditionalFormatting>
  <conditionalFormatting sqref="A79">
    <cfRule type="expression" dxfId="1880" priority="1704">
      <formula>G79="n"</formula>
    </cfRule>
  </conditionalFormatting>
  <conditionalFormatting sqref="B79">
    <cfRule type="expression" dxfId="1879" priority="1703">
      <formula>G79="n"</formula>
    </cfRule>
  </conditionalFormatting>
  <conditionalFormatting sqref="C79">
    <cfRule type="expression" dxfId="1878" priority="1702">
      <formula>G79="n"</formula>
    </cfRule>
  </conditionalFormatting>
  <conditionalFormatting sqref="A79">
    <cfRule type="expression" dxfId="1877" priority="1701">
      <formula>G79="n"</formula>
    </cfRule>
  </conditionalFormatting>
  <conditionalFormatting sqref="B79">
    <cfRule type="expression" dxfId="1876" priority="1700">
      <formula>G79="n"</formula>
    </cfRule>
  </conditionalFormatting>
  <conditionalFormatting sqref="C79">
    <cfRule type="expression" dxfId="1875" priority="1699">
      <formula>G79="n"</formula>
    </cfRule>
  </conditionalFormatting>
  <conditionalFormatting sqref="A80">
    <cfRule type="expression" dxfId="1874" priority="1698">
      <formula>G80="n"</formula>
    </cfRule>
  </conditionalFormatting>
  <conditionalFormatting sqref="B80">
    <cfRule type="expression" dxfId="1873" priority="1697">
      <formula>G80="n"</formula>
    </cfRule>
  </conditionalFormatting>
  <conditionalFormatting sqref="C80">
    <cfRule type="expression" dxfId="1872" priority="1696">
      <formula>G80="n"</formula>
    </cfRule>
  </conditionalFormatting>
  <conditionalFormatting sqref="A80">
    <cfRule type="expression" dxfId="1871" priority="1695">
      <formula>G80="n"</formula>
    </cfRule>
  </conditionalFormatting>
  <conditionalFormatting sqref="B80">
    <cfRule type="expression" dxfId="1870" priority="1694">
      <formula>G80="n"</formula>
    </cfRule>
  </conditionalFormatting>
  <conditionalFormatting sqref="C80">
    <cfRule type="expression" dxfId="1869" priority="1693">
      <formula>G80="n"</formula>
    </cfRule>
  </conditionalFormatting>
  <conditionalFormatting sqref="A81">
    <cfRule type="expression" dxfId="1868" priority="1692">
      <formula>G81="n"</formula>
    </cfRule>
  </conditionalFormatting>
  <conditionalFormatting sqref="B81">
    <cfRule type="expression" dxfId="1867" priority="1691">
      <formula>G81="n"</formula>
    </cfRule>
  </conditionalFormatting>
  <conditionalFormatting sqref="C81">
    <cfRule type="expression" dxfId="1866" priority="1690">
      <formula>G81="n"</formula>
    </cfRule>
  </conditionalFormatting>
  <conditionalFormatting sqref="A81">
    <cfRule type="expression" dxfId="1865" priority="1689">
      <formula>G81="n"</formula>
    </cfRule>
  </conditionalFormatting>
  <conditionalFormatting sqref="B81">
    <cfRule type="expression" dxfId="1864" priority="1688">
      <formula>G81="n"</formula>
    </cfRule>
  </conditionalFormatting>
  <conditionalFormatting sqref="C81">
    <cfRule type="expression" dxfId="1863" priority="1687">
      <formula>G81="n"</formula>
    </cfRule>
  </conditionalFormatting>
  <conditionalFormatting sqref="A82">
    <cfRule type="expression" dxfId="1862" priority="1686">
      <formula>G82="n"</formula>
    </cfRule>
  </conditionalFormatting>
  <conditionalFormatting sqref="B82">
    <cfRule type="expression" dxfId="1861" priority="1685">
      <formula>G82="n"</formula>
    </cfRule>
  </conditionalFormatting>
  <conditionalFormatting sqref="C82">
    <cfRule type="expression" dxfId="1860" priority="1684">
      <formula>G82="n"</formula>
    </cfRule>
  </conditionalFormatting>
  <conditionalFormatting sqref="A82">
    <cfRule type="expression" dxfId="1859" priority="1683">
      <formula>G82="n"</formula>
    </cfRule>
  </conditionalFormatting>
  <conditionalFormatting sqref="B82">
    <cfRule type="expression" dxfId="1858" priority="1682">
      <formula>G82="n"</formula>
    </cfRule>
  </conditionalFormatting>
  <conditionalFormatting sqref="C82">
    <cfRule type="expression" dxfId="1857" priority="1681">
      <formula>G82="n"</formula>
    </cfRule>
  </conditionalFormatting>
  <conditionalFormatting sqref="A83">
    <cfRule type="expression" dxfId="1856" priority="1680">
      <formula>G83="n"</formula>
    </cfRule>
  </conditionalFormatting>
  <conditionalFormatting sqref="B83">
    <cfRule type="expression" dxfId="1855" priority="1679">
      <formula>G83="n"</formula>
    </cfRule>
  </conditionalFormatting>
  <conditionalFormatting sqref="C83">
    <cfRule type="expression" dxfId="1854" priority="1678">
      <formula>G83="n"</formula>
    </cfRule>
  </conditionalFormatting>
  <conditionalFormatting sqref="A83">
    <cfRule type="expression" dxfId="1853" priority="1677">
      <formula>G83="n"</formula>
    </cfRule>
  </conditionalFormatting>
  <conditionalFormatting sqref="B83">
    <cfRule type="expression" dxfId="1852" priority="1676">
      <formula>G83="n"</formula>
    </cfRule>
  </conditionalFormatting>
  <conditionalFormatting sqref="C83">
    <cfRule type="expression" dxfId="1851" priority="1675">
      <formula>G83="n"</formula>
    </cfRule>
  </conditionalFormatting>
  <conditionalFormatting sqref="A84">
    <cfRule type="expression" dxfId="1850" priority="1674">
      <formula>G84="n"</formula>
    </cfRule>
  </conditionalFormatting>
  <conditionalFormatting sqref="B84">
    <cfRule type="expression" dxfId="1849" priority="1673">
      <formula>G84="n"</formula>
    </cfRule>
  </conditionalFormatting>
  <conditionalFormatting sqref="C84">
    <cfRule type="expression" dxfId="1848" priority="1672">
      <formula>G84="n"</formula>
    </cfRule>
  </conditionalFormatting>
  <conditionalFormatting sqref="A84">
    <cfRule type="expression" dxfId="1847" priority="1671">
      <formula>G84="n"</formula>
    </cfRule>
  </conditionalFormatting>
  <conditionalFormatting sqref="B84">
    <cfRule type="expression" dxfId="1846" priority="1670">
      <formula>G84="n"</formula>
    </cfRule>
  </conditionalFormatting>
  <conditionalFormatting sqref="C84">
    <cfRule type="expression" dxfId="1845" priority="1669">
      <formula>G84="n"</formula>
    </cfRule>
  </conditionalFormatting>
  <conditionalFormatting sqref="A85">
    <cfRule type="expression" dxfId="1844" priority="1668">
      <formula>G85="n"</formula>
    </cfRule>
  </conditionalFormatting>
  <conditionalFormatting sqref="B85">
    <cfRule type="expression" dxfId="1843" priority="1667">
      <formula>G85="n"</formula>
    </cfRule>
  </conditionalFormatting>
  <conditionalFormatting sqref="C85">
    <cfRule type="expression" dxfId="1842" priority="1666">
      <formula>G85="n"</formula>
    </cfRule>
  </conditionalFormatting>
  <conditionalFormatting sqref="D85">
    <cfRule type="expression" dxfId="1841" priority="1665">
      <formula>G85="n"</formula>
    </cfRule>
  </conditionalFormatting>
  <conditionalFormatting sqref="E85">
    <cfRule type="expression" dxfId="1840" priority="1664">
      <formula>G85="n"</formula>
    </cfRule>
  </conditionalFormatting>
  <conditionalFormatting sqref="A85">
    <cfRule type="expression" dxfId="1839" priority="1663">
      <formula>G85="n"</formula>
    </cfRule>
  </conditionalFormatting>
  <conditionalFormatting sqref="B85">
    <cfRule type="expression" dxfId="1838" priority="1662">
      <formula>G85="n"</formula>
    </cfRule>
  </conditionalFormatting>
  <conditionalFormatting sqref="C85">
    <cfRule type="expression" dxfId="1837" priority="1661">
      <formula>G85="n"</formula>
    </cfRule>
  </conditionalFormatting>
  <conditionalFormatting sqref="D85">
    <cfRule type="expression" dxfId="1836" priority="1660">
      <formula>G85="n"</formula>
    </cfRule>
  </conditionalFormatting>
  <conditionalFormatting sqref="E85">
    <cfRule type="expression" dxfId="1835" priority="1659">
      <formula>G85="n"</formula>
    </cfRule>
  </conditionalFormatting>
  <conditionalFormatting sqref="F85">
    <cfRule type="expression" dxfId="1834" priority="1658">
      <formula>G85="n"</formula>
    </cfRule>
  </conditionalFormatting>
  <conditionalFormatting sqref="F85">
    <cfRule type="expression" dxfId="1833" priority="1657">
      <formula>G85="n"</formula>
    </cfRule>
  </conditionalFormatting>
  <conditionalFormatting sqref="F86">
    <cfRule type="expression" dxfId="1832" priority="1656">
      <formula>G86="n"</formula>
    </cfRule>
  </conditionalFormatting>
  <conditionalFormatting sqref="E86">
    <cfRule type="expression" dxfId="1831" priority="1655">
      <formula>G86="n"</formula>
    </cfRule>
  </conditionalFormatting>
  <conditionalFormatting sqref="A86">
    <cfRule type="expression" dxfId="1830" priority="1654">
      <formula>G86="n"</formula>
    </cfRule>
  </conditionalFormatting>
  <conditionalFormatting sqref="B86">
    <cfRule type="expression" dxfId="1829" priority="1653">
      <formula>G86="n"</formula>
    </cfRule>
  </conditionalFormatting>
  <conditionalFormatting sqref="C86">
    <cfRule type="expression" dxfId="1828" priority="1652">
      <formula>G86="n"</formula>
    </cfRule>
  </conditionalFormatting>
  <conditionalFormatting sqref="D86">
    <cfRule type="expression" dxfId="1827" priority="1651">
      <formula>G86="n"</formula>
    </cfRule>
  </conditionalFormatting>
  <conditionalFormatting sqref="A86">
    <cfRule type="expression" dxfId="1826" priority="1650">
      <formula>G86="n"</formula>
    </cfRule>
  </conditionalFormatting>
  <conditionalFormatting sqref="B86">
    <cfRule type="expression" dxfId="1825" priority="1649">
      <formula>G86="n"</formula>
    </cfRule>
  </conditionalFormatting>
  <conditionalFormatting sqref="C86">
    <cfRule type="expression" dxfId="1824" priority="1648">
      <formula>G86="n"</formula>
    </cfRule>
  </conditionalFormatting>
  <conditionalFormatting sqref="D86">
    <cfRule type="expression" dxfId="1823" priority="1647">
      <formula>G86="n"</formula>
    </cfRule>
  </conditionalFormatting>
  <conditionalFormatting sqref="F157">
    <cfRule type="expression" dxfId="1822" priority="1646">
      <formula>G157="n"</formula>
    </cfRule>
  </conditionalFormatting>
  <conditionalFormatting sqref="F157">
    <cfRule type="expression" dxfId="1821" priority="1645">
      <formula>G157="n"</formula>
    </cfRule>
  </conditionalFormatting>
  <conditionalFormatting sqref="A157">
    <cfRule type="expression" dxfId="1820" priority="1644">
      <formula>G157="n"</formula>
    </cfRule>
  </conditionalFormatting>
  <conditionalFormatting sqref="B157">
    <cfRule type="expression" dxfId="1819" priority="1643">
      <formula>G157="n"</formula>
    </cfRule>
  </conditionalFormatting>
  <conditionalFormatting sqref="C157">
    <cfRule type="expression" dxfId="1818" priority="1642">
      <formula>G157="n"</formula>
    </cfRule>
  </conditionalFormatting>
  <conditionalFormatting sqref="D157">
    <cfRule type="expression" dxfId="1817" priority="1641">
      <formula>G157="n"</formula>
    </cfRule>
  </conditionalFormatting>
  <conditionalFormatting sqref="E157">
    <cfRule type="expression" dxfId="1816" priority="1640">
      <formula>G157="n"</formula>
    </cfRule>
  </conditionalFormatting>
  <conditionalFormatting sqref="A157">
    <cfRule type="expression" dxfId="1815" priority="1639">
      <formula>G157="n"</formula>
    </cfRule>
  </conditionalFormatting>
  <conditionalFormatting sqref="B157">
    <cfRule type="expression" dxfId="1814" priority="1638">
      <formula>G157="n"</formula>
    </cfRule>
  </conditionalFormatting>
  <conditionalFormatting sqref="C157">
    <cfRule type="expression" dxfId="1813" priority="1637">
      <formula>G157="n"</formula>
    </cfRule>
  </conditionalFormatting>
  <conditionalFormatting sqref="D157">
    <cfRule type="expression" dxfId="1812" priority="1636">
      <formula>G157="n"</formula>
    </cfRule>
  </conditionalFormatting>
  <conditionalFormatting sqref="E157">
    <cfRule type="expression" dxfId="1811" priority="1635">
      <formula>G157="n"</formula>
    </cfRule>
  </conditionalFormatting>
  <conditionalFormatting sqref="F158">
    <cfRule type="expression" dxfId="1810" priority="1634">
      <formula>G158="n"</formula>
    </cfRule>
  </conditionalFormatting>
  <conditionalFormatting sqref="F158">
    <cfRule type="expression" dxfId="1809" priority="1633">
      <formula>G158="n"</formula>
    </cfRule>
  </conditionalFormatting>
  <conditionalFormatting sqref="F159">
    <cfRule type="expression" dxfId="1808" priority="1632">
      <formula>G159="n"</formula>
    </cfRule>
  </conditionalFormatting>
  <conditionalFormatting sqref="F159">
    <cfRule type="expression" dxfId="1807" priority="1631">
      <formula>G159="n"</formula>
    </cfRule>
  </conditionalFormatting>
  <conditionalFormatting sqref="A158">
    <cfRule type="expression" dxfId="1806" priority="1630">
      <formula>G158="n"</formula>
    </cfRule>
  </conditionalFormatting>
  <conditionalFormatting sqref="B158">
    <cfRule type="expression" dxfId="1805" priority="1629">
      <formula>G158="n"</formula>
    </cfRule>
  </conditionalFormatting>
  <conditionalFormatting sqref="C158">
    <cfRule type="expression" dxfId="1804" priority="1628">
      <formula>G158="n"</formula>
    </cfRule>
  </conditionalFormatting>
  <conditionalFormatting sqref="D158">
    <cfRule type="expression" dxfId="1803" priority="1627">
      <formula>G158="n"</formula>
    </cfRule>
  </conditionalFormatting>
  <conditionalFormatting sqref="E158">
    <cfRule type="expression" dxfId="1802" priority="1626">
      <formula>G158="n"</formula>
    </cfRule>
  </conditionalFormatting>
  <conditionalFormatting sqref="A158">
    <cfRule type="expression" dxfId="1801" priority="1625">
      <formula>G158="n"</formula>
    </cfRule>
  </conditionalFormatting>
  <conditionalFormatting sqref="B158">
    <cfRule type="expression" dxfId="1800" priority="1624">
      <formula>G158="n"</formula>
    </cfRule>
  </conditionalFormatting>
  <conditionalFormatting sqref="C158">
    <cfRule type="expression" dxfId="1799" priority="1623">
      <formula>G158="n"</formula>
    </cfRule>
  </conditionalFormatting>
  <conditionalFormatting sqref="D158">
    <cfRule type="expression" dxfId="1798" priority="1622">
      <formula>G158="n"</formula>
    </cfRule>
  </conditionalFormatting>
  <conditionalFormatting sqref="E158">
    <cfRule type="expression" dxfId="1797" priority="1621">
      <formula>G158="n"</formula>
    </cfRule>
  </conditionalFormatting>
  <conditionalFormatting sqref="A159">
    <cfRule type="expression" dxfId="1796" priority="1620">
      <formula>G159="n"</formula>
    </cfRule>
  </conditionalFormatting>
  <conditionalFormatting sqref="B159">
    <cfRule type="expression" dxfId="1795" priority="1619">
      <formula>G159="n"</formula>
    </cfRule>
  </conditionalFormatting>
  <conditionalFormatting sqref="C159">
    <cfRule type="expression" dxfId="1794" priority="1618">
      <formula>G159="n"</formula>
    </cfRule>
  </conditionalFormatting>
  <conditionalFormatting sqref="D159">
    <cfRule type="expression" dxfId="1793" priority="1617">
      <formula>G159="n"</formula>
    </cfRule>
  </conditionalFormatting>
  <conditionalFormatting sqref="E159">
    <cfRule type="expression" dxfId="1792" priority="1616">
      <formula>G159="n"</formula>
    </cfRule>
  </conditionalFormatting>
  <conditionalFormatting sqref="A159">
    <cfRule type="expression" dxfId="1791" priority="1615">
      <formula>G159="n"</formula>
    </cfRule>
  </conditionalFormatting>
  <conditionalFormatting sqref="B159">
    <cfRule type="expression" dxfId="1790" priority="1614">
      <formula>G159="n"</formula>
    </cfRule>
  </conditionalFormatting>
  <conditionalFormatting sqref="C159">
    <cfRule type="expression" dxfId="1789" priority="1613">
      <formula>G159="n"</formula>
    </cfRule>
  </conditionalFormatting>
  <conditionalFormatting sqref="D159">
    <cfRule type="expression" dxfId="1788" priority="1612">
      <formula>G159="n"</formula>
    </cfRule>
  </conditionalFormatting>
  <conditionalFormatting sqref="E159">
    <cfRule type="expression" dxfId="1787" priority="1611">
      <formula>G159="n"</formula>
    </cfRule>
  </conditionalFormatting>
  <conditionalFormatting sqref="D169">
    <cfRule type="expression" dxfId="1786" priority="1552">
      <formula>G169="n"</formula>
    </cfRule>
  </conditionalFormatting>
  <conditionalFormatting sqref="A160:A163">
    <cfRule type="expression" dxfId="1785" priority="1606">
      <formula>G160="n"</formula>
    </cfRule>
  </conditionalFormatting>
  <conditionalFormatting sqref="B160:B163">
    <cfRule type="expression" dxfId="1784" priority="1605">
      <formula>G160="n"</formula>
    </cfRule>
  </conditionalFormatting>
  <conditionalFormatting sqref="C170">
    <cfRule type="expression" dxfId="1783" priority="1548">
      <formula>G170="n"</formula>
    </cfRule>
  </conditionalFormatting>
  <conditionalFormatting sqref="A160:A163">
    <cfRule type="expression" dxfId="1782" priority="1603">
      <formula>G160="n"</formula>
    </cfRule>
  </conditionalFormatting>
  <conditionalFormatting sqref="B160:B163">
    <cfRule type="expression" dxfId="1781" priority="1602">
      <formula>G160="n"</formula>
    </cfRule>
  </conditionalFormatting>
  <conditionalFormatting sqref="F166">
    <cfRule type="expression" dxfId="1780" priority="1600">
      <formula>G166="n"</formula>
    </cfRule>
  </conditionalFormatting>
  <conditionalFormatting sqref="F166">
    <cfRule type="expression" dxfId="1779" priority="1599">
      <formula>G166="n"</formula>
    </cfRule>
  </conditionalFormatting>
  <conditionalFormatting sqref="A166">
    <cfRule type="expression" dxfId="1778" priority="1598">
      <formula>G166="n"</formula>
    </cfRule>
  </conditionalFormatting>
  <conditionalFormatting sqref="B166">
    <cfRule type="expression" dxfId="1777" priority="1597">
      <formula>G166="n"</formula>
    </cfRule>
  </conditionalFormatting>
  <conditionalFormatting sqref="C166">
    <cfRule type="expression" dxfId="1776" priority="1596">
      <formula>G166="n"</formula>
    </cfRule>
  </conditionalFormatting>
  <conditionalFormatting sqref="D166">
    <cfRule type="expression" dxfId="1775" priority="1595">
      <formula>G166="n"</formula>
    </cfRule>
  </conditionalFormatting>
  <conditionalFormatting sqref="E166">
    <cfRule type="expression" dxfId="1774" priority="1594">
      <formula>G166="n"</formula>
    </cfRule>
  </conditionalFormatting>
  <conditionalFormatting sqref="A166">
    <cfRule type="expression" dxfId="1773" priority="1593">
      <formula>G166="n"</formula>
    </cfRule>
  </conditionalFormatting>
  <conditionalFormatting sqref="B166">
    <cfRule type="expression" dxfId="1772" priority="1592">
      <formula>G166="n"</formula>
    </cfRule>
  </conditionalFormatting>
  <conditionalFormatting sqref="C166">
    <cfRule type="expression" dxfId="1771" priority="1591">
      <formula>G166="n"</formula>
    </cfRule>
  </conditionalFormatting>
  <conditionalFormatting sqref="D166">
    <cfRule type="expression" dxfId="1770" priority="1590">
      <formula>G166="n"</formula>
    </cfRule>
  </conditionalFormatting>
  <conditionalFormatting sqref="E166">
    <cfRule type="expression" dxfId="1769" priority="1589">
      <formula>G166="n"</formula>
    </cfRule>
  </conditionalFormatting>
  <conditionalFormatting sqref="A165">
    <cfRule type="expression" dxfId="1768" priority="1588">
      <formula>G165="n"</formula>
    </cfRule>
  </conditionalFormatting>
  <conditionalFormatting sqref="B165">
    <cfRule type="expression" dxfId="1767" priority="1587">
      <formula>G165="n"</formula>
    </cfRule>
  </conditionalFormatting>
  <conditionalFormatting sqref="C165">
    <cfRule type="expression" dxfId="1766" priority="1586">
      <formula>G165="n"</formula>
    </cfRule>
  </conditionalFormatting>
  <conditionalFormatting sqref="D165">
    <cfRule type="expression" dxfId="1765" priority="1585">
      <formula>G165="n"</formula>
    </cfRule>
  </conditionalFormatting>
  <conditionalFormatting sqref="E165">
    <cfRule type="expression" dxfId="1764" priority="1584">
      <formula>G165="n"</formula>
    </cfRule>
  </conditionalFormatting>
  <conditionalFormatting sqref="A165">
    <cfRule type="expression" dxfId="1763" priority="1583">
      <formula>G165="n"</formula>
    </cfRule>
  </conditionalFormatting>
  <conditionalFormatting sqref="B165">
    <cfRule type="expression" dxfId="1762" priority="1582">
      <formula>G165="n"</formula>
    </cfRule>
  </conditionalFormatting>
  <conditionalFormatting sqref="C165">
    <cfRule type="expression" dxfId="1761" priority="1581">
      <formula>G165="n"</formula>
    </cfRule>
  </conditionalFormatting>
  <conditionalFormatting sqref="D165">
    <cfRule type="expression" dxfId="1760" priority="1580">
      <formula>G165="n"</formula>
    </cfRule>
  </conditionalFormatting>
  <conditionalFormatting sqref="E165">
    <cfRule type="expression" dxfId="1759" priority="1579">
      <formula>G165="n"</formula>
    </cfRule>
  </conditionalFormatting>
  <conditionalFormatting sqref="F165">
    <cfRule type="expression" dxfId="1758" priority="1578">
      <formula>G165="n"</formula>
    </cfRule>
  </conditionalFormatting>
  <conditionalFormatting sqref="F165">
    <cfRule type="expression" dxfId="1757" priority="1577">
      <formula>G165="n"</formula>
    </cfRule>
  </conditionalFormatting>
  <conditionalFormatting sqref="F168">
    <cfRule type="expression" dxfId="1756" priority="1576">
      <formula>G168="n"</formula>
    </cfRule>
  </conditionalFormatting>
  <conditionalFormatting sqref="F168">
    <cfRule type="expression" dxfId="1755" priority="1575">
      <formula>G168="n"</formula>
    </cfRule>
  </conditionalFormatting>
  <conditionalFormatting sqref="A168">
    <cfRule type="expression" dxfId="1754" priority="1574">
      <formula>G168="n"</formula>
    </cfRule>
  </conditionalFormatting>
  <conditionalFormatting sqref="B168">
    <cfRule type="expression" dxfId="1753" priority="1573">
      <formula>G168="n"</formula>
    </cfRule>
  </conditionalFormatting>
  <conditionalFormatting sqref="C168">
    <cfRule type="expression" dxfId="1752" priority="1572">
      <formula>G168="n"</formula>
    </cfRule>
  </conditionalFormatting>
  <conditionalFormatting sqref="D168">
    <cfRule type="expression" dxfId="1751" priority="1571">
      <formula>G168="n"</formula>
    </cfRule>
  </conditionalFormatting>
  <conditionalFormatting sqref="E168">
    <cfRule type="expression" dxfId="1750" priority="1570">
      <formula>G168="n"</formula>
    </cfRule>
  </conditionalFormatting>
  <conditionalFormatting sqref="A168">
    <cfRule type="expression" dxfId="1749" priority="1569">
      <formula>G168="n"</formula>
    </cfRule>
  </conditionalFormatting>
  <conditionalFormatting sqref="B168">
    <cfRule type="expression" dxfId="1748" priority="1568">
      <formula>G168="n"</formula>
    </cfRule>
  </conditionalFormatting>
  <conditionalFormatting sqref="C168">
    <cfRule type="expression" dxfId="1747" priority="1567">
      <formula>G168="n"</formula>
    </cfRule>
  </conditionalFormatting>
  <conditionalFormatting sqref="D168">
    <cfRule type="expression" dxfId="1746" priority="1566">
      <formula>G168="n"</formula>
    </cfRule>
  </conditionalFormatting>
  <conditionalFormatting sqref="E168">
    <cfRule type="expression" dxfId="1745" priority="1565">
      <formula>G168="n"</formula>
    </cfRule>
  </conditionalFormatting>
  <conditionalFormatting sqref="F169">
    <cfRule type="expression" dxfId="1744" priority="1564">
      <formula>G169="n"</formula>
    </cfRule>
  </conditionalFormatting>
  <conditionalFormatting sqref="F169">
    <cfRule type="expression" dxfId="1743" priority="1563">
      <formula>G169="n"</formula>
    </cfRule>
  </conditionalFormatting>
  <conditionalFormatting sqref="F170">
    <cfRule type="expression" dxfId="1742" priority="1562">
      <formula>G170="n"</formula>
    </cfRule>
  </conditionalFormatting>
  <conditionalFormatting sqref="F170">
    <cfRule type="expression" dxfId="1741" priority="1561">
      <formula>G170="n"</formula>
    </cfRule>
  </conditionalFormatting>
  <conditionalFormatting sqref="A169">
    <cfRule type="expression" dxfId="1740" priority="1560">
      <formula>G169="n"</formula>
    </cfRule>
  </conditionalFormatting>
  <conditionalFormatting sqref="B169">
    <cfRule type="expression" dxfId="1739" priority="1559">
      <formula>G169="n"</formula>
    </cfRule>
  </conditionalFormatting>
  <conditionalFormatting sqref="C169">
    <cfRule type="expression" dxfId="1738" priority="1558">
      <formula>G169="n"</formula>
    </cfRule>
  </conditionalFormatting>
  <conditionalFormatting sqref="D169">
    <cfRule type="expression" dxfId="1737" priority="1557">
      <formula>G169="n"</formula>
    </cfRule>
  </conditionalFormatting>
  <conditionalFormatting sqref="E169">
    <cfRule type="expression" dxfId="1736" priority="1556">
      <formula>G169="n"</formula>
    </cfRule>
  </conditionalFormatting>
  <conditionalFormatting sqref="A169">
    <cfRule type="expression" dxfId="1735" priority="1555">
      <formula>G169="n"</formula>
    </cfRule>
  </conditionalFormatting>
  <conditionalFormatting sqref="B169">
    <cfRule type="expression" dxfId="1734" priority="1554">
      <formula>G169="n"</formula>
    </cfRule>
  </conditionalFormatting>
  <conditionalFormatting sqref="C169">
    <cfRule type="expression" dxfId="1733" priority="1553">
      <formula>G169="n"</formula>
    </cfRule>
  </conditionalFormatting>
  <conditionalFormatting sqref="E169">
    <cfRule type="expression" dxfId="1732" priority="1551">
      <formula>G169="n"</formula>
    </cfRule>
  </conditionalFormatting>
  <conditionalFormatting sqref="A170">
    <cfRule type="expression" dxfId="1731" priority="1550">
      <formula>G170="n"</formula>
    </cfRule>
  </conditionalFormatting>
  <conditionalFormatting sqref="B170">
    <cfRule type="expression" dxfId="1730" priority="1549">
      <formula>G170="n"</formula>
    </cfRule>
  </conditionalFormatting>
  <conditionalFormatting sqref="D170">
    <cfRule type="expression" dxfId="1729" priority="1547">
      <formula>G170="n"</formula>
    </cfRule>
  </conditionalFormatting>
  <conditionalFormatting sqref="E170">
    <cfRule type="expression" dxfId="1728" priority="1546">
      <formula>G170="n"</formula>
    </cfRule>
  </conditionalFormatting>
  <conditionalFormatting sqref="A170">
    <cfRule type="expression" dxfId="1727" priority="1545">
      <formula>G170="n"</formula>
    </cfRule>
  </conditionalFormatting>
  <conditionalFormatting sqref="B170">
    <cfRule type="expression" dxfId="1726" priority="1544">
      <formula>G170="n"</formula>
    </cfRule>
  </conditionalFormatting>
  <conditionalFormatting sqref="C170">
    <cfRule type="expression" dxfId="1725" priority="1543">
      <formula>G170="n"</formula>
    </cfRule>
  </conditionalFormatting>
  <conditionalFormatting sqref="D170">
    <cfRule type="expression" dxfId="1724" priority="1542">
      <formula>G170="n"</formula>
    </cfRule>
  </conditionalFormatting>
  <conditionalFormatting sqref="E170">
    <cfRule type="expression" dxfId="1723" priority="1541">
      <formula>G170="n"</formula>
    </cfRule>
  </conditionalFormatting>
  <conditionalFormatting sqref="A173">
    <cfRule type="expression" dxfId="1722" priority="1532">
      <formula>G173="n"</formula>
    </cfRule>
  </conditionalFormatting>
  <conditionalFormatting sqref="B173">
    <cfRule type="expression" dxfId="1721" priority="1531">
      <formula>G173="n"</formula>
    </cfRule>
  </conditionalFormatting>
  <conditionalFormatting sqref="A173">
    <cfRule type="expression" dxfId="1720" priority="1529">
      <formula>G173="n"</formula>
    </cfRule>
  </conditionalFormatting>
  <conditionalFormatting sqref="B173">
    <cfRule type="expression" dxfId="1719" priority="1528">
      <formula>G173="n"</formula>
    </cfRule>
  </conditionalFormatting>
  <conditionalFormatting sqref="A174">
    <cfRule type="expression" dxfId="1718" priority="1526">
      <formula>G174="n"</formula>
    </cfRule>
  </conditionalFormatting>
  <conditionalFormatting sqref="B174">
    <cfRule type="expression" dxfId="1717" priority="1525">
      <formula>G174="n"</formula>
    </cfRule>
  </conditionalFormatting>
  <conditionalFormatting sqref="A174">
    <cfRule type="expression" dxfId="1716" priority="1523">
      <formula>G174="n"</formula>
    </cfRule>
  </conditionalFormatting>
  <conditionalFormatting sqref="B174">
    <cfRule type="expression" dxfId="1715" priority="1522">
      <formula>G174="n"</formula>
    </cfRule>
  </conditionalFormatting>
  <conditionalFormatting sqref="F182">
    <cfRule type="expression" dxfId="1714" priority="1496">
      <formula>G182="n"</formula>
    </cfRule>
  </conditionalFormatting>
  <conditionalFormatting sqref="F182">
    <cfRule type="expression" dxfId="1713" priority="1495">
      <formula>G182="n"</formula>
    </cfRule>
  </conditionalFormatting>
  <conditionalFormatting sqref="A175:A179">
    <cfRule type="expression" dxfId="1712" priority="1518">
      <formula>G175="n"</formula>
    </cfRule>
  </conditionalFormatting>
  <conditionalFormatting sqref="B175">
    <cfRule type="expression" dxfId="1711" priority="1517">
      <formula>G175="n"</formula>
    </cfRule>
  </conditionalFormatting>
  <conditionalFormatting sqref="A175:A179">
    <cfRule type="expression" dxfId="1710" priority="1513">
      <formula>G175="n"</formula>
    </cfRule>
  </conditionalFormatting>
  <conditionalFormatting sqref="B175">
    <cfRule type="expression" dxfId="1709" priority="1512">
      <formula>G175="n"</formula>
    </cfRule>
  </conditionalFormatting>
  <conditionalFormatting sqref="F181">
    <cfRule type="expression" dxfId="1708" priority="1508">
      <formula>G181="n"</formula>
    </cfRule>
  </conditionalFormatting>
  <conditionalFormatting sqref="F181">
    <cfRule type="expression" dxfId="1707" priority="1507">
      <formula>G181="n"</formula>
    </cfRule>
  </conditionalFormatting>
  <conditionalFormatting sqref="A181">
    <cfRule type="expression" dxfId="1706" priority="1506">
      <formula>G181="n"</formula>
    </cfRule>
  </conditionalFormatting>
  <conditionalFormatting sqref="B181">
    <cfRule type="expression" dxfId="1705" priority="1505">
      <formula>G181="n"</formula>
    </cfRule>
  </conditionalFormatting>
  <conditionalFormatting sqref="C181">
    <cfRule type="expression" dxfId="1704" priority="1504">
      <formula>G181="n"</formula>
    </cfRule>
  </conditionalFormatting>
  <conditionalFormatting sqref="D181">
    <cfRule type="expression" dxfId="1703" priority="1503">
      <formula>G181="n"</formula>
    </cfRule>
  </conditionalFormatting>
  <conditionalFormatting sqref="E181">
    <cfRule type="expression" dxfId="1702" priority="1502">
      <formula>G181="n"</formula>
    </cfRule>
  </conditionalFormatting>
  <conditionalFormatting sqref="A181">
    <cfRule type="expression" dxfId="1701" priority="1501">
      <formula>G181="n"</formula>
    </cfRule>
  </conditionalFormatting>
  <conditionalFormatting sqref="B181">
    <cfRule type="expression" dxfId="1700" priority="1500">
      <formula>G181="n"</formula>
    </cfRule>
  </conditionalFormatting>
  <conditionalFormatting sqref="C181">
    <cfRule type="expression" dxfId="1699" priority="1499">
      <formula>G181="n"</formula>
    </cfRule>
  </conditionalFormatting>
  <conditionalFormatting sqref="D181">
    <cfRule type="expression" dxfId="1698" priority="1498">
      <formula>G181="n"</formula>
    </cfRule>
  </conditionalFormatting>
  <conditionalFormatting sqref="E181">
    <cfRule type="expression" dxfId="1697" priority="1497">
      <formula>G181="n"</formula>
    </cfRule>
  </conditionalFormatting>
  <conditionalFormatting sqref="F183">
    <cfRule type="expression" dxfId="1696" priority="1494">
      <formula>G183="n"</formula>
    </cfRule>
  </conditionalFormatting>
  <conditionalFormatting sqref="F183">
    <cfRule type="expression" dxfId="1695" priority="1493">
      <formula>G183="n"</formula>
    </cfRule>
  </conditionalFormatting>
  <conditionalFormatting sqref="A182">
    <cfRule type="expression" dxfId="1694" priority="1492">
      <formula>G182="n"</formula>
    </cfRule>
  </conditionalFormatting>
  <conditionalFormatting sqref="B182">
    <cfRule type="expression" dxfId="1693" priority="1491">
      <formula>G182="n"</formula>
    </cfRule>
  </conditionalFormatting>
  <conditionalFormatting sqref="D182">
    <cfRule type="expression" dxfId="1692" priority="1489">
      <formula>G182="n"</formula>
    </cfRule>
  </conditionalFormatting>
  <conditionalFormatting sqref="E182">
    <cfRule type="expression" dxfId="1691" priority="1488">
      <formula>G182="n"</formula>
    </cfRule>
  </conditionalFormatting>
  <conditionalFormatting sqref="A182">
    <cfRule type="expression" dxfId="1690" priority="1487">
      <formula>G182="n"</formula>
    </cfRule>
  </conditionalFormatting>
  <conditionalFormatting sqref="B182">
    <cfRule type="expression" dxfId="1689" priority="1486">
      <formula>G182="n"</formula>
    </cfRule>
  </conditionalFormatting>
  <conditionalFormatting sqref="D182">
    <cfRule type="expression" dxfId="1688" priority="1484">
      <formula>G182="n"</formula>
    </cfRule>
  </conditionalFormatting>
  <conditionalFormatting sqref="E182">
    <cfRule type="expression" dxfId="1687" priority="1483">
      <formula>G182="n"</formula>
    </cfRule>
  </conditionalFormatting>
  <conditionalFormatting sqref="A183">
    <cfRule type="expression" dxfId="1686" priority="1482">
      <formula>G183="n"</formula>
    </cfRule>
  </conditionalFormatting>
  <conditionalFormatting sqref="B183">
    <cfRule type="expression" dxfId="1685" priority="1481">
      <formula>G183="n"</formula>
    </cfRule>
  </conditionalFormatting>
  <conditionalFormatting sqref="D183">
    <cfRule type="expression" dxfId="1684" priority="1479">
      <formula>G183="n"</formula>
    </cfRule>
  </conditionalFormatting>
  <conditionalFormatting sqref="E183">
    <cfRule type="expression" dxfId="1683" priority="1478">
      <formula>G183="n"</formula>
    </cfRule>
  </conditionalFormatting>
  <conditionalFormatting sqref="A183">
    <cfRule type="expression" dxfId="1682" priority="1477">
      <formula>G183="n"</formula>
    </cfRule>
  </conditionalFormatting>
  <conditionalFormatting sqref="B183">
    <cfRule type="expression" dxfId="1681" priority="1476">
      <formula>G183="n"</formula>
    </cfRule>
  </conditionalFormatting>
  <conditionalFormatting sqref="D183">
    <cfRule type="expression" dxfId="1680" priority="1474">
      <formula>G183="n"</formula>
    </cfRule>
  </conditionalFormatting>
  <conditionalFormatting sqref="E183">
    <cfRule type="expression" dxfId="1679" priority="1473">
      <formula>G183="n"</formula>
    </cfRule>
  </conditionalFormatting>
  <conditionalFormatting sqref="F184">
    <cfRule type="expression" dxfId="1678" priority="1472">
      <formula>G184="n"</formula>
    </cfRule>
  </conditionalFormatting>
  <conditionalFormatting sqref="E184">
    <cfRule type="expression" dxfId="1677" priority="1471">
      <formula>G184="n"</formula>
    </cfRule>
  </conditionalFormatting>
  <conditionalFormatting sqref="F188">
    <cfRule type="expression" dxfId="1676" priority="1470">
      <formula>G188="n"</formula>
    </cfRule>
  </conditionalFormatting>
  <conditionalFormatting sqref="E188">
    <cfRule type="expression" dxfId="1675" priority="1469">
      <formula>G188="n"</formula>
    </cfRule>
  </conditionalFormatting>
  <conditionalFormatting sqref="A184">
    <cfRule type="expression" dxfId="1674" priority="1468">
      <formula>G184="n"</formula>
    </cfRule>
  </conditionalFormatting>
  <conditionalFormatting sqref="B184">
    <cfRule type="expression" dxfId="1673" priority="1467">
      <formula>G184="n"</formula>
    </cfRule>
  </conditionalFormatting>
  <conditionalFormatting sqref="C184">
    <cfRule type="expression" dxfId="1672" priority="1466">
      <formula>G184="n"</formula>
    </cfRule>
  </conditionalFormatting>
  <conditionalFormatting sqref="D184">
    <cfRule type="expression" dxfId="1671" priority="1465">
      <formula>G184="n"</formula>
    </cfRule>
  </conditionalFormatting>
  <conditionalFormatting sqref="A184">
    <cfRule type="expression" dxfId="1670" priority="1464">
      <formula>G184="n"</formula>
    </cfRule>
  </conditionalFormatting>
  <conditionalFormatting sqref="B184">
    <cfRule type="expression" dxfId="1669" priority="1463">
      <formula>G184="n"</formula>
    </cfRule>
  </conditionalFormatting>
  <conditionalFormatting sqref="C184">
    <cfRule type="expression" dxfId="1668" priority="1462">
      <formula>G184="n"</formula>
    </cfRule>
  </conditionalFormatting>
  <conditionalFormatting sqref="D184">
    <cfRule type="expression" dxfId="1667" priority="1461">
      <formula>G184="n"</formula>
    </cfRule>
  </conditionalFormatting>
  <conditionalFormatting sqref="A188">
    <cfRule type="expression" dxfId="1666" priority="1460">
      <formula>G188="n"</formula>
    </cfRule>
  </conditionalFormatting>
  <conditionalFormatting sqref="B188">
    <cfRule type="expression" dxfId="1665" priority="1459">
      <formula>G188="n"</formula>
    </cfRule>
  </conditionalFormatting>
  <conditionalFormatting sqref="C188">
    <cfRule type="expression" dxfId="1664" priority="1458">
      <formula>G188="n"</formula>
    </cfRule>
  </conditionalFormatting>
  <conditionalFormatting sqref="D188">
    <cfRule type="expression" dxfId="1663" priority="1457">
      <formula>G188="n"</formula>
    </cfRule>
  </conditionalFormatting>
  <conditionalFormatting sqref="A188">
    <cfRule type="expression" dxfId="1662" priority="1456">
      <formula>G188="n"</formula>
    </cfRule>
  </conditionalFormatting>
  <conditionalFormatting sqref="B188">
    <cfRule type="expression" dxfId="1661" priority="1455">
      <formula>G188="n"</formula>
    </cfRule>
  </conditionalFormatting>
  <conditionalFormatting sqref="C188">
    <cfRule type="expression" dxfId="1660" priority="1454">
      <formula>G188="n"</formula>
    </cfRule>
  </conditionalFormatting>
  <conditionalFormatting sqref="D188">
    <cfRule type="expression" dxfId="1659" priority="1453">
      <formula>G188="n"</formula>
    </cfRule>
  </conditionalFormatting>
  <conditionalFormatting sqref="F186">
    <cfRule type="expression" dxfId="1658" priority="1452">
      <formula>G186="n"</formula>
    </cfRule>
  </conditionalFormatting>
  <conditionalFormatting sqref="F186">
    <cfRule type="expression" dxfId="1657" priority="1451">
      <formula>G186="n"</formula>
    </cfRule>
  </conditionalFormatting>
  <conditionalFormatting sqref="F187">
    <cfRule type="expression" dxfId="1656" priority="1450">
      <formula>G187="n"</formula>
    </cfRule>
  </conditionalFormatting>
  <conditionalFormatting sqref="F187">
    <cfRule type="expression" dxfId="1655" priority="1449">
      <formula>G187="n"</formula>
    </cfRule>
  </conditionalFormatting>
  <conditionalFormatting sqref="A186">
    <cfRule type="expression" dxfId="1654" priority="1448">
      <formula>G186="n"</formula>
    </cfRule>
  </conditionalFormatting>
  <conditionalFormatting sqref="B186">
    <cfRule type="expression" dxfId="1653" priority="1447">
      <formula>G186="n"</formula>
    </cfRule>
  </conditionalFormatting>
  <conditionalFormatting sqref="C186">
    <cfRule type="expression" dxfId="1652" priority="1446">
      <formula>G186="n"</formula>
    </cfRule>
  </conditionalFormatting>
  <conditionalFormatting sqref="D186">
    <cfRule type="expression" dxfId="1651" priority="1445">
      <formula>G186="n"</formula>
    </cfRule>
  </conditionalFormatting>
  <conditionalFormatting sqref="E186">
    <cfRule type="expression" dxfId="1650" priority="1444">
      <formula>G186="n"</formula>
    </cfRule>
  </conditionalFormatting>
  <conditionalFormatting sqref="A186">
    <cfRule type="expression" dxfId="1649" priority="1443">
      <formula>G186="n"</formula>
    </cfRule>
  </conditionalFormatting>
  <conditionalFormatting sqref="B186">
    <cfRule type="expression" dxfId="1648" priority="1442">
      <formula>G186="n"</formula>
    </cfRule>
  </conditionalFormatting>
  <conditionalFormatting sqref="C186">
    <cfRule type="expression" dxfId="1647" priority="1441">
      <formula>G186="n"</formula>
    </cfRule>
  </conditionalFormatting>
  <conditionalFormatting sqref="D186">
    <cfRule type="expression" dxfId="1646" priority="1440">
      <formula>G186="n"</formula>
    </cfRule>
  </conditionalFormatting>
  <conditionalFormatting sqref="E186">
    <cfRule type="expression" dxfId="1645" priority="1439">
      <formula>G186="n"</formula>
    </cfRule>
  </conditionalFormatting>
  <conditionalFormatting sqref="A187">
    <cfRule type="expression" dxfId="1644" priority="1438">
      <formula>G187="n"</formula>
    </cfRule>
  </conditionalFormatting>
  <conditionalFormatting sqref="B187">
    <cfRule type="expression" dxfId="1643" priority="1437">
      <formula>G187="n"</formula>
    </cfRule>
  </conditionalFormatting>
  <conditionalFormatting sqref="C187">
    <cfRule type="expression" dxfId="1642" priority="1436">
      <formula>G187="n"</formula>
    </cfRule>
  </conditionalFormatting>
  <conditionalFormatting sqref="D187">
    <cfRule type="expression" dxfId="1641" priority="1435">
      <formula>G187="n"</formula>
    </cfRule>
  </conditionalFormatting>
  <conditionalFormatting sqref="E187">
    <cfRule type="expression" dxfId="1640" priority="1434">
      <formula>G187="n"</formula>
    </cfRule>
  </conditionalFormatting>
  <conditionalFormatting sqref="A187">
    <cfRule type="expression" dxfId="1639" priority="1433">
      <formula>G187="n"</formula>
    </cfRule>
  </conditionalFormatting>
  <conditionalFormatting sqref="B187">
    <cfRule type="expression" dxfId="1638" priority="1432">
      <formula>G187="n"</formula>
    </cfRule>
  </conditionalFormatting>
  <conditionalFormatting sqref="C187">
    <cfRule type="expression" dxfId="1637" priority="1431">
      <formula>G187="n"</formula>
    </cfRule>
  </conditionalFormatting>
  <conditionalFormatting sqref="D187">
    <cfRule type="expression" dxfId="1636" priority="1430">
      <formula>G187="n"</formula>
    </cfRule>
  </conditionalFormatting>
  <conditionalFormatting sqref="E187">
    <cfRule type="expression" dxfId="1635" priority="1429">
      <formula>G187="n"</formula>
    </cfRule>
  </conditionalFormatting>
  <conditionalFormatting sqref="F190">
    <cfRule type="expression" dxfId="1634" priority="1428">
      <formula>G190="n"</formula>
    </cfRule>
  </conditionalFormatting>
  <conditionalFormatting sqref="F190">
    <cfRule type="expression" dxfId="1633" priority="1427">
      <formula>G190="n"</formula>
    </cfRule>
  </conditionalFormatting>
  <conditionalFormatting sqref="A190">
    <cfRule type="expression" dxfId="1632" priority="1426">
      <formula>G190="n"</formula>
    </cfRule>
  </conditionalFormatting>
  <conditionalFormatting sqref="B190">
    <cfRule type="expression" dxfId="1631" priority="1425">
      <formula>G190="n"</formula>
    </cfRule>
  </conditionalFormatting>
  <conditionalFormatting sqref="C190">
    <cfRule type="expression" dxfId="1630" priority="1424">
      <formula>G190="n"</formula>
    </cfRule>
  </conditionalFormatting>
  <conditionalFormatting sqref="D190">
    <cfRule type="expression" dxfId="1629" priority="1423">
      <formula>G190="n"</formula>
    </cfRule>
  </conditionalFormatting>
  <conditionalFormatting sqref="E190">
    <cfRule type="expression" dxfId="1628" priority="1422">
      <formula>G190="n"</formula>
    </cfRule>
  </conditionalFormatting>
  <conditionalFormatting sqref="A190">
    <cfRule type="expression" dxfId="1627" priority="1421">
      <formula>G190="n"</formula>
    </cfRule>
  </conditionalFormatting>
  <conditionalFormatting sqref="B190">
    <cfRule type="expression" dxfId="1626" priority="1420">
      <formula>G190="n"</formula>
    </cfRule>
  </conditionalFormatting>
  <conditionalFormatting sqref="C190">
    <cfRule type="expression" dxfId="1625" priority="1419">
      <formula>G190="n"</formula>
    </cfRule>
  </conditionalFormatting>
  <conditionalFormatting sqref="D190">
    <cfRule type="expression" dxfId="1624" priority="1418">
      <formula>G190="n"</formula>
    </cfRule>
  </conditionalFormatting>
  <conditionalFormatting sqref="E190">
    <cfRule type="expression" dxfId="1623" priority="1417">
      <formula>G190="n"</formula>
    </cfRule>
  </conditionalFormatting>
  <conditionalFormatting sqref="F191">
    <cfRule type="expression" dxfId="1622" priority="1416">
      <formula>G191="n"</formula>
    </cfRule>
  </conditionalFormatting>
  <conditionalFormatting sqref="F191">
    <cfRule type="expression" dxfId="1621" priority="1415">
      <formula>G191="n"</formula>
    </cfRule>
  </conditionalFormatting>
  <conditionalFormatting sqref="A191">
    <cfRule type="expression" dxfId="1620" priority="1414">
      <formula>G191="n"</formula>
    </cfRule>
  </conditionalFormatting>
  <conditionalFormatting sqref="B191">
    <cfRule type="expression" dxfId="1619" priority="1413">
      <formula>G191="n"</formula>
    </cfRule>
  </conditionalFormatting>
  <conditionalFormatting sqref="D191">
    <cfRule type="expression" dxfId="1618" priority="1411">
      <formula>G191="n"</formula>
    </cfRule>
  </conditionalFormatting>
  <conditionalFormatting sqref="E191">
    <cfRule type="expression" dxfId="1617" priority="1410">
      <formula>G191="n"</formula>
    </cfRule>
  </conditionalFormatting>
  <conditionalFormatting sqref="A191">
    <cfRule type="expression" dxfId="1616" priority="1409">
      <formula>G191="n"</formula>
    </cfRule>
  </conditionalFormatting>
  <conditionalFormatting sqref="B191">
    <cfRule type="expression" dxfId="1615" priority="1408">
      <formula>G191="n"</formula>
    </cfRule>
  </conditionalFormatting>
  <conditionalFormatting sqref="D191">
    <cfRule type="expression" dxfId="1614" priority="1406">
      <formula>G191="n"</formula>
    </cfRule>
  </conditionalFormatting>
  <conditionalFormatting sqref="E191">
    <cfRule type="expression" dxfId="1613" priority="1405">
      <formula>G191="n"</formula>
    </cfRule>
  </conditionalFormatting>
  <conditionalFormatting sqref="F192">
    <cfRule type="expression" dxfId="1612" priority="1404">
      <formula>G192="n"</formula>
    </cfRule>
  </conditionalFormatting>
  <conditionalFormatting sqref="E192">
    <cfRule type="expression" dxfId="1611" priority="1403">
      <formula>G192="n"</formula>
    </cfRule>
  </conditionalFormatting>
  <conditionalFormatting sqref="A192">
    <cfRule type="expression" dxfId="1610" priority="1402">
      <formula>G192="n"</formula>
    </cfRule>
  </conditionalFormatting>
  <conditionalFormatting sqref="B192">
    <cfRule type="expression" dxfId="1609" priority="1401">
      <formula>G192="n"</formula>
    </cfRule>
  </conditionalFormatting>
  <conditionalFormatting sqref="C192">
    <cfRule type="expression" dxfId="1608" priority="1400">
      <formula>G192="n"</formula>
    </cfRule>
  </conditionalFormatting>
  <conditionalFormatting sqref="D192">
    <cfRule type="expression" dxfId="1607" priority="1399">
      <formula>G192="n"</formula>
    </cfRule>
  </conditionalFormatting>
  <conditionalFormatting sqref="A192">
    <cfRule type="expression" dxfId="1606" priority="1398">
      <formula>G192="n"</formula>
    </cfRule>
  </conditionalFormatting>
  <conditionalFormatting sqref="B192">
    <cfRule type="expression" dxfId="1605" priority="1397">
      <formula>G192="n"</formula>
    </cfRule>
  </conditionalFormatting>
  <conditionalFormatting sqref="C192">
    <cfRule type="expression" dxfId="1604" priority="1396">
      <formula>G192="n"</formula>
    </cfRule>
  </conditionalFormatting>
  <conditionalFormatting sqref="D192">
    <cfRule type="expression" dxfId="1603" priority="1395">
      <formula>G192="n"</formula>
    </cfRule>
  </conditionalFormatting>
  <conditionalFormatting sqref="E193">
    <cfRule type="expression" dxfId="1602" priority="1394">
      <formula>G193="n"</formula>
    </cfRule>
  </conditionalFormatting>
  <conditionalFormatting sqref="D193">
    <cfRule type="expression" dxfId="1601" priority="1393">
      <formula>G193="n"</formula>
    </cfRule>
  </conditionalFormatting>
  <conditionalFormatting sqref="D193">
    <cfRule type="expression" dxfId="1600" priority="1392">
      <formula>G193="n"</formula>
    </cfRule>
  </conditionalFormatting>
  <conditionalFormatting sqref="F193">
    <cfRule type="expression" dxfId="1599" priority="1391">
      <formula>G193="n"</formula>
    </cfRule>
  </conditionalFormatting>
  <conditionalFormatting sqref="E194">
    <cfRule type="expression" dxfId="1598" priority="1390">
      <formula>G194="n"</formula>
    </cfRule>
  </conditionalFormatting>
  <conditionalFormatting sqref="D194">
    <cfRule type="expression" dxfId="1597" priority="1389">
      <formula>G194="n"</formula>
    </cfRule>
  </conditionalFormatting>
  <conditionalFormatting sqref="D194">
    <cfRule type="expression" dxfId="1596" priority="1388">
      <formula>G194="n"</formula>
    </cfRule>
  </conditionalFormatting>
  <conditionalFormatting sqref="F194">
    <cfRule type="expression" dxfId="1595" priority="1387">
      <formula>G194="n"</formula>
    </cfRule>
  </conditionalFormatting>
  <conditionalFormatting sqref="E195">
    <cfRule type="expression" dxfId="1594" priority="1386">
      <formula>G195="n"</formula>
    </cfRule>
  </conditionalFormatting>
  <conditionalFormatting sqref="D195">
    <cfRule type="expression" dxfId="1593" priority="1385">
      <formula>G195="n"</formula>
    </cfRule>
  </conditionalFormatting>
  <conditionalFormatting sqref="D195">
    <cfRule type="expression" dxfId="1592" priority="1384">
      <formula>G195="n"</formula>
    </cfRule>
  </conditionalFormatting>
  <conditionalFormatting sqref="F195">
    <cfRule type="expression" dxfId="1591" priority="1383">
      <formula>G195="n"</formula>
    </cfRule>
  </conditionalFormatting>
  <conditionalFormatting sqref="E197">
    <cfRule type="expression" dxfId="1590" priority="1382">
      <formula>G197="n"</formula>
    </cfRule>
  </conditionalFormatting>
  <conditionalFormatting sqref="D197">
    <cfRule type="expression" dxfId="1589" priority="1381">
      <formula>G197="n"</formula>
    </cfRule>
  </conditionalFormatting>
  <conditionalFormatting sqref="D197">
    <cfRule type="expression" dxfId="1588" priority="1380">
      <formula>G197="n"</formula>
    </cfRule>
  </conditionalFormatting>
  <conditionalFormatting sqref="F197">
    <cfRule type="expression" dxfId="1587" priority="1379">
      <formula>G197="n"</formula>
    </cfRule>
  </conditionalFormatting>
  <conditionalFormatting sqref="E198">
    <cfRule type="expression" dxfId="1586" priority="1378">
      <formula>G198="n"</formula>
    </cfRule>
  </conditionalFormatting>
  <conditionalFormatting sqref="D198">
    <cfRule type="expression" dxfId="1585" priority="1377">
      <formula>G198="n"</formula>
    </cfRule>
  </conditionalFormatting>
  <conditionalFormatting sqref="D198">
    <cfRule type="expression" dxfId="1584" priority="1376">
      <formula>G198="n"</formula>
    </cfRule>
  </conditionalFormatting>
  <conditionalFormatting sqref="F198">
    <cfRule type="expression" dxfId="1583" priority="1375">
      <formula>G198="n"</formula>
    </cfRule>
  </conditionalFormatting>
  <conditionalFormatting sqref="A193">
    <cfRule type="expression" dxfId="1582" priority="1374">
      <formula>G193="n"</formula>
    </cfRule>
  </conditionalFormatting>
  <conditionalFormatting sqref="B193">
    <cfRule type="expression" dxfId="1581" priority="1373">
      <formula>G193="n"</formula>
    </cfRule>
  </conditionalFormatting>
  <conditionalFormatting sqref="C193">
    <cfRule type="expression" dxfId="1580" priority="1372">
      <formula>G193="n"</formula>
    </cfRule>
  </conditionalFormatting>
  <conditionalFormatting sqref="A193">
    <cfRule type="expression" dxfId="1579" priority="1371">
      <formula>G193="n"</formula>
    </cfRule>
  </conditionalFormatting>
  <conditionalFormatting sqref="B193">
    <cfRule type="expression" dxfId="1578" priority="1370">
      <formula>G193="n"</formula>
    </cfRule>
  </conditionalFormatting>
  <conditionalFormatting sqref="C193">
    <cfRule type="expression" dxfId="1577" priority="1369">
      <formula>G193="n"</formula>
    </cfRule>
  </conditionalFormatting>
  <conditionalFormatting sqref="A194">
    <cfRule type="expression" dxfId="1576" priority="1368">
      <formula>G194="n"</formula>
    </cfRule>
  </conditionalFormatting>
  <conditionalFormatting sqref="B194">
    <cfRule type="expression" dxfId="1575" priority="1367">
      <formula>G194="n"</formula>
    </cfRule>
  </conditionalFormatting>
  <conditionalFormatting sqref="C194">
    <cfRule type="expression" dxfId="1574" priority="1366">
      <formula>G194="n"</formula>
    </cfRule>
  </conditionalFormatting>
  <conditionalFormatting sqref="A194">
    <cfRule type="expression" dxfId="1573" priority="1365">
      <formula>G194="n"</formula>
    </cfRule>
  </conditionalFormatting>
  <conditionalFormatting sqref="B194">
    <cfRule type="expression" dxfId="1572" priority="1364">
      <formula>G194="n"</formula>
    </cfRule>
  </conditionalFormatting>
  <conditionalFormatting sqref="C194">
    <cfRule type="expression" dxfId="1571" priority="1363">
      <formula>G194="n"</formula>
    </cfRule>
  </conditionalFormatting>
  <conditionalFormatting sqref="A195">
    <cfRule type="expression" dxfId="1570" priority="1362">
      <formula>G195="n"</formula>
    </cfRule>
  </conditionalFormatting>
  <conditionalFormatting sqref="B195">
    <cfRule type="expression" dxfId="1569" priority="1361">
      <formula>G195="n"</formula>
    </cfRule>
  </conditionalFormatting>
  <conditionalFormatting sqref="C195">
    <cfRule type="expression" dxfId="1568" priority="1360">
      <formula>G195="n"</formula>
    </cfRule>
  </conditionalFormatting>
  <conditionalFormatting sqref="A195">
    <cfRule type="expression" dxfId="1567" priority="1359">
      <formula>G195="n"</formula>
    </cfRule>
  </conditionalFormatting>
  <conditionalFormatting sqref="B195">
    <cfRule type="expression" dxfId="1566" priority="1358">
      <formula>G195="n"</formula>
    </cfRule>
  </conditionalFormatting>
  <conditionalFormatting sqref="C195">
    <cfRule type="expression" dxfId="1565" priority="1357">
      <formula>G195="n"</formula>
    </cfRule>
  </conditionalFormatting>
  <conditionalFormatting sqref="A197">
    <cfRule type="expression" dxfId="1564" priority="1356">
      <formula>G197="n"</formula>
    </cfRule>
  </conditionalFormatting>
  <conditionalFormatting sqref="B197">
    <cfRule type="expression" dxfId="1563" priority="1355">
      <formula>G197="n"</formula>
    </cfRule>
  </conditionalFormatting>
  <conditionalFormatting sqref="C197">
    <cfRule type="expression" dxfId="1562" priority="1354">
      <formula>G197="n"</formula>
    </cfRule>
  </conditionalFormatting>
  <conditionalFormatting sqref="A197">
    <cfRule type="expression" dxfId="1561" priority="1353">
      <formula>G197="n"</formula>
    </cfRule>
  </conditionalFormatting>
  <conditionalFormatting sqref="B197">
    <cfRule type="expression" dxfId="1560" priority="1352">
      <formula>G197="n"</formula>
    </cfRule>
  </conditionalFormatting>
  <conditionalFormatting sqref="C197">
    <cfRule type="expression" dxfId="1559" priority="1351">
      <formula>G197="n"</formula>
    </cfRule>
  </conditionalFormatting>
  <conditionalFormatting sqref="A198">
    <cfRule type="expression" dxfId="1558" priority="1350">
      <formula>G198="n"</formula>
    </cfRule>
  </conditionalFormatting>
  <conditionalFormatting sqref="B198">
    <cfRule type="expression" dxfId="1557" priority="1349">
      <formula>G198="n"</formula>
    </cfRule>
  </conditionalFormatting>
  <conditionalFormatting sqref="C198">
    <cfRule type="expression" dxfId="1556" priority="1348">
      <formula>G198="n"</formula>
    </cfRule>
  </conditionalFormatting>
  <conditionalFormatting sqref="A198">
    <cfRule type="expression" dxfId="1555" priority="1347">
      <formula>G198="n"</formula>
    </cfRule>
  </conditionalFormatting>
  <conditionalFormatting sqref="B198">
    <cfRule type="expression" dxfId="1554" priority="1346">
      <formula>G198="n"</formula>
    </cfRule>
  </conditionalFormatting>
  <conditionalFormatting sqref="C198">
    <cfRule type="expression" dxfId="1553" priority="1345">
      <formula>G198="n"</formula>
    </cfRule>
  </conditionalFormatting>
  <conditionalFormatting sqref="E201">
    <cfRule type="expression" dxfId="1552" priority="1344">
      <formula>G201="n"</formula>
    </cfRule>
  </conditionalFormatting>
  <conditionalFormatting sqref="D201">
    <cfRule type="expression" dxfId="1551" priority="1343">
      <formula>G201="n"</formula>
    </cfRule>
  </conditionalFormatting>
  <conditionalFormatting sqref="D201">
    <cfRule type="expression" dxfId="1550" priority="1342">
      <formula>G201="n"</formula>
    </cfRule>
  </conditionalFormatting>
  <conditionalFormatting sqref="F201">
    <cfRule type="expression" dxfId="1549" priority="1341">
      <formula>G201="n"</formula>
    </cfRule>
  </conditionalFormatting>
  <conditionalFormatting sqref="E202">
    <cfRule type="expression" dxfId="1548" priority="1340">
      <formula>G202="n"</formula>
    </cfRule>
  </conditionalFormatting>
  <conditionalFormatting sqref="D202">
    <cfRule type="expression" dxfId="1547" priority="1339">
      <formula>G202="n"</formula>
    </cfRule>
  </conditionalFormatting>
  <conditionalFormatting sqref="D202">
    <cfRule type="expression" dxfId="1546" priority="1338">
      <formula>G202="n"</formula>
    </cfRule>
  </conditionalFormatting>
  <conditionalFormatting sqref="F202">
    <cfRule type="expression" dxfId="1545" priority="1337">
      <formula>G202="n"</formula>
    </cfRule>
  </conditionalFormatting>
  <conditionalFormatting sqref="E203">
    <cfRule type="expression" dxfId="1544" priority="1336">
      <formula>G203="n"</formula>
    </cfRule>
  </conditionalFormatting>
  <conditionalFormatting sqref="D203">
    <cfRule type="expression" dxfId="1543" priority="1335">
      <formula>G203="n"</formula>
    </cfRule>
  </conditionalFormatting>
  <conditionalFormatting sqref="D203">
    <cfRule type="expression" dxfId="1542" priority="1334">
      <formula>G203="n"</formula>
    </cfRule>
  </conditionalFormatting>
  <conditionalFormatting sqref="F203">
    <cfRule type="expression" dxfId="1541" priority="1333">
      <formula>G203="n"</formula>
    </cfRule>
  </conditionalFormatting>
  <conditionalFormatting sqref="E204">
    <cfRule type="expression" dxfId="1540" priority="1332">
      <formula>G204="n"</formula>
    </cfRule>
  </conditionalFormatting>
  <conditionalFormatting sqref="D204">
    <cfRule type="expression" dxfId="1539" priority="1331">
      <formula>G204="n"</formula>
    </cfRule>
  </conditionalFormatting>
  <conditionalFormatting sqref="D204">
    <cfRule type="expression" dxfId="1538" priority="1330">
      <formula>G204="n"</formula>
    </cfRule>
  </conditionalFormatting>
  <conditionalFormatting sqref="F204">
    <cfRule type="expression" dxfId="1537" priority="1329">
      <formula>G204="n"</formula>
    </cfRule>
  </conditionalFormatting>
  <conditionalFormatting sqref="E205">
    <cfRule type="expression" dxfId="1536" priority="1328">
      <formula>G205="n"</formula>
    </cfRule>
  </conditionalFormatting>
  <conditionalFormatting sqref="D205">
    <cfRule type="expression" dxfId="1535" priority="1327">
      <formula>G205="n"</formula>
    </cfRule>
  </conditionalFormatting>
  <conditionalFormatting sqref="D205">
    <cfRule type="expression" dxfId="1534" priority="1326">
      <formula>G205="n"</formula>
    </cfRule>
  </conditionalFormatting>
  <conditionalFormatting sqref="F205">
    <cfRule type="expression" dxfId="1533" priority="1325">
      <formula>G205="n"</formula>
    </cfRule>
  </conditionalFormatting>
  <conditionalFormatting sqref="E206">
    <cfRule type="expression" dxfId="1532" priority="1324">
      <formula>G206="n"</formula>
    </cfRule>
  </conditionalFormatting>
  <conditionalFormatting sqref="D206">
    <cfRule type="expression" dxfId="1531" priority="1323">
      <formula>G206="n"</formula>
    </cfRule>
  </conditionalFormatting>
  <conditionalFormatting sqref="D206">
    <cfRule type="expression" dxfId="1530" priority="1322">
      <formula>G206="n"</formula>
    </cfRule>
  </conditionalFormatting>
  <conditionalFormatting sqref="F206">
    <cfRule type="expression" dxfId="1529" priority="1321">
      <formula>G206="n"</formula>
    </cfRule>
  </conditionalFormatting>
  <conditionalFormatting sqref="E207">
    <cfRule type="expression" dxfId="1528" priority="1320">
      <formula>G207="n"</formula>
    </cfRule>
  </conditionalFormatting>
  <conditionalFormatting sqref="D207">
    <cfRule type="expression" dxfId="1527" priority="1319">
      <formula>G207="n"</formula>
    </cfRule>
  </conditionalFormatting>
  <conditionalFormatting sqref="D207">
    <cfRule type="expression" dxfId="1526" priority="1318">
      <formula>G207="n"</formula>
    </cfRule>
  </conditionalFormatting>
  <conditionalFormatting sqref="F207">
    <cfRule type="expression" dxfId="1525" priority="1317">
      <formula>G207="n"</formula>
    </cfRule>
  </conditionalFormatting>
  <conditionalFormatting sqref="E208">
    <cfRule type="expression" dxfId="1524" priority="1316">
      <formula>G208="n"</formula>
    </cfRule>
  </conditionalFormatting>
  <conditionalFormatting sqref="D208">
    <cfRule type="expression" dxfId="1523" priority="1315">
      <formula>G208="n"</formula>
    </cfRule>
  </conditionalFormatting>
  <conditionalFormatting sqref="D208">
    <cfRule type="expression" dxfId="1522" priority="1314">
      <formula>G208="n"</formula>
    </cfRule>
  </conditionalFormatting>
  <conditionalFormatting sqref="F208">
    <cfRule type="expression" dxfId="1521" priority="1313">
      <formula>G208="n"</formula>
    </cfRule>
  </conditionalFormatting>
  <conditionalFormatting sqref="E209">
    <cfRule type="expression" dxfId="1520" priority="1312">
      <formula>G209="n"</formula>
    </cfRule>
  </conditionalFormatting>
  <conditionalFormatting sqref="D209">
    <cfRule type="expression" dxfId="1519" priority="1311">
      <formula>G209="n"</formula>
    </cfRule>
  </conditionalFormatting>
  <conditionalFormatting sqref="D209">
    <cfRule type="expression" dxfId="1518" priority="1310">
      <formula>G209="n"</formula>
    </cfRule>
  </conditionalFormatting>
  <conditionalFormatting sqref="F209">
    <cfRule type="expression" dxfId="1517" priority="1309">
      <formula>G209="n"</formula>
    </cfRule>
  </conditionalFormatting>
  <conditionalFormatting sqref="E210">
    <cfRule type="expression" dxfId="1516" priority="1308">
      <formula>G210="n"</formula>
    </cfRule>
  </conditionalFormatting>
  <conditionalFormatting sqref="D210">
    <cfRule type="expression" dxfId="1515" priority="1307">
      <formula>G210="n"</formula>
    </cfRule>
  </conditionalFormatting>
  <conditionalFormatting sqref="D210">
    <cfRule type="expression" dxfId="1514" priority="1306">
      <formula>G210="n"</formula>
    </cfRule>
  </conditionalFormatting>
  <conditionalFormatting sqref="F210">
    <cfRule type="expression" dxfId="1513" priority="1305">
      <formula>G210="n"</formula>
    </cfRule>
  </conditionalFormatting>
  <conditionalFormatting sqref="E211">
    <cfRule type="expression" dxfId="1512" priority="1304">
      <formula>G211="n"</formula>
    </cfRule>
  </conditionalFormatting>
  <conditionalFormatting sqref="D211">
    <cfRule type="expression" dxfId="1511" priority="1303">
      <formula>G211="n"</formula>
    </cfRule>
  </conditionalFormatting>
  <conditionalFormatting sqref="D211">
    <cfRule type="expression" dxfId="1510" priority="1302">
      <formula>G211="n"</formula>
    </cfRule>
  </conditionalFormatting>
  <conditionalFormatting sqref="F211">
    <cfRule type="expression" dxfId="1509" priority="1301">
      <formula>G211="n"</formula>
    </cfRule>
  </conditionalFormatting>
  <conditionalFormatting sqref="E212">
    <cfRule type="expression" dxfId="1508" priority="1300">
      <formula>G212="n"</formula>
    </cfRule>
  </conditionalFormatting>
  <conditionalFormatting sqref="D212">
    <cfRule type="expression" dxfId="1507" priority="1299">
      <formula>G212="n"</formula>
    </cfRule>
  </conditionalFormatting>
  <conditionalFormatting sqref="D212">
    <cfRule type="expression" dxfId="1506" priority="1298">
      <formula>G212="n"</formula>
    </cfRule>
  </conditionalFormatting>
  <conditionalFormatting sqref="F212">
    <cfRule type="expression" dxfId="1505" priority="1297">
      <formula>G212="n"</formula>
    </cfRule>
  </conditionalFormatting>
  <conditionalFormatting sqref="E213">
    <cfRule type="expression" dxfId="1504" priority="1296">
      <formula>G213="n"</formula>
    </cfRule>
  </conditionalFormatting>
  <conditionalFormatting sqref="D213">
    <cfRule type="expression" dxfId="1503" priority="1295">
      <formula>G213="n"</formula>
    </cfRule>
  </conditionalFormatting>
  <conditionalFormatting sqref="D213">
    <cfRule type="expression" dxfId="1502" priority="1294">
      <formula>G213="n"</formula>
    </cfRule>
  </conditionalFormatting>
  <conditionalFormatting sqref="F213">
    <cfRule type="expression" dxfId="1501" priority="1293">
      <formula>G213="n"</formula>
    </cfRule>
  </conditionalFormatting>
  <conditionalFormatting sqref="E214">
    <cfRule type="expression" dxfId="1500" priority="1292">
      <formula>G214="n"</formula>
    </cfRule>
  </conditionalFormatting>
  <conditionalFormatting sqref="D214">
    <cfRule type="expression" dxfId="1499" priority="1291">
      <formula>G214="n"</formula>
    </cfRule>
  </conditionalFormatting>
  <conditionalFormatting sqref="D214">
    <cfRule type="expression" dxfId="1498" priority="1290">
      <formula>G214="n"</formula>
    </cfRule>
  </conditionalFormatting>
  <conditionalFormatting sqref="F214">
    <cfRule type="expression" dxfId="1497" priority="1289">
      <formula>G214="n"</formula>
    </cfRule>
  </conditionalFormatting>
  <conditionalFormatting sqref="E215">
    <cfRule type="expression" dxfId="1496" priority="1288">
      <formula>G215="n"</formula>
    </cfRule>
  </conditionalFormatting>
  <conditionalFormatting sqref="D215">
    <cfRule type="expression" dxfId="1495" priority="1287">
      <formula>G215="n"</formula>
    </cfRule>
  </conditionalFormatting>
  <conditionalFormatting sqref="D215">
    <cfRule type="expression" dxfId="1494" priority="1286">
      <formula>G215="n"</formula>
    </cfRule>
  </conditionalFormatting>
  <conditionalFormatting sqref="F215">
    <cfRule type="expression" dxfId="1493" priority="1285">
      <formula>G215="n"</formula>
    </cfRule>
  </conditionalFormatting>
  <conditionalFormatting sqref="E216">
    <cfRule type="expression" dxfId="1492" priority="1284">
      <formula>G216="n"</formula>
    </cfRule>
  </conditionalFormatting>
  <conditionalFormatting sqref="D216">
    <cfRule type="expression" dxfId="1491" priority="1283">
      <formula>G216="n"</formula>
    </cfRule>
  </conditionalFormatting>
  <conditionalFormatting sqref="D216">
    <cfRule type="expression" dxfId="1490" priority="1282">
      <formula>G216="n"</formula>
    </cfRule>
  </conditionalFormatting>
  <conditionalFormatting sqref="F216">
    <cfRule type="expression" dxfId="1489" priority="1281">
      <formula>G216="n"</formula>
    </cfRule>
  </conditionalFormatting>
  <conditionalFormatting sqref="E217">
    <cfRule type="expression" dxfId="1488" priority="1280">
      <formula>G217="n"</formula>
    </cfRule>
  </conditionalFormatting>
  <conditionalFormatting sqref="D217">
    <cfRule type="expression" dxfId="1487" priority="1279">
      <formula>G217="n"</formula>
    </cfRule>
  </conditionalFormatting>
  <conditionalFormatting sqref="D217">
    <cfRule type="expression" dxfId="1486" priority="1278">
      <formula>G217="n"</formula>
    </cfRule>
  </conditionalFormatting>
  <conditionalFormatting sqref="F217">
    <cfRule type="expression" dxfId="1485" priority="1277">
      <formula>G217="n"</formula>
    </cfRule>
  </conditionalFormatting>
  <conditionalFormatting sqref="E218">
    <cfRule type="expression" dxfId="1484" priority="1276">
      <formula>G218="n"</formula>
    </cfRule>
  </conditionalFormatting>
  <conditionalFormatting sqref="D218">
    <cfRule type="expression" dxfId="1483" priority="1275">
      <formula>G218="n"</formula>
    </cfRule>
  </conditionalFormatting>
  <conditionalFormatting sqref="D218">
    <cfRule type="expression" dxfId="1482" priority="1274">
      <formula>G218="n"</formula>
    </cfRule>
  </conditionalFormatting>
  <conditionalFormatting sqref="F218">
    <cfRule type="expression" dxfId="1481" priority="1273">
      <formula>G218="n"</formula>
    </cfRule>
  </conditionalFormatting>
  <conditionalFormatting sqref="E219">
    <cfRule type="expression" dxfId="1480" priority="1272">
      <formula>G219="n"</formula>
    </cfRule>
  </conditionalFormatting>
  <conditionalFormatting sqref="D219">
    <cfRule type="expression" dxfId="1479" priority="1271">
      <formula>G219="n"</formula>
    </cfRule>
  </conditionalFormatting>
  <conditionalFormatting sqref="D219">
    <cfRule type="expression" dxfId="1478" priority="1270">
      <formula>G219="n"</formula>
    </cfRule>
  </conditionalFormatting>
  <conditionalFormatting sqref="F219">
    <cfRule type="expression" dxfId="1477" priority="1269">
      <formula>G219="n"</formula>
    </cfRule>
  </conditionalFormatting>
  <conditionalFormatting sqref="E220">
    <cfRule type="expression" dxfId="1476" priority="1268">
      <formula>G220="n"</formula>
    </cfRule>
  </conditionalFormatting>
  <conditionalFormatting sqref="D220">
    <cfRule type="expression" dxfId="1475" priority="1267">
      <formula>G220="n"</formula>
    </cfRule>
  </conditionalFormatting>
  <conditionalFormatting sqref="D220">
    <cfRule type="expression" dxfId="1474" priority="1266">
      <formula>G220="n"</formula>
    </cfRule>
  </conditionalFormatting>
  <conditionalFormatting sqref="F220">
    <cfRule type="expression" dxfId="1473" priority="1265">
      <formula>G220="n"</formula>
    </cfRule>
  </conditionalFormatting>
  <conditionalFormatting sqref="E221">
    <cfRule type="expression" dxfId="1472" priority="1264">
      <formula>G221="n"</formula>
    </cfRule>
  </conditionalFormatting>
  <conditionalFormatting sqref="D221">
    <cfRule type="expression" dxfId="1471" priority="1263">
      <formula>G221="n"</formula>
    </cfRule>
  </conditionalFormatting>
  <conditionalFormatting sqref="D221">
    <cfRule type="expression" dxfId="1470" priority="1262">
      <formula>G221="n"</formula>
    </cfRule>
  </conditionalFormatting>
  <conditionalFormatting sqref="F221">
    <cfRule type="expression" dxfId="1469" priority="1261">
      <formula>G221="n"</formula>
    </cfRule>
  </conditionalFormatting>
  <conditionalFormatting sqref="E222">
    <cfRule type="expression" dxfId="1468" priority="1260">
      <formula>G222="n"</formula>
    </cfRule>
  </conditionalFormatting>
  <conditionalFormatting sqref="D222">
    <cfRule type="expression" dxfId="1467" priority="1259">
      <formula>G222="n"</formula>
    </cfRule>
  </conditionalFormatting>
  <conditionalFormatting sqref="D222">
    <cfRule type="expression" dxfId="1466" priority="1258">
      <formula>G222="n"</formula>
    </cfRule>
  </conditionalFormatting>
  <conditionalFormatting sqref="F222">
    <cfRule type="expression" dxfId="1465" priority="1257">
      <formula>G222="n"</formula>
    </cfRule>
  </conditionalFormatting>
  <conditionalFormatting sqref="E223">
    <cfRule type="expression" dxfId="1464" priority="1256">
      <formula>G223="n"</formula>
    </cfRule>
  </conditionalFormatting>
  <conditionalFormatting sqref="D223">
    <cfRule type="expression" dxfId="1463" priority="1255">
      <formula>G223="n"</formula>
    </cfRule>
  </conditionalFormatting>
  <conditionalFormatting sqref="D223">
    <cfRule type="expression" dxfId="1462" priority="1254">
      <formula>G223="n"</formula>
    </cfRule>
  </conditionalFormatting>
  <conditionalFormatting sqref="F223">
    <cfRule type="expression" dxfId="1461" priority="1253">
      <formula>G223="n"</formula>
    </cfRule>
  </conditionalFormatting>
  <conditionalFormatting sqref="E224">
    <cfRule type="expression" dxfId="1460" priority="1252">
      <formula>G224="n"</formula>
    </cfRule>
  </conditionalFormatting>
  <conditionalFormatting sqref="D224">
    <cfRule type="expression" dxfId="1459" priority="1251">
      <formula>G224="n"</formula>
    </cfRule>
  </conditionalFormatting>
  <conditionalFormatting sqref="D224">
    <cfRule type="expression" dxfId="1458" priority="1250">
      <formula>G224="n"</formula>
    </cfRule>
  </conditionalFormatting>
  <conditionalFormatting sqref="F224">
    <cfRule type="expression" dxfId="1457" priority="1249">
      <formula>G224="n"</formula>
    </cfRule>
  </conditionalFormatting>
  <conditionalFormatting sqref="E225">
    <cfRule type="expression" dxfId="1456" priority="1248">
      <formula>G225="n"</formula>
    </cfRule>
  </conditionalFormatting>
  <conditionalFormatting sqref="D225">
    <cfRule type="expression" dxfId="1455" priority="1247">
      <formula>G225="n"</formula>
    </cfRule>
  </conditionalFormatting>
  <conditionalFormatting sqref="D225">
    <cfRule type="expression" dxfId="1454" priority="1246">
      <formula>G225="n"</formula>
    </cfRule>
  </conditionalFormatting>
  <conditionalFormatting sqref="F225">
    <cfRule type="expression" dxfId="1453" priority="1245">
      <formula>G225="n"</formula>
    </cfRule>
  </conditionalFormatting>
  <conditionalFormatting sqref="E226">
    <cfRule type="expression" dxfId="1452" priority="1244">
      <formula>G226="n"</formula>
    </cfRule>
  </conditionalFormatting>
  <conditionalFormatting sqref="D226">
    <cfRule type="expression" dxfId="1451" priority="1243">
      <formula>G226="n"</formula>
    </cfRule>
  </conditionalFormatting>
  <conditionalFormatting sqref="D226">
    <cfRule type="expression" dxfId="1450" priority="1242">
      <formula>G226="n"</formula>
    </cfRule>
  </conditionalFormatting>
  <conditionalFormatting sqref="F226">
    <cfRule type="expression" dxfId="1449" priority="1241">
      <formula>G226="n"</formula>
    </cfRule>
  </conditionalFormatting>
  <conditionalFormatting sqref="E227">
    <cfRule type="expression" dxfId="1448" priority="1240">
      <formula>G227="n"</formula>
    </cfRule>
  </conditionalFormatting>
  <conditionalFormatting sqref="D227">
    <cfRule type="expression" dxfId="1447" priority="1239">
      <formula>G227="n"</formula>
    </cfRule>
  </conditionalFormatting>
  <conditionalFormatting sqref="D227">
    <cfRule type="expression" dxfId="1446" priority="1238">
      <formula>G227="n"</formula>
    </cfRule>
  </conditionalFormatting>
  <conditionalFormatting sqref="F227">
    <cfRule type="expression" dxfId="1445" priority="1237">
      <formula>G227="n"</formula>
    </cfRule>
  </conditionalFormatting>
  <conditionalFormatting sqref="E228">
    <cfRule type="expression" dxfId="1444" priority="1236">
      <formula>G228="n"</formula>
    </cfRule>
  </conditionalFormatting>
  <conditionalFormatting sqref="D228">
    <cfRule type="expression" dxfId="1443" priority="1235">
      <formula>G228="n"</formula>
    </cfRule>
  </conditionalFormatting>
  <conditionalFormatting sqref="D228">
    <cfRule type="expression" dxfId="1442" priority="1234">
      <formula>G228="n"</formula>
    </cfRule>
  </conditionalFormatting>
  <conditionalFormatting sqref="F228">
    <cfRule type="expression" dxfId="1441" priority="1233">
      <formula>G228="n"</formula>
    </cfRule>
  </conditionalFormatting>
  <conditionalFormatting sqref="A201">
    <cfRule type="expression" dxfId="1440" priority="1232">
      <formula>G201="n"</formula>
    </cfRule>
  </conditionalFormatting>
  <conditionalFormatting sqref="B201">
    <cfRule type="expression" dxfId="1439" priority="1231">
      <formula>G201="n"</formula>
    </cfRule>
  </conditionalFormatting>
  <conditionalFormatting sqref="C201">
    <cfRule type="expression" dxfId="1438" priority="1230">
      <formula>G201="n"</formula>
    </cfRule>
  </conditionalFormatting>
  <conditionalFormatting sqref="A201">
    <cfRule type="expression" dxfId="1437" priority="1229">
      <formula>G201="n"</formula>
    </cfRule>
  </conditionalFormatting>
  <conditionalFormatting sqref="B201">
    <cfRule type="expression" dxfId="1436" priority="1228">
      <formula>G201="n"</formula>
    </cfRule>
  </conditionalFormatting>
  <conditionalFormatting sqref="C201">
    <cfRule type="expression" dxfId="1435" priority="1227">
      <formula>G201="n"</formula>
    </cfRule>
  </conditionalFormatting>
  <conditionalFormatting sqref="A202">
    <cfRule type="expression" dxfId="1434" priority="1226">
      <formula>G202="n"</formula>
    </cfRule>
  </conditionalFormatting>
  <conditionalFormatting sqref="B202">
    <cfRule type="expression" dxfId="1433" priority="1225">
      <formula>G202="n"</formula>
    </cfRule>
  </conditionalFormatting>
  <conditionalFormatting sqref="C202">
    <cfRule type="expression" dxfId="1432" priority="1224">
      <formula>G202="n"</formula>
    </cfRule>
  </conditionalFormatting>
  <conditionalFormatting sqref="A202">
    <cfRule type="expression" dxfId="1431" priority="1223">
      <formula>G202="n"</formula>
    </cfRule>
  </conditionalFormatting>
  <conditionalFormatting sqref="B202">
    <cfRule type="expression" dxfId="1430" priority="1222">
      <formula>G202="n"</formula>
    </cfRule>
  </conditionalFormatting>
  <conditionalFormatting sqref="C202">
    <cfRule type="expression" dxfId="1429" priority="1221">
      <formula>G202="n"</formula>
    </cfRule>
  </conditionalFormatting>
  <conditionalFormatting sqref="A203">
    <cfRule type="expression" dxfId="1428" priority="1220">
      <formula>G203="n"</formula>
    </cfRule>
  </conditionalFormatting>
  <conditionalFormatting sqref="B203">
    <cfRule type="expression" dxfId="1427" priority="1219">
      <formula>G203="n"</formula>
    </cfRule>
  </conditionalFormatting>
  <conditionalFormatting sqref="C203">
    <cfRule type="expression" dxfId="1426" priority="1218">
      <formula>G203="n"</formula>
    </cfRule>
  </conditionalFormatting>
  <conditionalFormatting sqref="A203">
    <cfRule type="expression" dxfId="1425" priority="1217">
      <formula>G203="n"</formula>
    </cfRule>
  </conditionalFormatting>
  <conditionalFormatting sqref="B203">
    <cfRule type="expression" dxfId="1424" priority="1216">
      <formula>G203="n"</formula>
    </cfRule>
  </conditionalFormatting>
  <conditionalFormatting sqref="C203">
    <cfRule type="expression" dxfId="1423" priority="1215">
      <formula>G203="n"</formula>
    </cfRule>
  </conditionalFormatting>
  <conditionalFormatting sqref="A204">
    <cfRule type="expression" dxfId="1422" priority="1214">
      <formula>G204="n"</formula>
    </cfRule>
  </conditionalFormatting>
  <conditionalFormatting sqref="B204">
    <cfRule type="expression" dxfId="1421" priority="1213">
      <formula>G204="n"</formula>
    </cfRule>
  </conditionalFormatting>
  <conditionalFormatting sqref="C204">
    <cfRule type="expression" dxfId="1420" priority="1212">
      <formula>G204="n"</formula>
    </cfRule>
  </conditionalFormatting>
  <conditionalFormatting sqref="A204">
    <cfRule type="expression" dxfId="1419" priority="1211">
      <formula>G204="n"</formula>
    </cfRule>
  </conditionalFormatting>
  <conditionalFormatting sqref="B204">
    <cfRule type="expression" dxfId="1418" priority="1210">
      <formula>G204="n"</formula>
    </cfRule>
  </conditionalFormatting>
  <conditionalFormatting sqref="C204">
    <cfRule type="expression" dxfId="1417" priority="1209">
      <formula>G204="n"</formula>
    </cfRule>
  </conditionalFormatting>
  <conditionalFormatting sqref="A205">
    <cfRule type="expression" dxfId="1416" priority="1208">
      <formula>G205="n"</formula>
    </cfRule>
  </conditionalFormatting>
  <conditionalFormatting sqref="B205">
    <cfRule type="expression" dxfId="1415" priority="1207">
      <formula>G205="n"</formula>
    </cfRule>
  </conditionalFormatting>
  <conditionalFormatting sqref="C205">
    <cfRule type="expression" dxfId="1414" priority="1206">
      <formula>G205="n"</formula>
    </cfRule>
  </conditionalFormatting>
  <conditionalFormatting sqref="A205">
    <cfRule type="expression" dxfId="1413" priority="1205">
      <formula>G205="n"</formula>
    </cfRule>
  </conditionalFormatting>
  <conditionalFormatting sqref="B205">
    <cfRule type="expression" dxfId="1412" priority="1204">
      <formula>G205="n"</formula>
    </cfRule>
  </conditionalFormatting>
  <conditionalFormatting sqref="C205">
    <cfRule type="expression" dxfId="1411" priority="1203">
      <formula>G205="n"</formula>
    </cfRule>
  </conditionalFormatting>
  <conditionalFormatting sqref="A206">
    <cfRule type="expression" dxfId="1410" priority="1202">
      <formula>G206="n"</formula>
    </cfRule>
  </conditionalFormatting>
  <conditionalFormatting sqref="B206">
    <cfRule type="expression" dxfId="1409" priority="1201">
      <formula>G206="n"</formula>
    </cfRule>
  </conditionalFormatting>
  <conditionalFormatting sqref="C206">
    <cfRule type="expression" dxfId="1408" priority="1200">
      <formula>G206="n"</formula>
    </cfRule>
  </conditionalFormatting>
  <conditionalFormatting sqref="A206">
    <cfRule type="expression" dxfId="1407" priority="1199">
      <formula>G206="n"</formula>
    </cfRule>
  </conditionalFormatting>
  <conditionalFormatting sqref="B206">
    <cfRule type="expression" dxfId="1406" priority="1198">
      <formula>G206="n"</formula>
    </cfRule>
  </conditionalFormatting>
  <conditionalFormatting sqref="C206">
    <cfRule type="expression" dxfId="1405" priority="1197">
      <formula>G206="n"</formula>
    </cfRule>
  </conditionalFormatting>
  <conditionalFormatting sqref="A207">
    <cfRule type="expression" dxfId="1404" priority="1196">
      <formula>G207="n"</formula>
    </cfRule>
  </conditionalFormatting>
  <conditionalFormatting sqref="B207">
    <cfRule type="expression" dxfId="1403" priority="1195">
      <formula>G207="n"</formula>
    </cfRule>
  </conditionalFormatting>
  <conditionalFormatting sqref="C207">
    <cfRule type="expression" dxfId="1402" priority="1194">
      <formula>G207="n"</formula>
    </cfRule>
  </conditionalFormatting>
  <conditionalFormatting sqref="A207">
    <cfRule type="expression" dxfId="1401" priority="1193">
      <formula>G207="n"</formula>
    </cfRule>
  </conditionalFormatting>
  <conditionalFormatting sqref="B207">
    <cfRule type="expression" dxfId="1400" priority="1192">
      <formula>G207="n"</formula>
    </cfRule>
  </conditionalFormatting>
  <conditionalFormatting sqref="C207">
    <cfRule type="expression" dxfId="1399" priority="1191">
      <formula>G207="n"</formula>
    </cfRule>
  </conditionalFormatting>
  <conditionalFormatting sqref="A208">
    <cfRule type="expression" dxfId="1398" priority="1190">
      <formula>G208="n"</formula>
    </cfRule>
  </conditionalFormatting>
  <conditionalFormatting sqref="B208">
    <cfRule type="expression" dxfId="1397" priority="1189">
      <formula>G208="n"</formula>
    </cfRule>
  </conditionalFormatting>
  <conditionalFormatting sqref="C208">
    <cfRule type="expression" dxfId="1396" priority="1188">
      <formula>G208="n"</formula>
    </cfRule>
  </conditionalFormatting>
  <conditionalFormatting sqref="A208">
    <cfRule type="expression" dxfId="1395" priority="1187">
      <formula>G208="n"</formula>
    </cfRule>
  </conditionalFormatting>
  <conditionalFormatting sqref="B208">
    <cfRule type="expression" dxfId="1394" priority="1186">
      <formula>G208="n"</formula>
    </cfRule>
  </conditionalFormatting>
  <conditionalFormatting sqref="C208">
    <cfRule type="expression" dxfId="1393" priority="1185">
      <formula>G208="n"</formula>
    </cfRule>
  </conditionalFormatting>
  <conditionalFormatting sqref="A209">
    <cfRule type="expression" dxfId="1392" priority="1184">
      <formula>G209="n"</formula>
    </cfRule>
  </conditionalFormatting>
  <conditionalFormatting sqref="B209">
    <cfRule type="expression" dxfId="1391" priority="1183">
      <formula>G209="n"</formula>
    </cfRule>
  </conditionalFormatting>
  <conditionalFormatting sqref="C209">
    <cfRule type="expression" dxfId="1390" priority="1182">
      <formula>G209="n"</formula>
    </cfRule>
  </conditionalFormatting>
  <conditionalFormatting sqref="A209">
    <cfRule type="expression" dxfId="1389" priority="1181">
      <formula>G209="n"</formula>
    </cfRule>
  </conditionalFormatting>
  <conditionalFormatting sqref="B209">
    <cfRule type="expression" dxfId="1388" priority="1180">
      <formula>G209="n"</formula>
    </cfRule>
  </conditionalFormatting>
  <conditionalFormatting sqref="C209">
    <cfRule type="expression" dxfId="1387" priority="1179">
      <formula>G209="n"</formula>
    </cfRule>
  </conditionalFormatting>
  <conditionalFormatting sqref="A210">
    <cfRule type="expression" dxfId="1386" priority="1178">
      <formula>G210="n"</formula>
    </cfRule>
  </conditionalFormatting>
  <conditionalFormatting sqref="B210">
    <cfRule type="expression" dxfId="1385" priority="1177">
      <formula>G210="n"</formula>
    </cfRule>
  </conditionalFormatting>
  <conditionalFormatting sqref="C210">
    <cfRule type="expression" dxfId="1384" priority="1176">
      <formula>G210="n"</formula>
    </cfRule>
  </conditionalFormatting>
  <conditionalFormatting sqref="A210">
    <cfRule type="expression" dxfId="1383" priority="1175">
      <formula>G210="n"</formula>
    </cfRule>
  </conditionalFormatting>
  <conditionalFormatting sqref="B210">
    <cfRule type="expression" dxfId="1382" priority="1174">
      <formula>G210="n"</formula>
    </cfRule>
  </conditionalFormatting>
  <conditionalFormatting sqref="C210">
    <cfRule type="expression" dxfId="1381" priority="1173">
      <formula>G210="n"</formula>
    </cfRule>
  </conditionalFormatting>
  <conditionalFormatting sqref="A211">
    <cfRule type="expression" dxfId="1380" priority="1172">
      <formula>G211="n"</formula>
    </cfRule>
  </conditionalFormatting>
  <conditionalFormatting sqref="B211">
    <cfRule type="expression" dxfId="1379" priority="1171">
      <formula>G211="n"</formula>
    </cfRule>
  </conditionalFormatting>
  <conditionalFormatting sqref="C211">
    <cfRule type="expression" dxfId="1378" priority="1170">
      <formula>G211="n"</formula>
    </cfRule>
  </conditionalFormatting>
  <conditionalFormatting sqref="A211">
    <cfRule type="expression" dxfId="1377" priority="1169">
      <formula>G211="n"</formula>
    </cfRule>
  </conditionalFormatting>
  <conditionalFormatting sqref="B211">
    <cfRule type="expression" dxfId="1376" priority="1168">
      <formula>G211="n"</formula>
    </cfRule>
  </conditionalFormatting>
  <conditionalFormatting sqref="C211">
    <cfRule type="expression" dxfId="1375" priority="1167">
      <formula>G211="n"</formula>
    </cfRule>
  </conditionalFormatting>
  <conditionalFormatting sqref="A212">
    <cfRule type="expression" dxfId="1374" priority="1166">
      <formula>G212="n"</formula>
    </cfRule>
  </conditionalFormatting>
  <conditionalFormatting sqref="B212">
    <cfRule type="expression" dxfId="1373" priority="1165">
      <formula>G212="n"</formula>
    </cfRule>
  </conditionalFormatting>
  <conditionalFormatting sqref="C212">
    <cfRule type="expression" dxfId="1372" priority="1164">
      <formula>G212="n"</formula>
    </cfRule>
  </conditionalFormatting>
  <conditionalFormatting sqref="A212">
    <cfRule type="expression" dxfId="1371" priority="1163">
      <formula>G212="n"</formula>
    </cfRule>
  </conditionalFormatting>
  <conditionalFormatting sqref="B212">
    <cfRule type="expression" dxfId="1370" priority="1162">
      <formula>G212="n"</formula>
    </cfRule>
  </conditionalFormatting>
  <conditionalFormatting sqref="C212">
    <cfRule type="expression" dxfId="1369" priority="1161">
      <formula>G212="n"</formula>
    </cfRule>
  </conditionalFormatting>
  <conditionalFormatting sqref="A213">
    <cfRule type="expression" dxfId="1368" priority="1160">
      <formula>G213="n"</formula>
    </cfRule>
  </conditionalFormatting>
  <conditionalFormatting sqref="B213">
    <cfRule type="expression" dxfId="1367" priority="1159">
      <formula>G213="n"</formula>
    </cfRule>
  </conditionalFormatting>
  <conditionalFormatting sqref="C213">
    <cfRule type="expression" dxfId="1366" priority="1158">
      <formula>G213="n"</formula>
    </cfRule>
  </conditionalFormatting>
  <conditionalFormatting sqref="A213">
    <cfRule type="expression" dxfId="1365" priority="1157">
      <formula>G213="n"</formula>
    </cfRule>
  </conditionalFormatting>
  <conditionalFormatting sqref="B213">
    <cfRule type="expression" dxfId="1364" priority="1156">
      <formula>G213="n"</formula>
    </cfRule>
  </conditionalFormatting>
  <conditionalFormatting sqref="C213">
    <cfRule type="expression" dxfId="1363" priority="1155">
      <formula>G213="n"</formula>
    </cfRule>
  </conditionalFormatting>
  <conditionalFormatting sqref="A214">
    <cfRule type="expression" dxfId="1362" priority="1154">
      <formula>G214="n"</formula>
    </cfRule>
  </conditionalFormatting>
  <conditionalFormatting sqref="B214">
    <cfRule type="expression" dxfId="1361" priority="1153">
      <formula>G214="n"</formula>
    </cfRule>
  </conditionalFormatting>
  <conditionalFormatting sqref="C214">
    <cfRule type="expression" dxfId="1360" priority="1152">
      <formula>G214="n"</formula>
    </cfRule>
  </conditionalFormatting>
  <conditionalFormatting sqref="A214">
    <cfRule type="expression" dxfId="1359" priority="1151">
      <formula>G214="n"</formula>
    </cfRule>
  </conditionalFormatting>
  <conditionalFormatting sqref="B214">
    <cfRule type="expression" dxfId="1358" priority="1150">
      <formula>G214="n"</formula>
    </cfRule>
  </conditionalFormatting>
  <conditionalFormatting sqref="C214">
    <cfRule type="expression" dxfId="1357" priority="1149">
      <formula>G214="n"</formula>
    </cfRule>
  </conditionalFormatting>
  <conditionalFormatting sqref="A215">
    <cfRule type="expression" dxfId="1356" priority="1148">
      <formula>G215="n"</formula>
    </cfRule>
  </conditionalFormatting>
  <conditionalFormatting sqref="B215">
    <cfRule type="expression" dxfId="1355" priority="1147">
      <formula>G215="n"</formula>
    </cfRule>
  </conditionalFormatting>
  <conditionalFormatting sqref="C215">
    <cfRule type="expression" dxfId="1354" priority="1146">
      <formula>G215="n"</formula>
    </cfRule>
  </conditionalFormatting>
  <conditionalFormatting sqref="A215">
    <cfRule type="expression" dxfId="1353" priority="1145">
      <formula>G215="n"</formula>
    </cfRule>
  </conditionalFormatting>
  <conditionalFormatting sqref="B215">
    <cfRule type="expression" dxfId="1352" priority="1144">
      <formula>G215="n"</formula>
    </cfRule>
  </conditionalFormatting>
  <conditionalFormatting sqref="C215">
    <cfRule type="expression" dxfId="1351" priority="1143">
      <formula>G215="n"</formula>
    </cfRule>
  </conditionalFormatting>
  <conditionalFormatting sqref="A216">
    <cfRule type="expression" dxfId="1350" priority="1142">
      <formula>G216="n"</formula>
    </cfRule>
  </conditionalFormatting>
  <conditionalFormatting sqref="B216">
    <cfRule type="expression" dxfId="1349" priority="1141">
      <formula>G216="n"</formula>
    </cfRule>
  </conditionalFormatting>
  <conditionalFormatting sqref="C216">
    <cfRule type="expression" dxfId="1348" priority="1140">
      <formula>G216="n"</formula>
    </cfRule>
  </conditionalFormatting>
  <conditionalFormatting sqref="A216">
    <cfRule type="expression" dxfId="1347" priority="1139">
      <formula>G216="n"</formula>
    </cfRule>
  </conditionalFormatting>
  <conditionalFormatting sqref="B216">
    <cfRule type="expression" dxfId="1346" priority="1138">
      <formula>G216="n"</formula>
    </cfRule>
  </conditionalFormatting>
  <conditionalFormatting sqref="C216">
    <cfRule type="expression" dxfId="1345" priority="1137">
      <formula>G216="n"</formula>
    </cfRule>
  </conditionalFormatting>
  <conditionalFormatting sqref="A217">
    <cfRule type="expression" dxfId="1344" priority="1136">
      <formula>G217="n"</formula>
    </cfRule>
  </conditionalFormatting>
  <conditionalFormatting sqref="B217">
    <cfRule type="expression" dxfId="1343" priority="1135">
      <formula>G217="n"</formula>
    </cfRule>
  </conditionalFormatting>
  <conditionalFormatting sqref="C217">
    <cfRule type="expression" dxfId="1342" priority="1134">
      <formula>G217="n"</formula>
    </cfRule>
  </conditionalFormatting>
  <conditionalFormatting sqref="A217">
    <cfRule type="expression" dxfId="1341" priority="1133">
      <formula>G217="n"</formula>
    </cfRule>
  </conditionalFormatting>
  <conditionalFormatting sqref="B217">
    <cfRule type="expression" dxfId="1340" priority="1132">
      <formula>G217="n"</formula>
    </cfRule>
  </conditionalFormatting>
  <conditionalFormatting sqref="C217">
    <cfRule type="expression" dxfId="1339" priority="1131">
      <formula>G217="n"</formula>
    </cfRule>
  </conditionalFormatting>
  <conditionalFormatting sqref="A218">
    <cfRule type="expression" dxfId="1338" priority="1130">
      <formula>G218="n"</formula>
    </cfRule>
  </conditionalFormatting>
  <conditionalFormatting sqref="B218">
    <cfRule type="expression" dxfId="1337" priority="1129">
      <formula>G218="n"</formula>
    </cfRule>
  </conditionalFormatting>
  <conditionalFormatting sqref="C218">
    <cfRule type="expression" dxfId="1336" priority="1128">
      <formula>G218="n"</formula>
    </cfRule>
  </conditionalFormatting>
  <conditionalFormatting sqref="A218">
    <cfRule type="expression" dxfId="1335" priority="1127">
      <formula>G218="n"</formula>
    </cfRule>
  </conditionalFormatting>
  <conditionalFormatting sqref="B218">
    <cfRule type="expression" dxfId="1334" priority="1126">
      <formula>G218="n"</formula>
    </cfRule>
  </conditionalFormatting>
  <conditionalFormatting sqref="C218">
    <cfRule type="expression" dxfId="1333" priority="1125">
      <formula>G218="n"</formula>
    </cfRule>
  </conditionalFormatting>
  <conditionalFormatting sqref="A219">
    <cfRule type="expression" dxfId="1332" priority="1124">
      <formula>G219="n"</formula>
    </cfRule>
  </conditionalFormatting>
  <conditionalFormatting sqref="B219">
    <cfRule type="expression" dxfId="1331" priority="1123">
      <formula>G219="n"</formula>
    </cfRule>
  </conditionalFormatting>
  <conditionalFormatting sqref="C219">
    <cfRule type="expression" dxfId="1330" priority="1122">
      <formula>G219="n"</formula>
    </cfRule>
  </conditionalFormatting>
  <conditionalFormatting sqref="A219">
    <cfRule type="expression" dxfId="1329" priority="1121">
      <formula>G219="n"</formula>
    </cfRule>
  </conditionalFormatting>
  <conditionalFormatting sqref="B219">
    <cfRule type="expression" dxfId="1328" priority="1120">
      <formula>G219="n"</formula>
    </cfRule>
  </conditionalFormatting>
  <conditionalFormatting sqref="C219">
    <cfRule type="expression" dxfId="1327" priority="1119">
      <formula>G219="n"</formula>
    </cfRule>
  </conditionalFormatting>
  <conditionalFormatting sqref="A220">
    <cfRule type="expression" dxfId="1326" priority="1118">
      <formula>G220="n"</formula>
    </cfRule>
  </conditionalFormatting>
  <conditionalFormatting sqref="B220">
    <cfRule type="expression" dxfId="1325" priority="1117">
      <formula>G220="n"</formula>
    </cfRule>
  </conditionalFormatting>
  <conditionalFormatting sqref="C220">
    <cfRule type="expression" dxfId="1324" priority="1116">
      <formula>G220="n"</formula>
    </cfRule>
  </conditionalFormatting>
  <conditionalFormatting sqref="A220">
    <cfRule type="expression" dxfId="1323" priority="1115">
      <formula>G220="n"</formula>
    </cfRule>
  </conditionalFormatting>
  <conditionalFormatting sqref="B220">
    <cfRule type="expression" dxfId="1322" priority="1114">
      <formula>G220="n"</formula>
    </cfRule>
  </conditionalFormatting>
  <conditionalFormatting sqref="C220">
    <cfRule type="expression" dxfId="1321" priority="1113">
      <formula>G220="n"</formula>
    </cfRule>
  </conditionalFormatting>
  <conditionalFormatting sqref="A221">
    <cfRule type="expression" dxfId="1320" priority="1112">
      <formula>G221="n"</formula>
    </cfRule>
  </conditionalFormatting>
  <conditionalFormatting sqref="B221">
    <cfRule type="expression" dxfId="1319" priority="1111">
      <formula>G221="n"</formula>
    </cfRule>
  </conditionalFormatting>
  <conditionalFormatting sqref="C221">
    <cfRule type="expression" dxfId="1318" priority="1110">
      <formula>G221="n"</formula>
    </cfRule>
  </conditionalFormatting>
  <conditionalFormatting sqref="A221">
    <cfRule type="expression" dxfId="1317" priority="1109">
      <formula>G221="n"</formula>
    </cfRule>
  </conditionalFormatting>
  <conditionalFormatting sqref="B221">
    <cfRule type="expression" dxfId="1316" priority="1108">
      <formula>G221="n"</formula>
    </cfRule>
  </conditionalFormatting>
  <conditionalFormatting sqref="C221">
    <cfRule type="expression" dxfId="1315" priority="1107">
      <formula>G221="n"</formula>
    </cfRule>
  </conditionalFormatting>
  <conditionalFormatting sqref="A222">
    <cfRule type="expression" dxfId="1314" priority="1106">
      <formula>G222="n"</formula>
    </cfRule>
  </conditionalFormatting>
  <conditionalFormatting sqref="B222">
    <cfRule type="expression" dxfId="1313" priority="1105">
      <formula>G222="n"</formula>
    </cfRule>
  </conditionalFormatting>
  <conditionalFormatting sqref="C222">
    <cfRule type="expression" dxfId="1312" priority="1104">
      <formula>G222="n"</formula>
    </cfRule>
  </conditionalFormatting>
  <conditionalFormatting sqref="A222">
    <cfRule type="expression" dxfId="1311" priority="1103">
      <formula>G222="n"</formula>
    </cfRule>
  </conditionalFormatting>
  <conditionalFormatting sqref="B222">
    <cfRule type="expression" dxfId="1310" priority="1102">
      <formula>G222="n"</formula>
    </cfRule>
  </conditionalFormatting>
  <conditionalFormatting sqref="C222">
    <cfRule type="expression" dxfId="1309" priority="1101">
      <formula>G222="n"</formula>
    </cfRule>
  </conditionalFormatting>
  <conditionalFormatting sqref="A223">
    <cfRule type="expression" dxfId="1308" priority="1100">
      <formula>G223="n"</formula>
    </cfRule>
  </conditionalFormatting>
  <conditionalFormatting sqref="B223">
    <cfRule type="expression" dxfId="1307" priority="1099">
      <formula>G223="n"</formula>
    </cfRule>
  </conditionalFormatting>
  <conditionalFormatting sqref="C223">
    <cfRule type="expression" dxfId="1306" priority="1098">
      <formula>G223="n"</formula>
    </cfRule>
  </conditionalFormatting>
  <conditionalFormatting sqref="A223">
    <cfRule type="expression" dxfId="1305" priority="1097">
      <formula>G223="n"</formula>
    </cfRule>
  </conditionalFormatting>
  <conditionalFormatting sqref="B223">
    <cfRule type="expression" dxfId="1304" priority="1096">
      <formula>G223="n"</formula>
    </cfRule>
  </conditionalFormatting>
  <conditionalFormatting sqref="C223">
    <cfRule type="expression" dxfId="1303" priority="1095">
      <formula>G223="n"</formula>
    </cfRule>
  </conditionalFormatting>
  <conditionalFormatting sqref="A224">
    <cfRule type="expression" dxfId="1302" priority="1094">
      <formula>G224="n"</formula>
    </cfRule>
  </conditionalFormatting>
  <conditionalFormatting sqref="B224">
    <cfRule type="expression" dxfId="1301" priority="1093">
      <formula>G224="n"</formula>
    </cfRule>
  </conditionalFormatting>
  <conditionalFormatting sqref="C224">
    <cfRule type="expression" dxfId="1300" priority="1092">
      <formula>G224="n"</formula>
    </cfRule>
  </conditionalFormatting>
  <conditionalFormatting sqref="A224">
    <cfRule type="expression" dxfId="1299" priority="1091">
      <formula>G224="n"</formula>
    </cfRule>
  </conditionalFormatting>
  <conditionalFormatting sqref="B224">
    <cfRule type="expression" dxfId="1298" priority="1090">
      <formula>G224="n"</formula>
    </cfRule>
  </conditionalFormatting>
  <conditionalFormatting sqref="C224">
    <cfRule type="expression" dxfId="1297" priority="1089">
      <formula>G224="n"</formula>
    </cfRule>
  </conditionalFormatting>
  <conditionalFormatting sqref="A225">
    <cfRule type="expression" dxfId="1296" priority="1088">
      <formula>G225="n"</formula>
    </cfRule>
  </conditionalFormatting>
  <conditionalFormatting sqref="B225">
    <cfRule type="expression" dxfId="1295" priority="1087">
      <formula>G225="n"</formula>
    </cfRule>
  </conditionalFormatting>
  <conditionalFormatting sqref="C225">
    <cfRule type="expression" dxfId="1294" priority="1086">
      <formula>G225="n"</formula>
    </cfRule>
  </conditionalFormatting>
  <conditionalFormatting sqref="A225">
    <cfRule type="expression" dxfId="1293" priority="1085">
      <formula>G225="n"</formula>
    </cfRule>
  </conditionalFormatting>
  <conditionalFormatting sqref="B225">
    <cfRule type="expression" dxfId="1292" priority="1084">
      <formula>G225="n"</formula>
    </cfRule>
  </conditionalFormatting>
  <conditionalFormatting sqref="C225">
    <cfRule type="expression" dxfId="1291" priority="1083">
      <formula>G225="n"</formula>
    </cfRule>
  </conditionalFormatting>
  <conditionalFormatting sqref="A226">
    <cfRule type="expression" dxfId="1290" priority="1082">
      <formula>G226="n"</formula>
    </cfRule>
  </conditionalFormatting>
  <conditionalFormatting sqref="B226">
    <cfRule type="expression" dxfId="1289" priority="1081">
      <formula>G226="n"</formula>
    </cfRule>
  </conditionalFormatting>
  <conditionalFormatting sqref="C226">
    <cfRule type="expression" dxfId="1288" priority="1080">
      <formula>G226="n"</formula>
    </cfRule>
  </conditionalFormatting>
  <conditionalFormatting sqref="A226">
    <cfRule type="expression" dxfId="1287" priority="1079">
      <formula>G226="n"</formula>
    </cfRule>
  </conditionalFormatting>
  <conditionalFormatting sqref="B226">
    <cfRule type="expression" dxfId="1286" priority="1078">
      <formula>G226="n"</formula>
    </cfRule>
  </conditionalFormatting>
  <conditionalFormatting sqref="C226">
    <cfRule type="expression" dxfId="1285" priority="1077">
      <formula>G226="n"</formula>
    </cfRule>
  </conditionalFormatting>
  <conditionalFormatting sqref="A227">
    <cfRule type="expression" dxfId="1284" priority="1076">
      <formula>G227="n"</formula>
    </cfRule>
  </conditionalFormatting>
  <conditionalFormatting sqref="B227">
    <cfRule type="expression" dxfId="1283" priority="1075">
      <formula>G227="n"</formula>
    </cfRule>
  </conditionalFormatting>
  <conditionalFormatting sqref="C227">
    <cfRule type="expression" dxfId="1282" priority="1074">
      <formula>G227="n"</formula>
    </cfRule>
  </conditionalFormatting>
  <conditionalFormatting sqref="A227">
    <cfRule type="expression" dxfId="1281" priority="1073">
      <formula>G227="n"</formula>
    </cfRule>
  </conditionalFormatting>
  <conditionalFormatting sqref="B227">
    <cfRule type="expression" dxfId="1280" priority="1072">
      <formula>G227="n"</formula>
    </cfRule>
  </conditionalFormatting>
  <conditionalFormatting sqref="C227">
    <cfRule type="expression" dxfId="1279" priority="1071">
      <formula>G227="n"</formula>
    </cfRule>
  </conditionalFormatting>
  <conditionalFormatting sqref="A228">
    <cfRule type="expression" dxfId="1278" priority="1070">
      <formula>G228="n"</formula>
    </cfRule>
  </conditionalFormatting>
  <conditionalFormatting sqref="B228">
    <cfRule type="expression" dxfId="1277" priority="1069">
      <formula>G228="n"</formula>
    </cfRule>
  </conditionalFormatting>
  <conditionalFormatting sqref="C228">
    <cfRule type="expression" dxfId="1276" priority="1068">
      <formula>G228="n"</formula>
    </cfRule>
  </conditionalFormatting>
  <conditionalFormatting sqref="A228">
    <cfRule type="expression" dxfId="1275" priority="1067">
      <formula>G228="n"</formula>
    </cfRule>
  </conditionalFormatting>
  <conditionalFormatting sqref="B228">
    <cfRule type="expression" dxfId="1274" priority="1066">
      <formula>G228="n"</formula>
    </cfRule>
  </conditionalFormatting>
  <conditionalFormatting sqref="C228">
    <cfRule type="expression" dxfId="1273" priority="1065">
      <formula>G228="n"</formula>
    </cfRule>
  </conditionalFormatting>
  <conditionalFormatting sqref="F229">
    <cfRule type="expression" dxfId="1272" priority="1064">
      <formula>G229="n"</formula>
    </cfRule>
  </conditionalFormatting>
  <conditionalFormatting sqref="F229">
    <cfRule type="expression" dxfId="1271" priority="1063">
      <formula>G229="n"</formula>
    </cfRule>
  </conditionalFormatting>
  <conditionalFormatting sqref="A229">
    <cfRule type="expression" dxfId="1270" priority="1062">
      <formula>G229="n"</formula>
    </cfRule>
  </conditionalFormatting>
  <conditionalFormatting sqref="B229">
    <cfRule type="expression" dxfId="1269" priority="1061">
      <formula>G229="n"</formula>
    </cfRule>
  </conditionalFormatting>
  <conditionalFormatting sqref="D229">
    <cfRule type="expression" dxfId="1268" priority="1059">
      <formula>G229="n"</formula>
    </cfRule>
  </conditionalFormatting>
  <conditionalFormatting sqref="E229">
    <cfRule type="expression" dxfId="1267" priority="1058">
      <formula>G229="n"</formula>
    </cfRule>
  </conditionalFormatting>
  <conditionalFormatting sqref="A229">
    <cfRule type="expression" dxfId="1266" priority="1057">
      <formula>G229="n"</formula>
    </cfRule>
  </conditionalFormatting>
  <conditionalFormatting sqref="B229">
    <cfRule type="expression" dxfId="1265" priority="1056">
      <formula>G229="n"</formula>
    </cfRule>
  </conditionalFormatting>
  <conditionalFormatting sqref="D229">
    <cfRule type="expression" dxfId="1264" priority="1054">
      <formula>G229="n"</formula>
    </cfRule>
  </conditionalFormatting>
  <conditionalFormatting sqref="E229">
    <cfRule type="expression" dxfId="1263" priority="1053">
      <formula>G229="n"</formula>
    </cfRule>
  </conditionalFormatting>
  <conditionalFormatting sqref="F230">
    <cfRule type="expression" dxfId="1262" priority="1052">
      <formula>G230="n"</formula>
    </cfRule>
  </conditionalFormatting>
  <conditionalFormatting sqref="E230">
    <cfRule type="expression" dxfId="1261" priority="1051">
      <formula>G230="n"</formula>
    </cfRule>
  </conditionalFormatting>
  <conditionalFormatting sqref="A230">
    <cfRule type="expression" dxfId="1260" priority="1050">
      <formula>G230="n"</formula>
    </cfRule>
  </conditionalFormatting>
  <conditionalFormatting sqref="B230">
    <cfRule type="expression" dxfId="1259" priority="1049">
      <formula>G230="n"</formula>
    </cfRule>
  </conditionalFormatting>
  <conditionalFormatting sqref="C230">
    <cfRule type="expression" dxfId="1258" priority="1048">
      <formula>G230="n"</formula>
    </cfRule>
  </conditionalFormatting>
  <conditionalFormatting sqref="D230">
    <cfRule type="expression" dxfId="1257" priority="1047">
      <formula>G230="n"</formula>
    </cfRule>
  </conditionalFormatting>
  <conditionalFormatting sqref="A230">
    <cfRule type="expression" dxfId="1256" priority="1046">
      <formula>G230="n"</formula>
    </cfRule>
  </conditionalFormatting>
  <conditionalFormatting sqref="B230">
    <cfRule type="expression" dxfId="1255" priority="1045">
      <formula>G230="n"</formula>
    </cfRule>
  </conditionalFormatting>
  <conditionalFormatting sqref="C230">
    <cfRule type="expression" dxfId="1254" priority="1044">
      <formula>G230="n"</formula>
    </cfRule>
  </conditionalFormatting>
  <conditionalFormatting sqref="D230">
    <cfRule type="expression" dxfId="1253" priority="1043">
      <formula>G230="n"</formula>
    </cfRule>
  </conditionalFormatting>
  <conditionalFormatting sqref="F240">
    <cfRule type="expression" dxfId="1252" priority="1042">
      <formula>G240="n"</formula>
    </cfRule>
  </conditionalFormatting>
  <conditionalFormatting sqref="B240">
    <cfRule type="expression" dxfId="1251" priority="1041">
      <formula>G240="n"</formula>
    </cfRule>
  </conditionalFormatting>
  <conditionalFormatting sqref="C240">
    <cfRule type="expression" dxfId="1250" priority="1040">
      <formula>G240="n"</formula>
    </cfRule>
  </conditionalFormatting>
  <conditionalFormatting sqref="D240">
    <cfRule type="expression" dxfId="1249" priority="1039">
      <formula>G240="n"</formula>
    </cfRule>
  </conditionalFormatting>
  <conditionalFormatting sqref="E240">
    <cfRule type="expression" dxfId="1248" priority="1038">
      <formula>G240="n"</formula>
    </cfRule>
  </conditionalFormatting>
  <conditionalFormatting sqref="A240">
    <cfRule type="expression" dxfId="1247" priority="1037">
      <formula>G240="n"</formula>
    </cfRule>
  </conditionalFormatting>
  <conditionalFormatting sqref="E242">
    <cfRule type="expression" dxfId="1246" priority="1036">
      <formula>G242="n"</formula>
    </cfRule>
  </conditionalFormatting>
  <conditionalFormatting sqref="D242">
    <cfRule type="expression" dxfId="1245" priority="1035">
      <formula>G242="n"</formula>
    </cfRule>
  </conditionalFormatting>
  <conditionalFormatting sqref="D242">
    <cfRule type="expression" dxfId="1244" priority="1034">
      <formula>G242="n"</formula>
    </cfRule>
  </conditionalFormatting>
  <conditionalFormatting sqref="F242">
    <cfRule type="expression" dxfId="1243" priority="1033">
      <formula>G242="n"</formula>
    </cfRule>
  </conditionalFormatting>
  <conditionalFormatting sqref="A242">
    <cfRule type="expression" dxfId="1242" priority="1032">
      <formula>G242="n"</formula>
    </cfRule>
  </conditionalFormatting>
  <conditionalFormatting sqref="B242">
    <cfRule type="expression" dxfId="1241" priority="1031">
      <formula>G242="n"</formula>
    </cfRule>
  </conditionalFormatting>
  <conditionalFormatting sqref="C242">
    <cfRule type="expression" dxfId="1240" priority="1030">
      <formula>G242="n"</formula>
    </cfRule>
  </conditionalFormatting>
  <conditionalFormatting sqref="A242">
    <cfRule type="expression" dxfId="1239" priority="1029">
      <formula>G242="n"</formula>
    </cfRule>
  </conditionalFormatting>
  <conditionalFormatting sqref="B242">
    <cfRule type="expression" dxfId="1238" priority="1028">
      <formula>G242="n"</formula>
    </cfRule>
  </conditionalFormatting>
  <conditionalFormatting sqref="C242">
    <cfRule type="expression" dxfId="1237" priority="1027">
      <formula>G242="n"</formula>
    </cfRule>
  </conditionalFormatting>
  <conditionalFormatting sqref="F241">
    <cfRule type="expression" dxfId="1236" priority="1026">
      <formula>G241="n"</formula>
    </cfRule>
  </conditionalFormatting>
  <conditionalFormatting sqref="F241">
    <cfRule type="expression" dxfId="1235" priority="1025">
      <formula>G241="n"</formula>
    </cfRule>
  </conditionalFormatting>
  <conditionalFormatting sqref="A241">
    <cfRule type="expression" dxfId="1234" priority="1024">
      <formula>G241="n"</formula>
    </cfRule>
  </conditionalFormatting>
  <conditionalFormatting sqref="B241">
    <cfRule type="expression" dxfId="1233" priority="1023">
      <formula>G241="n"</formula>
    </cfRule>
  </conditionalFormatting>
  <conditionalFormatting sqref="C241">
    <cfRule type="expression" dxfId="1232" priority="1022">
      <formula>G241="n"</formula>
    </cfRule>
  </conditionalFormatting>
  <conditionalFormatting sqref="D241">
    <cfRule type="expression" dxfId="1231" priority="1021">
      <formula>G241="n"</formula>
    </cfRule>
  </conditionalFormatting>
  <conditionalFormatting sqref="E241">
    <cfRule type="expression" dxfId="1230" priority="1020">
      <formula>G241="n"</formula>
    </cfRule>
  </conditionalFormatting>
  <conditionalFormatting sqref="A241">
    <cfRule type="expression" dxfId="1229" priority="1019">
      <formula>G241="n"</formula>
    </cfRule>
  </conditionalFormatting>
  <conditionalFormatting sqref="B241">
    <cfRule type="expression" dxfId="1228" priority="1018">
      <formula>G241="n"</formula>
    </cfRule>
  </conditionalFormatting>
  <conditionalFormatting sqref="C241">
    <cfRule type="expression" dxfId="1227" priority="1017">
      <formula>G241="n"</formula>
    </cfRule>
  </conditionalFormatting>
  <conditionalFormatting sqref="D241">
    <cfRule type="expression" dxfId="1226" priority="1016">
      <formula>G241="n"</formula>
    </cfRule>
  </conditionalFormatting>
  <conditionalFormatting sqref="E241">
    <cfRule type="expression" dxfId="1225" priority="1015">
      <formula>G241="n"</formula>
    </cfRule>
  </conditionalFormatting>
  <conditionalFormatting sqref="F246">
    <cfRule type="expression" dxfId="1224" priority="1014">
      <formula>G246="n"</formula>
    </cfRule>
  </conditionalFormatting>
  <conditionalFormatting sqref="F246">
    <cfRule type="expression" dxfId="1223" priority="1013">
      <formula>G246="n"</formula>
    </cfRule>
  </conditionalFormatting>
  <conditionalFormatting sqref="A246">
    <cfRule type="expression" dxfId="1222" priority="1012">
      <formula>G246="n"</formula>
    </cfRule>
  </conditionalFormatting>
  <conditionalFormatting sqref="B246">
    <cfRule type="expression" dxfId="1221" priority="1011">
      <formula>G246="n"</formula>
    </cfRule>
  </conditionalFormatting>
  <conditionalFormatting sqref="C246">
    <cfRule type="expression" dxfId="1220" priority="1010">
      <formula>G246="n"</formula>
    </cfRule>
  </conditionalFormatting>
  <conditionalFormatting sqref="D246">
    <cfRule type="expression" dxfId="1219" priority="1009">
      <formula>G246="n"</formula>
    </cfRule>
  </conditionalFormatting>
  <conditionalFormatting sqref="E246">
    <cfRule type="expression" dxfId="1218" priority="1008">
      <formula>G246="n"</formula>
    </cfRule>
  </conditionalFormatting>
  <conditionalFormatting sqref="A246">
    <cfRule type="expression" dxfId="1217" priority="1007">
      <formula>G246="n"</formula>
    </cfRule>
  </conditionalFormatting>
  <conditionalFormatting sqref="B246">
    <cfRule type="expression" dxfId="1216" priority="1006">
      <formula>G246="n"</formula>
    </cfRule>
  </conditionalFormatting>
  <conditionalFormatting sqref="C246">
    <cfRule type="expression" dxfId="1215" priority="1005">
      <formula>G246="n"</formula>
    </cfRule>
  </conditionalFormatting>
  <conditionalFormatting sqref="D246">
    <cfRule type="expression" dxfId="1214" priority="1004">
      <formula>G246="n"</formula>
    </cfRule>
  </conditionalFormatting>
  <conditionalFormatting sqref="E246">
    <cfRule type="expression" dxfId="1213" priority="1003">
      <formula>G246="n"</formula>
    </cfRule>
  </conditionalFormatting>
  <conditionalFormatting sqref="F247">
    <cfRule type="expression" dxfId="1212" priority="1002">
      <formula>G247="n"</formula>
    </cfRule>
  </conditionalFormatting>
  <conditionalFormatting sqref="F247">
    <cfRule type="expression" dxfId="1211" priority="1001">
      <formula>G247="n"</formula>
    </cfRule>
  </conditionalFormatting>
  <conditionalFormatting sqref="A247">
    <cfRule type="expression" dxfId="1210" priority="1000">
      <formula>G247="n"</formula>
    </cfRule>
  </conditionalFormatting>
  <conditionalFormatting sqref="B247">
    <cfRule type="expression" dxfId="1209" priority="999">
      <formula>G247="n"</formula>
    </cfRule>
  </conditionalFormatting>
  <conditionalFormatting sqref="C247">
    <cfRule type="expression" dxfId="1208" priority="998">
      <formula>G247="n"</formula>
    </cfRule>
  </conditionalFormatting>
  <conditionalFormatting sqref="D247">
    <cfRule type="expression" dxfId="1207" priority="997">
      <formula>G247="n"</formula>
    </cfRule>
  </conditionalFormatting>
  <conditionalFormatting sqref="E247">
    <cfRule type="expression" dxfId="1206" priority="996">
      <formula>G247="n"</formula>
    </cfRule>
  </conditionalFormatting>
  <conditionalFormatting sqref="A247">
    <cfRule type="expression" dxfId="1205" priority="995">
      <formula>G247="n"</formula>
    </cfRule>
  </conditionalFormatting>
  <conditionalFormatting sqref="B247">
    <cfRule type="expression" dxfId="1204" priority="994">
      <formula>G247="n"</formula>
    </cfRule>
  </conditionalFormatting>
  <conditionalFormatting sqref="C247">
    <cfRule type="expression" dxfId="1203" priority="993">
      <formula>G247="n"</formula>
    </cfRule>
  </conditionalFormatting>
  <conditionalFormatting sqref="D247">
    <cfRule type="expression" dxfId="1202" priority="992">
      <formula>G247="n"</formula>
    </cfRule>
  </conditionalFormatting>
  <conditionalFormatting sqref="E247">
    <cfRule type="expression" dxfId="1201" priority="991">
      <formula>G247="n"</formula>
    </cfRule>
  </conditionalFormatting>
  <conditionalFormatting sqref="F248">
    <cfRule type="expression" dxfId="1200" priority="990">
      <formula>G248="n"</formula>
    </cfRule>
  </conditionalFormatting>
  <conditionalFormatting sqref="E248">
    <cfRule type="expression" dxfId="1199" priority="989">
      <formula>G248="n"</formula>
    </cfRule>
  </conditionalFormatting>
  <conditionalFormatting sqref="A248">
    <cfRule type="expression" dxfId="1198" priority="988">
      <formula>G248="n"</formula>
    </cfRule>
  </conditionalFormatting>
  <conditionalFormatting sqref="B248">
    <cfRule type="expression" dxfId="1197" priority="987">
      <formula>G248="n"</formula>
    </cfRule>
  </conditionalFormatting>
  <conditionalFormatting sqref="C248">
    <cfRule type="expression" dxfId="1196" priority="986">
      <formula>G248="n"</formula>
    </cfRule>
  </conditionalFormatting>
  <conditionalFormatting sqref="D248">
    <cfRule type="expression" dxfId="1195" priority="985">
      <formula>G248="n"</formula>
    </cfRule>
  </conditionalFormatting>
  <conditionalFormatting sqref="A248">
    <cfRule type="expression" dxfId="1194" priority="984">
      <formula>G248="n"</formula>
    </cfRule>
  </conditionalFormatting>
  <conditionalFormatting sqref="B248">
    <cfRule type="expression" dxfId="1193" priority="983">
      <formula>G248="n"</formula>
    </cfRule>
  </conditionalFormatting>
  <conditionalFormatting sqref="C248">
    <cfRule type="expression" dxfId="1192" priority="982">
      <formula>G248="n"</formula>
    </cfRule>
  </conditionalFormatting>
  <conditionalFormatting sqref="D248">
    <cfRule type="expression" dxfId="1191" priority="981">
      <formula>G248="n"</formula>
    </cfRule>
  </conditionalFormatting>
  <conditionalFormatting sqref="F250">
    <cfRule type="expression" dxfId="1190" priority="980">
      <formula>G250="n"</formula>
    </cfRule>
  </conditionalFormatting>
  <conditionalFormatting sqref="B250">
    <cfRule type="expression" dxfId="1189" priority="979">
      <formula>G250="n"</formula>
    </cfRule>
  </conditionalFormatting>
  <conditionalFormatting sqref="C250">
    <cfRule type="expression" dxfId="1188" priority="978">
      <formula>G250="n"</formula>
    </cfRule>
  </conditionalFormatting>
  <conditionalFormatting sqref="D250">
    <cfRule type="expression" dxfId="1187" priority="977">
      <formula>G250="n"</formula>
    </cfRule>
  </conditionalFormatting>
  <conditionalFormatting sqref="E250">
    <cfRule type="expression" dxfId="1186" priority="976">
      <formula>G250="n"</formula>
    </cfRule>
  </conditionalFormatting>
  <conditionalFormatting sqref="A250">
    <cfRule type="expression" dxfId="1185" priority="975">
      <formula>G250="n"</formula>
    </cfRule>
  </conditionalFormatting>
  <conditionalFormatting sqref="F251">
    <cfRule type="expression" dxfId="1184" priority="974">
      <formula>G251="n"</formula>
    </cfRule>
  </conditionalFormatting>
  <conditionalFormatting sqref="F251">
    <cfRule type="expression" dxfId="1183" priority="973">
      <formula>G251="n"</formula>
    </cfRule>
  </conditionalFormatting>
  <conditionalFormatting sqref="A251">
    <cfRule type="expression" dxfId="1182" priority="972">
      <formula>G251="n"</formula>
    </cfRule>
  </conditionalFormatting>
  <conditionalFormatting sqref="B251:B252">
    <cfRule type="expression" dxfId="1181" priority="971">
      <formula>G251="n"</formula>
    </cfRule>
  </conditionalFormatting>
  <conditionalFormatting sqref="C251">
    <cfRule type="expression" dxfId="1180" priority="970">
      <formula>G251="n"</formula>
    </cfRule>
  </conditionalFormatting>
  <conditionalFormatting sqref="D251">
    <cfRule type="expression" dxfId="1179" priority="969">
      <formula>G251="n"</formula>
    </cfRule>
  </conditionalFormatting>
  <conditionalFormatting sqref="E251">
    <cfRule type="expression" dxfId="1178" priority="968">
      <formula>G251="n"</formula>
    </cfRule>
  </conditionalFormatting>
  <conditionalFormatting sqref="A251">
    <cfRule type="expression" dxfId="1177" priority="967">
      <formula>G251="n"</formula>
    </cfRule>
  </conditionalFormatting>
  <conditionalFormatting sqref="B251:B252">
    <cfRule type="expression" dxfId="1176" priority="966">
      <formula>G251="n"</formula>
    </cfRule>
  </conditionalFormatting>
  <conditionalFormatting sqref="C251">
    <cfRule type="expression" dxfId="1175" priority="965">
      <formula>G251="n"</formula>
    </cfRule>
  </conditionalFormatting>
  <conditionalFormatting sqref="D251">
    <cfRule type="expression" dxfId="1174" priority="964">
      <formula>G251="n"</formula>
    </cfRule>
  </conditionalFormatting>
  <conditionalFormatting sqref="E251">
    <cfRule type="expression" dxfId="1173" priority="963">
      <formula>G251="n"</formula>
    </cfRule>
  </conditionalFormatting>
  <conditionalFormatting sqref="E284">
    <cfRule type="expression" dxfId="1172" priority="962">
      <formula>G284="n"</formula>
    </cfRule>
  </conditionalFormatting>
  <conditionalFormatting sqref="D284">
    <cfRule type="expression" dxfId="1171" priority="961">
      <formula>G284="n"</formula>
    </cfRule>
  </conditionalFormatting>
  <conditionalFormatting sqref="D284">
    <cfRule type="expression" dxfId="1170" priority="960">
      <formula>G284="n"</formula>
    </cfRule>
  </conditionalFormatting>
  <conditionalFormatting sqref="F284">
    <cfRule type="expression" dxfId="1169" priority="959">
      <formula>G284="n"</formula>
    </cfRule>
  </conditionalFormatting>
  <conditionalFormatting sqref="A284">
    <cfRule type="expression" dxfId="1168" priority="958">
      <formula>G284="n"</formula>
    </cfRule>
  </conditionalFormatting>
  <conditionalFormatting sqref="B284">
    <cfRule type="expression" dxfId="1167" priority="957">
      <formula>G284="n"</formula>
    </cfRule>
  </conditionalFormatting>
  <conditionalFormatting sqref="C284">
    <cfRule type="expression" dxfId="1166" priority="956">
      <formula>G284="n"</formula>
    </cfRule>
  </conditionalFormatting>
  <conditionalFormatting sqref="A284">
    <cfRule type="expression" dxfId="1165" priority="955">
      <formula>G284="n"</formula>
    </cfRule>
  </conditionalFormatting>
  <conditionalFormatting sqref="B284">
    <cfRule type="expression" dxfId="1164" priority="954">
      <formula>G284="n"</formula>
    </cfRule>
  </conditionalFormatting>
  <conditionalFormatting sqref="C284">
    <cfRule type="expression" dxfId="1163" priority="953">
      <formula>G284="n"</formula>
    </cfRule>
  </conditionalFormatting>
  <conditionalFormatting sqref="F285">
    <cfRule type="expression" dxfId="1162" priority="952">
      <formula>G285="n"</formula>
    </cfRule>
  </conditionalFormatting>
  <conditionalFormatting sqref="F285">
    <cfRule type="expression" dxfId="1161" priority="951">
      <formula>G285="n"</formula>
    </cfRule>
  </conditionalFormatting>
  <conditionalFormatting sqref="A285">
    <cfRule type="expression" dxfId="1160" priority="950">
      <formula>G285="n"</formula>
    </cfRule>
  </conditionalFormatting>
  <conditionalFormatting sqref="B285">
    <cfRule type="expression" dxfId="1159" priority="949">
      <formula>G285="n"</formula>
    </cfRule>
  </conditionalFormatting>
  <conditionalFormatting sqref="C285">
    <cfRule type="expression" dxfId="1158" priority="948">
      <formula>G285="n"</formula>
    </cfRule>
  </conditionalFormatting>
  <conditionalFormatting sqref="D285">
    <cfRule type="expression" dxfId="1157" priority="947">
      <formula>G285="n"</formula>
    </cfRule>
  </conditionalFormatting>
  <conditionalFormatting sqref="E285">
    <cfRule type="expression" dxfId="1156" priority="946">
      <formula>G285="n"</formula>
    </cfRule>
  </conditionalFormatting>
  <conditionalFormatting sqref="A285">
    <cfRule type="expression" dxfId="1155" priority="945">
      <formula>G285="n"</formula>
    </cfRule>
  </conditionalFormatting>
  <conditionalFormatting sqref="B285">
    <cfRule type="expression" dxfId="1154" priority="944">
      <formula>G285="n"</formula>
    </cfRule>
  </conditionalFormatting>
  <conditionalFormatting sqref="C285">
    <cfRule type="expression" dxfId="1153" priority="943">
      <formula>G285="n"</formula>
    </cfRule>
  </conditionalFormatting>
  <conditionalFormatting sqref="D285">
    <cfRule type="expression" dxfId="1152" priority="942">
      <formula>G285="n"</formula>
    </cfRule>
  </conditionalFormatting>
  <conditionalFormatting sqref="E285">
    <cfRule type="expression" dxfId="1151" priority="941">
      <formula>G285="n"</formula>
    </cfRule>
  </conditionalFormatting>
  <conditionalFormatting sqref="F286">
    <cfRule type="expression" dxfId="1150" priority="940">
      <formula>G286="n"</formula>
    </cfRule>
  </conditionalFormatting>
  <conditionalFormatting sqref="E286">
    <cfRule type="expression" dxfId="1149" priority="939">
      <formula>G286="n"</formula>
    </cfRule>
  </conditionalFormatting>
  <conditionalFormatting sqref="A286">
    <cfRule type="expression" dxfId="1148" priority="938">
      <formula>G286="n"</formula>
    </cfRule>
  </conditionalFormatting>
  <conditionalFormatting sqref="B286">
    <cfRule type="expression" dxfId="1147" priority="937">
      <formula>G286="n"</formula>
    </cfRule>
  </conditionalFormatting>
  <conditionalFormatting sqref="C286">
    <cfRule type="expression" dxfId="1146" priority="936">
      <formula>G286="n"</formula>
    </cfRule>
  </conditionalFormatting>
  <conditionalFormatting sqref="D286">
    <cfRule type="expression" dxfId="1145" priority="935">
      <formula>G286="n"</formula>
    </cfRule>
  </conditionalFormatting>
  <conditionalFormatting sqref="A286">
    <cfRule type="expression" dxfId="1144" priority="934">
      <formula>G286="n"</formula>
    </cfRule>
  </conditionalFormatting>
  <conditionalFormatting sqref="B286">
    <cfRule type="expression" dxfId="1143" priority="933">
      <formula>G286="n"</formula>
    </cfRule>
  </conditionalFormatting>
  <conditionalFormatting sqref="C286">
    <cfRule type="expression" dxfId="1142" priority="932">
      <formula>G286="n"</formula>
    </cfRule>
  </conditionalFormatting>
  <conditionalFormatting sqref="D286">
    <cfRule type="expression" dxfId="1141" priority="931">
      <formula>G286="n"</formula>
    </cfRule>
  </conditionalFormatting>
  <conditionalFormatting sqref="F288">
    <cfRule type="expression" dxfId="1140" priority="930">
      <formula>G288="n"</formula>
    </cfRule>
  </conditionalFormatting>
  <conditionalFormatting sqref="F288">
    <cfRule type="expression" dxfId="1139" priority="929">
      <formula>G288="n"</formula>
    </cfRule>
  </conditionalFormatting>
  <conditionalFormatting sqref="A288">
    <cfRule type="expression" dxfId="1138" priority="928">
      <formula>G288="n"</formula>
    </cfRule>
  </conditionalFormatting>
  <conditionalFormatting sqref="B288">
    <cfRule type="expression" dxfId="1137" priority="927">
      <formula>G288="n"</formula>
    </cfRule>
  </conditionalFormatting>
  <conditionalFormatting sqref="C288">
    <cfRule type="expression" dxfId="1136" priority="926">
      <formula>G288="n"</formula>
    </cfRule>
  </conditionalFormatting>
  <conditionalFormatting sqref="D288">
    <cfRule type="expression" dxfId="1135" priority="925">
      <formula>G288="n"</formula>
    </cfRule>
  </conditionalFormatting>
  <conditionalFormatting sqref="E288">
    <cfRule type="expression" dxfId="1134" priority="924">
      <formula>G288="n"</formula>
    </cfRule>
  </conditionalFormatting>
  <conditionalFormatting sqref="A288">
    <cfRule type="expression" dxfId="1133" priority="923">
      <formula>G288="n"</formula>
    </cfRule>
  </conditionalFormatting>
  <conditionalFormatting sqref="B288">
    <cfRule type="expression" dxfId="1132" priority="922">
      <formula>G288="n"</formula>
    </cfRule>
  </conditionalFormatting>
  <conditionalFormatting sqref="C288">
    <cfRule type="expression" dxfId="1131" priority="921">
      <formula>G288="n"</formula>
    </cfRule>
  </conditionalFormatting>
  <conditionalFormatting sqref="D288">
    <cfRule type="expression" dxfId="1130" priority="920">
      <formula>G288="n"</formula>
    </cfRule>
  </conditionalFormatting>
  <conditionalFormatting sqref="E288">
    <cfRule type="expression" dxfId="1129" priority="919">
      <formula>G288="n"</formula>
    </cfRule>
  </conditionalFormatting>
  <conditionalFormatting sqref="F289">
    <cfRule type="expression" dxfId="1128" priority="918">
      <formula>G289="n"</formula>
    </cfRule>
  </conditionalFormatting>
  <conditionalFormatting sqref="E289">
    <cfRule type="expression" dxfId="1127" priority="917">
      <formula>G289="n"</formula>
    </cfRule>
  </conditionalFormatting>
  <conditionalFormatting sqref="A289">
    <cfRule type="expression" dxfId="1126" priority="916">
      <formula>G289="n"</formula>
    </cfRule>
  </conditionalFormatting>
  <conditionalFormatting sqref="B289">
    <cfRule type="expression" dxfId="1125" priority="915">
      <formula>G289="n"</formula>
    </cfRule>
  </conditionalFormatting>
  <conditionalFormatting sqref="C289">
    <cfRule type="expression" dxfId="1124" priority="914">
      <formula>G289="n"</formula>
    </cfRule>
  </conditionalFormatting>
  <conditionalFormatting sqref="D289">
    <cfRule type="expression" dxfId="1123" priority="913">
      <formula>G289="n"</formula>
    </cfRule>
  </conditionalFormatting>
  <conditionalFormatting sqref="A289">
    <cfRule type="expression" dxfId="1122" priority="912">
      <formula>G289="n"</formula>
    </cfRule>
  </conditionalFormatting>
  <conditionalFormatting sqref="B289">
    <cfRule type="expression" dxfId="1121" priority="911">
      <formula>G289="n"</formula>
    </cfRule>
  </conditionalFormatting>
  <conditionalFormatting sqref="C289">
    <cfRule type="expression" dxfId="1120" priority="910">
      <formula>G289="n"</formula>
    </cfRule>
  </conditionalFormatting>
  <conditionalFormatting sqref="D289">
    <cfRule type="expression" dxfId="1119" priority="909">
      <formula>G289="n"</formula>
    </cfRule>
  </conditionalFormatting>
  <conditionalFormatting sqref="F290">
    <cfRule type="expression" dxfId="1118" priority="908">
      <formula>G290="n"</formula>
    </cfRule>
  </conditionalFormatting>
  <conditionalFormatting sqref="F290">
    <cfRule type="expression" dxfId="1117" priority="907">
      <formula>G290="n"</formula>
    </cfRule>
  </conditionalFormatting>
  <conditionalFormatting sqref="A290">
    <cfRule type="expression" dxfId="1116" priority="906">
      <formula>G290="n"</formula>
    </cfRule>
  </conditionalFormatting>
  <conditionalFormatting sqref="B290">
    <cfRule type="expression" dxfId="1115" priority="905">
      <formula>G290="n"</formula>
    </cfRule>
  </conditionalFormatting>
  <conditionalFormatting sqref="C290">
    <cfRule type="expression" dxfId="1114" priority="904">
      <formula>G290="n"</formula>
    </cfRule>
  </conditionalFormatting>
  <conditionalFormatting sqref="D290">
    <cfRule type="expression" dxfId="1113" priority="903">
      <formula>G290="n"</formula>
    </cfRule>
  </conditionalFormatting>
  <conditionalFormatting sqref="E290">
    <cfRule type="expression" dxfId="1112" priority="902">
      <formula>G290="n"</formula>
    </cfRule>
  </conditionalFormatting>
  <conditionalFormatting sqref="A290">
    <cfRule type="expression" dxfId="1111" priority="901">
      <formula>G290="n"</formula>
    </cfRule>
  </conditionalFormatting>
  <conditionalFormatting sqref="B290">
    <cfRule type="expression" dxfId="1110" priority="900">
      <formula>G290="n"</formula>
    </cfRule>
  </conditionalFormatting>
  <conditionalFormatting sqref="C290">
    <cfRule type="expression" dxfId="1109" priority="899">
      <formula>G290="n"</formula>
    </cfRule>
  </conditionalFormatting>
  <conditionalFormatting sqref="D290">
    <cfRule type="expression" dxfId="1108" priority="898">
      <formula>G290="n"</formula>
    </cfRule>
  </conditionalFormatting>
  <conditionalFormatting sqref="E290">
    <cfRule type="expression" dxfId="1107" priority="897">
      <formula>G290="n"</formula>
    </cfRule>
  </conditionalFormatting>
  <conditionalFormatting sqref="F292">
    <cfRule type="expression" dxfId="1106" priority="896">
      <formula>G292="n"</formula>
    </cfRule>
  </conditionalFormatting>
  <conditionalFormatting sqref="F292">
    <cfRule type="expression" dxfId="1105" priority="895">
      <formula>G292="n"</formula>
    </cfRule>
  </conditionalFormatting>
  <conditionalFormatting sqref="D292">
    <cfRule type="expression" dxfId="1104" priority="894">
      <formula>G292="n"</formula>
    </cfRule>
  </conditionalFormatting>
  <conditionalFormatting sqref="E292">
    <cfRule type="expression" dxfId="1103" priority="893">
      <formula>G292="n"</formula>
    </cfRule>
  </conditionalFormatting>
  <conditionalFormatting sqref="D292">
    <cfRule type="expression" dxfId="1102" priority="892">
      <formula>G292="n"</formula>
    </cfRule>
  </conditionalFormatting>
  <conditionalFormatting sqref="E292">
    <cfRule type="expression" dxfId="1101" priority="891">
      <formula>G292="n"</formula>
    </cfRule>
  </conditionalFormatting>
  <conditionalFormatting sqref="A292">
    <cfRule type="expression" dxfId="1100" priority="890">
      <formula>G292="n"</formula>
    </cfRule>
  </conditionalFormatting>
  <conditionalFormatting sqref="B292">
    <cfRule type="expression" dxfId="1099" priority="889">
      <formula>G292="n"</formula>
    </cfRule>
  </conditionalFormatting>
  <conditionalFormatting sqref="C292">
    <cfRule type="expression" dxfId="1098" priority="888">
      <formula>G292="n"</formula>
    </cfRule>
  </conditionalFormatting>
  <conditionalFormatting sqref="A292">
    <cfRule type="expression" dxfId="1097" priority="887">
      <formula>G292="n"</formula>
    </cfRule>
  </conditionalFormatting>
  <conditionalFormatting sqref="B292">
    <cfRule type="expression" dxfId="1096" priority="886">
      <formula>G292="n"</formula>
    </cfRule>
  </conditionalFormatting>
  <conditionalFormatting sqref="C292">
    <cfRule type="expression" dxfId="1095" priority="885">
      <formula>G292="n"</formula>
    </cfRule>
  </conditionalFormatting>
  <conditionalFormatting sqref="F293">
    <cfRule type="expression" dxfId="1094" priority="884">
      <formula>G293="n"</formula>
    </cfRule>
  </conditionalFormatting>
  <conditionalFormatting sqref="E293">
    <cfRule type="expression" dxfId="1093" priority="883">
      <formula>G293="n"</formula>
    </cfRule>
  </conditionalFormatting>
  <conditionalFormatting sqref="A293">
    <cfRule type="expression" dxfId="1092" priority="882">
      <formula>G293="n"</formula>
    </cfRule>
  </conditionalFormatting>
  <conditionalFormatting sqref="B293">
    <cfRule type="expression" dxfId="1091" priority="881">
      <formula>G293="n"</formula>
    </cfRule>
  </conditionalFormatting>
  <conditionalFormatting sqref="C293">
    <cfRule type="expression" dxfId="1090" priority="880">
      <formula>G293="n"</formula>
    </cfRule>
  </conditionalFormatting>
  <conditionalFormatting sqref="D293">
    <cfRule type="expression" dxfId="1089" priority="879">
      <formula>G293="n"</formula>
    </cfRule>
  </conditionalFormatting>
  <conditionalFormatting sqref="A293">
    <cfRule type="expression" dxfId="1088" priority="878">
      <formula>G293="n"</formula>
    </cfRule>
  </conditionalFormatting>
  <conditionalFormatting sqref="B293">
    <cfRule type="expression" dxfId="1087" priority="877">
      <formula>G293="n"</formula>
    </cfRule>
  </conditionalFormatting>
  <conditionalFormatting sqref="C293">
    <cfRule type="expression" dxfId="1086" priority="876">
      <formula>G293="n"</formula>
    </cfRule>
  </conditionalFormatting>
  <conditionalFormatting sqref="D293">
    <cfRule type="expression" dxfId="1085" priority="875">
      <formula>G293="n"</formula>
    </cfRule>
  </conditionalFormatting>
  <conditionalFormatting sqref="F294">
    <cfRule type="expression" dxfId="1084" priority="874">
      <formula>G294="n"</formula>
    </cfRule>
  </conditionalFormatting>
  <conditionalFormatting sqref="F294">
    <cfRule type="expression" dxfId="1083" priority="873">
      <formula>G294="n"</formula>
    </cfRule>
  </conditionalFormatting>
  <conditionalFormatting sqref="A294">
    <cfRule type="expression" dxfId="1082" priority="872">
      <formula>G294="n"</formula>
    </cfRule>
  </conditionalFormatting>
  <conditionalFormatting sqref="B294">
    <cfRule type="expression" dxfId="1081" priority="871">
      <formula>G294="n"</formula>
    </cfRule>
  </conditionalFormatting>
  <conditionalFormatting sqref="C294">
    <cfRule type="expression" dxfId="1080" priority="870">
      <formula>G294="n"</formula>
    </cfRule>
  </conditionalFormatting>
  <conditionalFormatting sqref="D294">
    <cfRule type="expression" dxfId="1079" priority="869">
      <formula>G294="n"</formula>
    </cfRule>
  </conditionalFormatting>
  <conditionalFormatting sqref="E294">
    <cfRule type="expression" dxfId="1078" priority="868">
      <formula>G294="n"</formula>
    </cfRule>
  </conditionalFormatting>
  <conditionalFormatting sqref="A294">
    <cfRule type="expression" dxfId="1077" priority="867">
      <formula>G294="n"</formula>
    </cfRule>
  </conditionalFormatting>
  <conditionalFormatting sqref="B294">
    <cfRule type="expression" dxfId="1076" priority="866">
      <formula>G294="n"</formula>
    </cfRule>
  </conditionalFormatting>
  <conditionalFormatting sqref="C294">
    <cfRule type="expression" dxfId="1075" priority="865">
      <formula>G294="n"</formula>
    </cfRule>
  </conditionalFormatting>
  <conditionalFormatting sqref="D294">
    <cfRule type="expression" dxfId="1074" priority="864">
      <formula>G294="n"</formula>
    </cfRule>
  </conditionalFormatting>
  <conditionalFormatting sqref="E294">
    <cfRule type="expression" dxfId="1073" priority="863">
      <formula>G294="n"</formula>
    </cfRule>
  </conditionalFormatting>
  <conditionalFormatting sqref="F295">
    <cfRule type="expression" dxfId="1072" priority="862">
      <formula>G295="n"</formula>
    </cfRule>
  </conditionalFormatting>
  <conditionalFormatting sqref="E295">
    <cfRule type="expression" dxfId="1071" priority="861">
      <formula>G295="n"</formula>
    </cfRule>
  </conditionalFormatting>
  <conditionalFormatting sqref="A295">
    <cfRule type="expression" dxfId="1070" priority="860">
      <formula>G295="n"</formula>
    </cfRule>
  </conditionalFormatting>
  <conditionalFormatting sqref="B295">
    <cfRule type="expression" dxfId="1069" priority="859">
      <formula>G295="n"</formula>
    </cfRule>
  </conditionalFormatting>
  <conditionalFormatting sqref="C295">
    <cfRule type="expression" dxfId="1068" priority="858">
      <formula>G295="n"</formula>
    </cfRule>
  </conditionalFormatting>
  <conditionalFormatting sqref="D295">
    <cfRule type="expression" dxfId="1067" priority="857">
      <formula>G295="n"</formula>
    </cfRule>
  </conditionalFormatting>
  <conditionalFormatting sqref="A295">
    <cfRule type="expression" dxfId="1066" priority="856">
      <formula>G295="n"</formula>
    </cfRule>
  </conditionalFormatting>
  <conditionalFormatting sqref="B295">
    <cfRule type="expression" dxfId="1065" priority="855">
      <formula>G295="n"</formula>
    </cfRule>
  </conditionalFormatting>
  <conditionalFormatting sqref="C295">
    <cfRule type="expression" dxfId="1064" priority="854">
      <formula>G295="n"</formula>
    </cfRule>
  </conditionalFormatting>
  <conditionalFormatting sqref="D295">
    <cfRule type="expression" dxfId="1063" priority="853">
      <formula>G295="n"</formula>
    </cfRule>
  </conditionalFormatting>
  <conditionalFormatting sqref="E296">
    <cfRule type="expression" dxfId="1062" priority="852">
      <formula>G296="n"</formula>
    </cfRule>
  </conditionalFormatting>
  <conditionalFormatting sqref="D296">
    <cfRule type="expression" dxfId="1061" priority="851">
      <formula>G296="n"</formula>
    </cfRule>
  </conditionalFormatting>
  <conditionalFormatting sqref="D296">
    <cfRule type="expression" dxfId="1060" priority="850">
      <formula>G296="n"</formula>
    </cfRule>
  </conditionalFormatting>
  <conditionalFormatting sqref="F296">
    <cfRule type="expression" dxfId="1059" priority="849">
      <formula>G296="n"</formula>
    </cfRule>
  </conditionalFormatting>
  <conditionalFormatting sqref="A296">
    <cfRule type="expression" dxfId="1058" priority="848">
      <formula>G296="n"</formula>
    </cfRule>
  </conditionalFormatting>
  <conditionalFormatting sqref="B296">
    <cfRule type="expression" dxfId="1057" priority="847">
      <formula>G296="n"</formula>
    </cfRule>
  </conditionalFormatting>
  <conditionalFormatting sqref="C296">
    <cfRule type="expression" dxfId="1056" priority="846">
      <formula>G296="n"</formula>
    </cfRule>
  </conditionalFormatting>
  <conditionalFormatting sqref="A296">
    <cfRule type="expression" dxfId="1055" priority="845">
      <formula>G296="n"</formula>
    </cfRule>
  </conditionalFormatting>
  <conditionalFormatting sqref="B296">
    <cfRule type="expression" dxfId="1054" priority="844">
      <formula>G296="n"</formula>
    </cfRule>
  </conditionalFormatting>
  <conditionalFormatting sqref="C296">
    <cfRule type="expression" dxfId="1053" priority="843">
      <formula>G296="n"</formula>
    </cfRule>
  </conditionalFormatting>
  <conditionalFormatting sqref="D297">
    <cfRule type="expression" dxfId="1052" priority="842">
      <formula>G297="n"</formula>
    </cfRule>
  </conditionalFormatting>
  <conditionalFormatting sqref="E297">
    <cfRule type="expression" dxfId="1051" priority="841">
      <formula>G297="n"</formula>
    </cfRule>
  </conditionalFormatting>
  <conditionalFormatting sqref="D297">
    <cfRule type="expression" dxfId="1050" priority="840">
      <formula>G297="n"</formula>
    </cfRule>
  </conditionalFormatting>
  <conditionalFormatting sqref="E297">
    <cfRule type="expression" dxfId="1049" priority="839">
      <formula>G297="n"</formula>
    </cfRule>
  </conditionalFormatting>
  <conditionalFormatting sqref="D299">
    <cfRule type="expression" dxfId="1048" priority="838">
      <formula>G299="n"</formula>
    </cfRule>
  </conditionalFormatting>
  <conditionalFormatting sqref="E299">
    <cfRule type="expression" dxfId="1047" priority="837">
      <formula>G299="n"</formula>
    </cfRule>
  </conditionalFormatting>
  <conditionalFormatting sqref="D299">
    <cfRule type="expression" dxfId="1046" priority="836">
      <formula>G299="n"</formula>
    </cfRule>
  </conditionalFormatting>
  <conditionalFormatting sqref="E299">
    <cfRule type="expression" dxfId="1045" priority="835">
      <formula>G299="n"</formula>
    </cfRule>
  </conditionalFormatting>
  <conditionalFormatting sqref="D304">
    <cfRule type="expression" dxfId="1044" priority="834">
      <formula>G304="n"</formula>
    </cfRule>
  </conditionalFormatting>
  <conditionalFormatting sqref="E304">
    <cfRule type="expression" dxfId="1043" priority="833">
      <formula>G304="n"</formula>
    </cfRule>
  </conditionalFormatting>
  <conditionalFormatting sqref="D304">
    <cfRule type="expression" dxfId="1042" priority="832">
      <formula>G304="n"</formula>
    </cfRule>
  </conditionalFormatting>
  <conditionalFormatting sqref="E304">
    <cfRule type="expression" dxfId="1041" priority="831">
      <formula>G304="n"</formula>
    </cfRule>
  </conditionalFormatting>
  <conditionalFormatting sqref="F297">
    <cfRule type="expression" dxfId="1040" priority="830">
      <formula>G297="n"</formula>
    </cfRule>
  </conditionalFormatting>
  <conditionalFormatting sqref="F297">
    <cfRule type="expression" dxfId="1039" priority="829">
      <formula>G297="n"</formula>
    </cfRule>
  </conditionalFormatting>
  <conditionalFormatting sqref="F299">
    <cfRule type="expression" dxfId="1038" priority="828">
      <formula>G299="n"</formula>
    </cfRule>
  </conditionalFormatting>
  <conditionalFormatting sqref="F299">
    <cfRule type="expression" dxfId="1037" priority="827">
      <formula>G299="n"</formula>
    </cfRule>
  </conditionalFormatting>
  <conditionalFormatting sqref="F304">
    <cfRule type="expression" dxfId="1036" priority="826">
      <formula>G304="n"</formula>
    </cfRule>
  </conditionalFormatting>
  <conditionalFormatting sqref="F304">
    <cfRule type="expression" dxfId="1035" priority="825">
      <formula>G304="n"</formula>
    </cfRule>
  </conditionalFormatting>
  <conditionalFormatting sqref="D297">
    <cfRule type="expression" dxfId="1034" priority="824">
      <formula>G297="n"</formula>
    </cfRule>
  </conditionalFormatting>
  <conditionalFormatting sqref="E297">
    <cfRule type="expression" dxfId="1033" priority="823">
      <formula>G297="n"</formula>
    </cfRule>
  </conditionalFormatting>
  <conditionalFormatting sqref="D297">
    <cfRule type="expression" dxfId="1032" priority="822">
      <formula>G297="n"</formula>
    </cfRule>
  </conditionalFormatting>
  <conditionalFormatting sqref="E297">
    <cfRule type="expression" dxfId="1031" priority="821">
      <formula>G297="n"</formula>
    </cfRule>
  </conditionalFormatting>
  <conditionalFormatting sqref="A297">
    <cfRule type="expression" dxfId="1030" priority="820">
      <formula>G297="n"</formula>
    </cfRule>
  </conditionalFormatting>
  <conditionalFormatting sqref="B297">
    <cfRule type="expression" dxfId="1029" priority="819">
      <formula>G297="n"</formula>
    </cfRule>
  </conditionalFormatting>
  <conditionalFormatting sqref="C297">
    <cfRule type="expression" dxfId="1028" priority="818">
      <formula>G297="n"</formula>
    </cfRule>
  </conditionalFormatting>
  <conditionalFormatting sqref="A297">
    <cfRule type="expression" dxfId="1027" priority="817">
      <formula>G297="n"</formula>
    </cfRule>
  </conditionalFormatting>
  <conditionalFormatting sqref="B297">
    <cfRule type="expression" dxfId="1026" priority="816">
      <formula>G297="n"</formula>
    </cfRule>
  </conditionalFormatting>
  <conditionalFormatting sqref="C297">
    <cfRule type="expression" dxfId="1025" priority="815">
      <formula>G297="n"</formula>
    </cfRule>
  </conditionalFormatting>
  <conditionalFormatting sqref="D299">
    <cfRule type="expression" dxfId="1024" priority="814">
      <formula>G299="n"</formula>
    </cfRule>
  </conditionalFormatting>
  <conditionalFormatting sqref="E299">
    <cfRule type="expression" dxfId="1023" priority="813">
      <formula>G299="n"</formula>
    </cfRule>
  </conditionalFormatting>
  <conditionalFormatting sqref="D299">
    <cfRule type="expression" dxfId="1022" priority="812">
      <formula>G299="n"</formula>
    </cfRule>
  </conditionalFormatting>
  <conditionalFormatting sqref="E299">
    <cfRule type="expression" dxfId="1021" priority="811">
      <formula>G299="n"</formula>
    </cfRule>
  </conditionalFormatting>
  <conditionalFormatting sqref="A299">
    <cfRule type="expression" dxfId="1020" priority="810">
      <formula>G299="n"</formula>
    </cfRule>
  </conditionalFormatting>
  <conditionalFormatting sqref="B299">
    <cfRule type="expression" dxfId="1019" priority="809">
      <formula>G299="n"</formula>
    </cfRule>
  </conditionalFormatting>
  <conditionalFormatting sqref="C299">
    <cfRule type="expression" dxfId="1018" priority="808">
      <formula>G299="n"</formula>
    </cfRule>
  </conditionalFormatting>
  <conditionalFormatting sqref="A299">
    <cfRule type="expression" dxfId="1017" priority="807">
      <formula>G299="n"</formula>
    </cfRule>
  </conditionalFormatting>
  <conditionalFormatting sqref="B299">
    <cfRule type="expression" dxfId="1016" priority="806">
      <formula>G299="n"</formula>
    </cfRule>
  </conditionalFormatting>
  <conditionalFormatting sqref="C299">
    <cfRule type="expression" dxfId="1015" priority="805">
      <formula>G299="n"</formula>
    </cfRule>
  </conditionalFormatting>
  <conditionalFormatting sqref="D304">
    <cfRule type="expression" dxfId="1014" priority="804">
      <formula>G304="n"</formula>
    </cfRule>
  </conditionalFormatting>
  <conditionalFormatting sqref="E304">
    <cfRule type="expression" dxfId="1013" priority="803">
      <formula>G304="n"</formula>
    </cfRule>
  </conditionalFormatting>
  <conditionalFormatting sqref="D304">
    <cfRule type="expression" dxfId="1012" priority="802">
      <formula>G304="n"</formula>
    </cfRule>
  </conditionalFormatting>
  <conditionalFormatting sqref="E304">
    <cfRule type="expression" dxfId="1011" priority="801">
      <formula>G304="n"</formula>
    </cfRule>
  </conditionalFormatting>
  <conditionalFormatting sqref="A304">
    <cfRule type="expression" dxfId="1010" priority="800">
      <formula>G304="n"</formula>
    </cfRule>
  </conditionalFormatting>
  <conditionalFormatting sqref="B304">
    <cfRule type="expression" dxfId="1009" priority="799">
      <formula>G304="n"</formula>
    </cfRule>
  </conditionalFormatting>
  <conditionalFormatting sqref="C304">
    <cfRule type="expression" dxfId="1008" priority="798">
      <formula>G304="n"</formula>
    </cfRule>
  </conditionalFormatting>
  <conditionalFormatting sqref="A304">
    <cfRule type="expression" dxfId="1007" priority="797">
      <formula>G304="n"</formula>
    </cfRule>
  </conditionalFormatting>
  <conditionalFormatting sqref="B304">
    <cfRule type="expression" dxfId="1006" priority="796">
      <formula>G304="n"</formula>
    </cfRule>
  </conditionalFormatting>
  <conditionalFormatting sqref="C304">
    <cfRule type="expression" dxfId="1005" priority="795">
      <formula>G304="n"</formula>
    </cfRule>
  </conditionalFormatting>
  <conditionalFormatting sqref="F298">
    <cfRule type="expression" dxfId="1004" priority="794">
      <formula>G298="n"</formula>
    </cfRule>
  </conditionalFormatting>
  <conditionalFormatting sqref="E298">
    <cfRule type="expression" dxfId="1003" priority="793">
      <formula>G298="n"</formula>
    </cfRule>
  </conditionalFormatting>
  <conditionalFormatting sqref="A298">
    <cfRule type="expression" dxfId="1002" priority="792">
      <formula>G298="n"</formula>
    </cfRule>
  </conditionalFormatting>
  <conditionalFormatting sqref="B298">
    <cfRule type="expression" dxfId="1001" priority="791">
      <formula>G298="n"</formula>
    </cfRule>
  </conditionalFormatting>
  <conditionalFormatting sqref="C298">
    <cfRule type="expression" dxfId="1000" priority="790">
      <formula>G298="n"</formula>
    </cfRule>
  </conditionalFormatting>
  <conditionalFormatting sqref="D298">
    <cfRule type="expression" dxfId="999" priority="789">
      <formula>G298="n"</formula>
    </cfRule>
  </conditionalFormatting>
  <conditionalFormatting sqref="A298">
    <cfRule type="expression" dxfId="998" priority="788">
      <formula>G298="n"</formula>
    </cfRule>
  </conditionalFormatting>
  <conditionalFormatting sqref="B298">
    <cfRule type="expression" dxfId="997" priority="787">
      <formula>G298="n"</formula>
    </cfRule>
  </conditionalFormatting>
  <conditionalFormatting sqref="C298">
    <cfRule type="expression" dxfId="996" priority="786">
      <formula>G298="n"</formula>
    </cfRule>
  </conditionalFormatting>
  <conditionalFormatting sqref="D298">
    <cfRule type="expression" dxfId="995" priority="785">
      <formula>G298="n"</formula>
    </cfRule>
  </conditionalFormatting>
  <conditionalFormatting sqref="F300">
    <cfRule type="expression" dxfId="994" priority="784">
      <formula>G300="n"</formula>
    </cfRule>
  </conditionalFormatting>
  <conditionalFormatting sqref="E300">
    <cfRule type="expression" dxfId="993" priority="783">
      <formula>G300="n"</formula>
    </cfRule>
  </conditionalFormatting>
  <conditionalFormatting sqref="A300">
    <cfRule type="expression" dxfId="992" priority="782">
      <formula>G300="n"</formula>
    </cfRule>
  </conditionalFormatting>
  <conditionalFormatting sqref="B300">
    <cfRule type="expression" dxfId="991" priority="781">
      <formula>G300="n"</formula>
    </cfRule>
  </conditionalFormatting>
  <conditionalFormatting sqref="C300">
    <cfRule type="expression" dxfId="990" priority="780">
      <formula>G300="n"</formula>
    </cfRule>
  </conditionalFormatting>
  <conditionalFormatting sqref="D300">
    <cfRule type="expression" dxfId="989" priority="779">
      <formula>G300="n"</formula>
    </cfRule>
  </conditionalFormatting>
  <conditionalFormatting sqref="A300">
    <cfRule type="expression" dxfId="988" priority="778">
      <formula>G300="n"</formula>
    </cfRule>
  </conditionalFormatting>
  <conditionalFormatting sqref="B300">
    <cfRule type="expression" dxfId="987" priority="777">
      <formula>G300="n"</formula>
    </cfRule>
  </conditionalFormatting>
  <conditionalFormatting sqref="C300">
    <cfRule type="expression" dxfId="986" priority="776">
      <formula>G300="n"</formula>
    </cfRule>
  </conditionalFormatting>
  <conditionalFormatting sqref="D300">
    <cfRule type="expression" dxfId="985" priority="775">
      <formula>G300="n"</formula>
    </cfRule>
  </conditionalFormatting>
  <conditionalFormatting sqref="E302">
    <cfRule type="expression" dxfId="984" priority="774">
      <formula>G302="n"</formula>
    </cfRule>
  </conditionalFormatting>
  <conditionalFormatting sqref="D302">
    <cfRule type="expression" dxfId="983" priority="773">
      <formula>G302="n"</formula>
    </cfRule>
  </conditionalFormatting>
  <conditionalFormatting sqref="D302">
    <cfRule type="expression" dxfId="982" priority="772">
      <formula>G302="n"</formula>
    </cfRule>
  </conditionalFormatting>
  <conditionalFormatting sqref="F302">
    <cfRule type="expression" dxfId="981" priority="771">
      <formula>G302="n"</formula>
    </cfRule>
  </conditionalFormatting>
  <conditionalFormatting sqref="E303">
    <cfRule type="expression" dxfId="980" priority="770">
      <formula>G303="n"</formula>
    </cfRule>
  </conditionalFormatting>
  <conditionalFormatting sqref="D303">
    <cfRule type="expression" dxfId="979" priority="769">
      <formula>G303="n"</formula>
    </cfRule>
  </conditionalFormatting>
  <conditionalFormatting sqref="D303">
    <cfRule type="expression" dxfId="978" priority="768">
      <formula>G303="n"</formula>
    </cfRule>
  </conditionalFormatting>
  <conditionalFormatting sqref="F303">
    <cfRule type="expression" dxfId="977" priority="767">
      <formula>G303="n"</formula>
    </cfRule>
  </conditionalFormatting>
  <conditionalFormatting sqref="A302">
    <cfRule type="expression" dxfId="976" priority="766">
      <formula>G302="n"</formula>
    </cfRule>
  </conditionalFormatting>
  <conditionalFormatting sqref="B302">
    <cfRule type="expression" dxfId="975" priority="765">
      <formula>G302="n"</formula>
    </cfRule>
  </conditionalFormatting>
  <conditionalFormatting sqref="C302">
    <cfRule type="expression" dxfId="974" priority="764">
      <formula>G302="n"</formula>
    </cfRule>
  </conditionalFormatting>
  <conditionalFormatting sqref="A302">
    <cfRule type="expression" dxfId="973" priority="763">
      <formula>G302="n"</formula>
    </cfRule>
  </conditionalFormatting>
  <conditionalFormatting sqref="B302">
    <cfRule type="expression" dxfId="972" priority="762">
      <formula>G302="n"</formula>
    </cfRule>
  </conditionalFormatting>
  <conditionalFormatting sqref="C302">
    <cfRule type="expression" dxfId="971" priority="761">
      <formula>G302="n"</formula>
    </cfRule>
  </conditionalFormatting>
  <conditionalFormatting sqref="A303">
    <cfRule type="expression" dxfId="970" priority="760">
      <formula>G303="n"</formula>
    </cfRule>
  </conditionalFormatting>
  <conditionalFormatting sqref="B303">
    <cfRule type="expression" dxfId="969" priority="759">
      <formula>G303="n"</formula>
    </cfRule>
  </conditionalFormatting>
  <conditionalFormatting sqref="C303">
    <cfRule type="expression" dxfId="968" priority="758">
      <formula>G303="n"</formula>
    </cfRule>
  </conditionalFormatting>
  <conditionalFormatting sqref="A303">
    <cfRule type="expression" dxfId="967" priority="757">
      <formula>G303="n"</formula>
    </cfRule>
  </conditionalFormatting>
  <conditionalFormatting sqref="B303">
    <cfRule type="expression" dxfId="966" priority="756">
      <formula>G303="n"</formula>
    </cfRule>
  </conditionalFormatting>
  <conditionalFormatting sqref="C303">
    <cfRule type="expression" dxfId="965" priority="755">
      <formula>G303="n"</formula>
    </cfRule>
  </conditionalFormatting>
  <conditionalFormatting sqref="D306">
    <cfRule type="expression" dxfId="964" priority="754">
      <formula>G306="n"</formula>
    </cfRule>
  </conditionalFormatting>
  <conditionalFormatting sqref="E306">
    <cfRule type="expression" dxfId="963" priority="753">
      <formula>G306="n"</formula>
    </cfRule>
  </conditionalFormatting>
  <conditionalFormatting sqref="D306">
    <cfRule type="expression" dxfId="962" priority="752">
      <formula>G306="n"</formula>
    </cfRule>
  </conditionalFormatting>
  <conditionalFormatting sqref="E306">
    <cfRule type="expression" dxfId="961" priority="751">
      <formula>G306="n"</formula>
    </cfRule>
  </conditionalFormatting>
  <conditionalFormatting sqref="D306">
    <cfRule type="expression" dxfId="960" priority="750">
      <formula>G306="n"</formula>
    </cfRule>
  </conditionalFormatting>
  <conditionalFormatting sqref="E306">
    <cfRule type="expression" dxfId="959" priority="749">
      <formula>G306="n"</formula>
    </cfRule>
  </conditionalFormatting>
  <conditionalFormatting sqref="D306">
    <cfRule type="expression" dxfId="958" priority="748">
      <formula>G306="n"</formula>
    </cfRule>
  </conditionalFormatting>
  <conditionalFormatting sqref="E306">
    <cfRule type="expression" dxfId="957" priority="747">
      <formula>G306="n"</formula>
    </cfRule>
  </conditionalFormatting>
  <conditionalFormatting sqref="F306">
    <cfRule type="expression" dxfId="956" priority="746">
      <formula>G306="n"</formula>
    </cfRule>
  </conditionalFormatting>
  <conditionalFormatting sqref="F306">
    <cfRule type="expression" dxfId="955" priority="745">
      <formula>G306="n"</formula>
    </cfRule>
  </conditionalFormatting>
  <conditionalFormatting sqref="A306">
    <cfRule type="expression" dxfId="954" priority="744">
      <formula>G306="n"</formula>
    </cfRule>
  </conditionalFormatting>
  <conditionalFormatting sqref="B306">
    <cfRule type="expression" dxfId="953" priority="743">
      <formula>G306="n"</formula>
    </cfRule>
  </conditionalFormatting>
  <conditionalFormatting sqref="C306">
    <cfRule type="expression" dxfId="952" priority="742">
      <formula>G306="n"</formula>
    </cfRule>
  </conditionalFormatting>
  <conditionalFormatting sqref="A306">
    <cfRule type="expression" dxfId="951" priority="741">
      <formula>G306="n"</formula>
    </cfRule>
  </conditionalFormatting>
  <conditionalFormatting sqref="B306">
    <cfRule type="expression" dxfId="950" priority="740">
      <formula>G306="n"</formula>
    </cfRule>
  </conditionalFormatting>
  <conditionalFormatting sqref="C306">
    <cfRule type="expression" dxfId="949" priority="739">
      <formula>G306="n"</formula>
    </cfRule>
  </conditionalFormatting>
  <conditionalFormatting sqref="F307:F308">
    <cfRule type="expression" dxfId="948" priority="738">
      <formula>G307="n"</formula>
    </cfRule>
  </conditionalFormatting>
  <conditionalFormatting sqref="E307:E308">
    <cfRule type="expression" dxfId="947" priority="737">
      <formula>G307="n"</formula>
    </cfRule>
  </conditionalFormatting>
  <conditionalFormatting sqref="A307:A308">
    <cfRule type="expression" dxfId="946" priority="736">
      <formula>G307="n"</formula>
    </cfRule>
  </conditionalFormatting>
  <conditionalFormatting sqref="B307:B308">
    <cfRule type="expression" dxfId="945" priority="735">
      <formula>G307="n"</formula>
    </cfRule>
  </conditionalFormatting>
  <conditionalFormatting sqref="C307:C308">
    <cfRule type="expression" dxfId="944" priority="734">
      <formula>G307="n"</formula>
    </cfRule>
  </conditionalFormatting>
  <conditionalFormatting sqref="D307:D308">
    <cfRule type="expression" dxfId="943" priority="733">
      <formula>G307="n"</formula>
    </cfRule>
  </conditionalFormatting>
  <conditionalFormatting sqref="A307:A308">
    <cfRule type="expression" dxfId="942" priority="732">
      <formula>G307="n"</formula>
    </cfRule>
  </conditionalFormatting>
  <conditionalFormatting sqref="B307:B308">
    <cfRule type="expression" dxfId="941" priority="731">
      <formula>G307="n"</formula>
    </cfRule>
  </conditionalFormatting>
  <conditionalFormatting sqref="C307:C308">
    <cfRule type="expression" dxfId="940" priority="730">
      <formula>G307="n"</formula>
    </cfRule>
  </conditionalFormatting>
  <conditionalFormatting sqref="D307:D308">
    <cfRule type="expression" dxfId="939" priority="729">
      <formula>G307="n"</formula>
    </cfRule>
  </conditionalFormatting>
  <conditionalFormatting sqref="F324">
    <cfRule type="expression" dxfId="938" priority="728">
      <formula>G324="n"</formula>
    </cfRule>
  </conditionalFormatting>
  <conditionalFormatting sqref="F324">
    <cfRule type="expression" dxfId="937" priority="727">
      <formula>G324="n"</formula>
    </cfRule>
  </conditionalFormatting>
  <conditionalFormatting sqref="D324">
    <cfRule type="expression" dxfId="936" priority="726">
      <formula>G324="n"</formula>
    </cfRule>
  </conditionalFormatting>
  <conditionalFormatting sqref="E324">
    <cfRule type="expression" dxfId="935" priority="725">
      <formula>G324="n"</formula>
    </cfRule>
  </conditionalFormatting>
  <conditionalFormatting sqref="D324">
    <cfRule type="expression" dxfId="934" priority="724">
      <formula>G324="n"</formula>
    </cfRule>
  </conditionalFormatting>
  <conditionalFormatting sqref="E324">
    <cfRule type="expression" dxfId="933" priority="723">
      <formula>G324="n"</formula>
    </cfRule>
  </conditionalFormatting>
  <conditionalFormatting sqref="D324">
    <cfRule type="expression" dxfId="932" priority="722">
      <formula>G324="n"</formula>
    </cfRule>
  </conditionalFormatting>
  <conditionalFormatting sqref="E324">
    <cfRule type="expression" dxfId="931" priority="721">
      <formula>G324="n"</formula>
    </cfRule>
  </conditionalFormatting>
  <conditionalFormatting sqref="D324">
    <cfRule type="expression" dxfId="930" priority="720">
      <formula>G324="n"</formula>
    </cfRule>
  </conditionalFormatting>
  <conditionalFormatting sqref="E324">
    <cfRule type="expression" dxfId="929" priority="719">
      <formula>G324="n"</formula>
    </cfRule>
  </conditionalFormatting>
  <conditionalFormatting sqref="A324">
    <cfRule type="expression" dxfId="928" priority="718">
      <formula>G324="n"</formula>
    </cfRule>
  </conditionalFormatting>
  <conditionalFormatting sqref="B324">
    <cfRule type="expression" dxfId="927" priority="717">
      <formula>G324="n"</formula>
    </cfRule>
  </conditionalFormatting>
  <conditionalFormatting sqref="C324">
    <cfRule type="expression" dxfId="926" priority="716">
      <formula>G324="n"</formula>
    </cfRule>
  </conditionalFormatting>
  <conditionalFormatting sqref="A324">
    <cfRule type="expression" dxfId="925" priority="715">
      <formula>G324="n"</formula>
    </cfRule>
  </conditionalFormatting>
  <conditionalFormatting sqref="B324">
    <cfRule type="expression" dxfId="924" priority="714">
      <formula>G324="n"</formula>
    </cfRule>
  </conditionalFormatting>
  <conditionalFormatting sqref="C324">
    <cfRule type="expression" dxfId="923" priority="713">
      <formula>G324="n"</formula>
    </cfRule>
  </conditionalFormatting>
  <conditionalFormatting sqref="F325">
    <cfRule type="expression" dxfId="922" priority="712">
      <formula>G325="n"</formula>
    </cfRule>
  </conditionalFormatting>
  <conditionalFormatting sqref="E325">
    <cfRule type="expression" dxfId="921" priority="711">
      <formula>G325="n"</formula>
    </cfRule>
  </conditionalFormatting>
  <conditionalFormatting sqref="A325">
    <cfRule type="expression" dxfId="920" priority="710">
      <formula>G325="n"</formula>
    </cfRule>
  </conditionalFormatting>
  <conditionalFormatting sqref="B325">
    <cfRule type="expression" dxfId="919" priority="709">
      <formula>G325="n"</formula>
    </cfRule>
  </conditionalFormatting>
  <conditionalFormatting sqref="C325">
    <cfRule type="expression" dxfId="918" priority="708">
      <formula>G325="n"</formula>
    </cfRule>
  </conditionalFormatting>
  <conditionalFormatting sqref="D325">
    <cfRule type="expression" dxfId="917" priority="707">
      <formula>G325="n"</formula>
    </cfRule>
  </conditionalFormatting>
  <conditionalFormatting sqref="A325">
    <cfRule type="expression" dxfId="916" priority="706">
      <formula>G325="n"</formula>
    </cfRule>
  </conditionalFormatting>
  <conditionalFormatting sqref="B325">
    <cfRule type="expression" dxfId="915" priority="705">
      <formula>G325="n"</formula>
    </cfRule>
  </conditionalFormatting>
  <conditionalFormatting sqref="C325">
    <cfRule type="expression" dxfId="914" priority="704">
      <formula>G325="n"</formula>
    </cfRule>
  </conditionalFormatting>
  <conditionalFormatting sqref="D325">
    <cfRule type="expression" dxfId="913" priority="703">
      <formula>G325="n"</formula>
    </cfRule>
  </conditionalFormatting>
  <conditionalFormatting sqref="A320">
    <cfRule type="expression" dxfId="912" priority="702">
      <formula>G320="n"</formula>
    </cfRule>
  </conditionalFormatting>
  <conditionalFormatting sqref="B320">
    <cfRule type="expression" dxfId="911" priority="701">
      <formula>G320="n"</formula>
    </cfRule>
  </conditionalFormatting>
  <conditionalFormatting sqref="C320">
    <cfRule type="expression" dxfId="910" priority="700">
      <formula>G320="n"</formula>
    </cfRule>
  </conditionalFormatting>
  <conditionalFormatting sqref="A320">
    <cfRule type="expression" dxfId="909" priority="699">
      <formula>G320="n"</formula>
    </cfRule>
  </conditionalFormatting>
  <conditionalFormatting sqref="B320">
    <cfRule type="expression" dxfId="908" priority="698">
      <formula>G320="n"</formula>
    </cfRule>
  </conditionalFormatting>
  <conditionalFormatting sqref="C320">
    <cfRule type="expression" dxfId="907" priority="697">
      <formula>G320="n"</formula>
    </cfRule>
  </conditionalFormatting>
  <conditionalFormatting sqref="D320">
    <cfRule type="expression" dxfId="906" priority="696">
      <formula>G320="n"</formula>
    </cfRule>
  </conditionalFormatting>
  <conditionalFormatting sqref="D320">
    <cfRule type="expression" dxfId="905" priority="695">
      <formula>G320="n"</formula>
    </cfRule>
  </conditionalFormatting>
  <conditionalFormatting sqref="F320">
    <cfRule type="expression" dxfId="904" priority="694">
      <formula>G320="n"</formula>
    </cfRule>
  </conditionalFormatting>
  <conditionalFormatting sqref="E320">
    <cfRule type="expression" dxfId="903" priority="693">
      <formula>G320="n"</formula>
    </cfRule>
  </conditionalFormatting>
  <conditionalFormatting sqref="E320">
    <cfRule type="expression" dxfId="902" priority="692">
      <formula>G320="n"</formula>
    </cfRule>
  </conditionalFormatting>
  <conditionalFormatting sqref="E320">
    <cfRule type="expression" dxfId="901" priority="691">
      <formula>G320="n"</formula>
    </cfRule>
  </conditionalFormatting>
  <conditionalFormatting sqref="E320">
    <cfRule type="expression" dxfId="900" priority="690">
      <formula>G320="n"</formula>
    </cfRule>
  </conditionalFormatting>
  <conditionalFormatting sqref="D321">
    <cfRule type="expression" dxfId="899" priority="689">
      <formula>G321="n"</formula>
    </cfRule>
  </conditionalFormatting>
  <conditionalFormatting sqref="D321">
    <cfRule type="expression" dxfId="898" priority="688">
      <formula>G321="n"</formula>
    </cfRule>
  </conditionalFormatting>
  <conditionalFormatting sqref="D322">
    <cfRule type="expression" dxfId="897" priority="687">
      <formula>G322="n"</formula>
    </cfRule>
  </conditionalFormatting>
  <conditionalFormatting sqref="D322">
    <cfRule type="expression" dxfId="896" priority="686">
      <formula>G322="n"</formula>
    </cfRule>
  </conditionalFormatting>
  <conditionalFormatting sqref="D323">
    <cfRule type="expression" dxfId="895" priority="685">
      <formula>G323="n"</formula>
    </cfRule>
  </conditionalFormatting>
  <conditionalFormatting sqref="D323">
    <cfRule type="expression" dxfId="894" priority="684">
      <formula>G323="n"</formula>
    </cfRule>
  </conditionalFormatting>
  <conditionalFormatting sqref="F321">
    <cfRule type="expression" dxfId="893" priority="683">
      <formula>G321="n"</formula>
    </cfRule>
  </conditionalFormatting>
  <conditionalFormatting sqref="E321">
    <cfRule type="expression" dxfId="892" priority="682">
      <formula>G321="n"</formula>
    </cfRule>
  </conditionalFormatting>
  <conditionalFormatting sqref="E321">
    <cfRule type="expression" dxfId="891" priority="681">
      <formula>G321="n"</formula>
    </cfRule>
  </conditionalFormatting>
  <conditionalFormatting sqref="E321">
    <cfRule type="expression" dxfId="890" priority="680">
      <formula>G321="n"</formula>
    </cfRule>
  </conditionalFormatting>
  <conditionalFormatting sqref="E321">
    <cfRule type="expression" dxfId="889" priority="679">
      <formula>G321="n"</formula>
    </cfRule>
  </conditionalFormatting>
  <conditionalFormatting sqref="F322">
    <cfRule type="expression" dxfId="888" priority="678">
      <formula>G322="n"</formula>
    </cfRule>
  </conditionalFormatting>
  <conditionalFormatting sqref="E322">
    <cfRule type="expression" dxfId="887" priority="677">
      <formula>G322="n"</formula>
    </cfRule>
  </conditionalFormatting>
  <conditionalFormatting sqref="E322">
    <cfRule type="expression" dxfId="886" priority="676">
      <formula>G322="n"</formula>
    </cfRule>
  </conditionalFormatting>
  <conditionalFormatting sqref="E322">
    <cfRule type="expression" dxfId="885" priority="675">
      <formula>G322="n"</formula>
    </cfRule>
  </conditionalFormatting>
  <conditionalFormatting sqref="E322">
    <cfRule type="expression" dxfId="884" priority="674">
      <formula>G322="n"</formula>
    </cfRule>
  </conditionalFormatting>
  <conditionalFormatting sqref="F323">
    <cfRule type="expression" dxfId="883" priority="673">
      <formula>G323="n"</formula>
    </cfRule>
  </conditionalFormatting>
  <conditionalFormatting sqref="E323">
    <cfRule type="expression" dxfId="882" priority="672">
      <formula>G323="n"</formula>
    </cfRule>
  </conditionalFormatting>
  <conditionalFormatting sqref="E323">
    <cfRule type="expression" dxfId="881" priority="671">
      <formula>G323="n"</formula>
    </cfRule>
  </conditionalFormatting>
  <conditionalFormatting sqref="E323">
    <cfRule type="expression" dxfId="880" priority="670">
      <formula>G323="n"</formula>
    </cfRule>
  </conditionalFormatting>
  <conditionalFormatting sqref="E323">
    <cfRule type="expression" dxfId="879" priority="669">
      <formula>G323="n"</formula>
    </cfRule>
  </conditionalFormatting>
  <conditionalFormatting sqref="A321">
    <cfRule type="expression" dxfId="878" priority="668">
      <formula>G321="n"</formula>
    </cfRule>
  </conditionalFormatting>
  <conditionalFormatting sqref="B321">
    <cfRule type="expression" dxfId="877" priority="667">
      <formula>G321="n"</formula>
    </cfRule>
  </conditionalFormatting>
  <conditionalFormatting sqref="C321">
    <cfRule type="expression" dxfId="876" priority="666">
      <formula>G321="n"</formula>
    </cfRule>
  </conditionalFormatting>
  <conditionalFormatting sqref="A321">
    <cfRule type="expression" dxfId="875" priority="665">
      <formula>G321="n"</formula>
    </cfRule>
  </conditionalFormatting>
  <conditionalFormatting sqref="B321">
    <cfRule type="expression" dxfId="874" priority="664">
      <formula>G321="n"</formula>
    </cfRule>
  </conditionalFormatting>
  <conditionalFormatting sqref="C321">
    <cfRule type="expression" dxfId="873" priority="663">
      <formula>G321="n"</formula>
    </cfRule>
  </conditionalFormatting>
  <conditionalFormatting sqref="A322">
    <cfRule type="expression" dxfId="872" priority="662">
      <formula>G322="n"</formula>
    </cfRule>
  </conditionalFormatting>
  <conditionalFormatting sqref="B322">
    <cfRule type="expression" dxfId="871" priority="661">
      <formula>G322="n"</formula>
    </cfRule>
  </conditionalFormatting>
  <conditionalFormatting sqref="C322">
    <cfRule type="expression" dxfId="870" priority="660">
      <formula>G322="n"</formula>
    </cfRule>
  </conditionalFormatting>
  <conditionalFormatting sqref="A322">
    <cfRule type="expression" dxfId="869" priority="659">
      <formula>G322="n"</formula>
    </cfRule>
  </conditionalFormatting>
  <conditionalFormatting sqref="B322">
    <cfRule type="expression" dxfId="868" priority="658">
      <formula>G322="n"</formula>
    </cfRule>
  </conditionalFormatting>
  <conditionalFormatting sqref="C322">
    <cfRule type="expression" dxfId="867" priority="657">
      <formula>G322="n"</formula>
    </cfRule>
  </conditionalFormatting>
  <conditionalFormatting sqref="A323">
    <cfRule type="expression" dxfId="866" priority="656">
      <formula>G323="n"</formula>
    </cfRule>
  </conditionalFormatting>
  <conditionalFormatting sqref="B323">
    <cfRule type="expression" dxfId="865" priority="655">
      <formula>G323="n"</formula>
    </cfRule>
  </conditionalFormatting>
  <conditionalFormatting sqref="C323">
    <cfRule type="expression" dxfId="864" priority="654">
      <formula>G323="n"</formula>
    </cfRule>
  </conditionalFormatting>
  <conditionalFormatting sqref="A323">
    <cfRule type="expression" dxfId="863" priority="653">
      <formula>G323="n"</formula>
    </cfRule>
  </conditionalFormatting>
  <conditionalFormatting sqref="B323">
    <cfRule type="expression" dxfId="862" priority="652">
      <formula>G323="n"</formula>
    </cfRule>
  </conditionalFormatting>
  <conditionalFormatting sqref="C323">
    <cfRule type="expression" dxfId="861" priority="651">
      <formula>G323="n"</formula>
    </cfRule>
  </conditionalFormatting>
  <conditionalFormatting sqref="D329">
    <cfRule type="expression" dxfId="860" priority="650">
      <formula>G329="n"</formula>
    </cfRule>
  </conditionalFormatting>
  <conditionalFormatting sqref="D329">
    <cfRule type="expression" dxfId="859" priority="649">
      <formula>G329="n"</formula>
    </cfRule>
  </conditionalFormatting>
  <conditionalFormatting sqref="D330">
    <cfRule type="expression" dxfId="858" priority="648">
      <formula>G330="n"</formula>
    </cfRule>
  </conditionalFormatting>
  <conditionalFormatting sqref="D330">
    <cfRule type="expression" dxfId="857" priority="647">
      <formula>G330="n"</formula>
    </cfRule>
  </conditionalFormatting>
  <conditionalFormatting sqref="D331">
    <cfRule type="expression" dxfId="856" priority="646">
      <formula>G331="n"</formula>
    </cfRule>
  </conditionalFormatting>
  <conditionalFormatting sqref="D331">
    <cfRule type="expression" dxfId="855" priority="645">
      <formula>G331="n"</formula>
    </cfRule>
  </conditionalFormatting>
  <conditionalFormatting sqref="D332">
    <cfRule type="expression" dxfId="854" priority="644">
      <formula>G332="n"</formula>
    </cfRule>
  </conditionalFormatting>
  <conditionalFormatting sqref="D332">
    <cfRule type="expression" dxfId="853" priority="643">
      <formula>G332="n"</formula>
    </cfRule>
  </conditionalFormatting>
  <conditionalFormatting sqref="F329">
    <cfRule type="expression" dxfId="852" priority="642">
      <formula>G329="n"</formula>
    </cfRule>
  </conditionalFormatting>
  <conditionalFormatting sqref="E329">
    <cfRule type="expression" dxfId="851" priority="641">
      <formula>G329="n"</formula>
    </cfRule>
  </conditionalFormatting>
  <conditionalFormatting sqref="E329">
    <cfRule type="expression" dxfId="850" priority="640">
      <formula>G329="n"</formula>
    </cfRule>
  </conditionalFormatting>
  <conditionalFormatting sqref="E329">
    <cfRule type="expression" dxfId="849" priority="639">
      <formula>G329="n"</formula>
    </cfRule>
  </conditionalFormatting>
  <conditionalFormatting sqref="E329">
    <cfRule type="expression" dxfId="848" priority="638">
      <formula>G329="n"</formula>
    </cfRule>
  </conditionalFormatting>
  <conditionalFormatting sqref="F330">
    <cfRule type="expression" dxfId="847" priority="637">
      <formula>G330="n"</formula>
    </cfRule>
  </conditionalFormatting>
  <conditionalFormatting sqref="E330">
    <cfRule type="expression" dxfId="846" priority="636">
      <formula>G330="n"</formula>
    </cfRule>
  </conditionalFormatting>
  <conditionalFormatting sqref="E330">
    <cfRule type="expression" dxfId="845" priority="635">
      <formula>G330="n"</formula>
    </cfRule>
  </conditionalFormatting>
  <conditionalFormatting sqref="E330">
    <cfRule type="expression" dxfId="844" priority="634">
      <formula>G330="n"</formula>
    </cfRule>
  </conditionalFormatting>
  <conditionalFormatting sqref="E330">
    <cfRule type="expression" dxfId="843" priority="633">
      <formula>G330="n"</formula>
    </cfRule>
  </conditionalFormatting>
  <conditionalFormatting sqref="F331">
    <cfRule type="expression" dxfId="842" priority="632">
      <formula>G331="n"</formula>
    </cfRule>
  </conditionalFormatting>
  <conditionalFormatting sqref="E331">
    <cfRule type="expression" dxfId="841" priority="631">
      <formula>G331="n"</formula>
    </cfRule>
  </conditionalFormatting>
  <conditionalFormatting sqref="E331">
    <cfRule type="expression" dxfId="840" priority="630">
      <formula>G331="n"</formula>
    </cfRule>
  </conditionalFormatting>
  <conditionalFormatting sqref="E331">
    <cfRule type="expression" dxfId="839" priority="629">
      <formula>G331="n"</formula>
    </cfRule>
  </conditionalFormatting>
  <conditionalFormatting sqref="E331">
    <cfRule type="expression" dxfId="838" priority="628">
      <formula>G331="n"</formula>
    </cfRule>
  </conditionalFormatting>
  <conditionalFormatting sqref="F332">
    <cfRule type="expression" dxfId="837" priority="627">
      <formula>G332="n"</formula>
    </cfRule>
  </conditionalFormatting>
  <conditionalFormatting sqref="E332">
    <cfRule type="expression" dxfId="836" priority="626">
      <formula>G332="n"</formula>
    </cfRule>
  </conditionalFormatting>
  <conditionalFormatting sqref="E332">
    <cfRule type="expression" dxfId="835" priority="625">
      <formula>G332="n"</formula>
    </cfRule>
  </conditionalFormatting>
  <conditionalFormatting sqref="E332">
    <cfRule type="expression" dxfId="834" priority="624">
      <formula>G332="n"</formula>
    </cfRule>
  </conditionalFormatting>
  <conditionalFormatting sqref="E332">
    <cfRule type="expression" dxfId="833" priority="623">
      <formula>G332="n"</formula>
    </cfRule>
  </conditionalFormatting>
  <conditionalFormatting sqref="A329">
    <cfRule type="expression" dxfId="832" priority="622">
      <formula>G329="n"</formula>
    </cfRule>
  </conditionalFormatting>
  <conditionalFormatting sqref="B329">
    <cfRule type="expression" dxfId="831" priority="621">
      <formula>G329="n"</formula>
    </cfRule>
  </conditionalFormatting>
  <conditionalFormatting sqref="C329">
    <cfRule type="expression" dxfId="830" priority="620">
      <formula>G329="n"</formula>
    </cfRule>
  </conditionalFormatting>
  <conditionalFormatting sqref="A329">
    <cfRule type="expression" dxfId="829" priority="619">
      <formula>G329="n"</formula>
    </cfRule>
  </conditionalFormatting>
  <conditionalFormatting sqref="B329">
    <cfRule type="expression" dxfId="828" priority="618">
      <formula>G329="n"</formula>
    </cfRule>
  </conditionalFormatting>
  <conditionalFormatting sqref="C329">
    <cfRule type="expression" dxfId="827" priority="617">
      <formula>G329="n"</formula>
    </cfRule>
  </conditionalFormatting>
  <conditionalFormatting sqref="A330">
    <cfRule type="expression" dxfId="826" priority="616">
      <formula>G330="n"</formula>
    </cfRule>
  </conditionalFormatting>
  <conditionalFormatting sqref="B330">
    <cfRule type="expression" dxfId="825" priority="615">
      <formula>G330="n"</formula>
    </cfRule>
  </conditionalFormatting>
  <conditionalFormatting sqref="C330">
    <cfRule type="expression" dxfId="824" priority="614">
      <formula>G330="n"</formula>
    </cfRule>
  </conditionalFormatting>
  <conditionalFormatting sqref="A330">
    <cfRule type="expression" dxfId="823" priority="613">
      <formula>G330="n"</formula>
    </cfRule>
  </conditionalFormatting>
  <conditionalFormatting sqref="B330">
    <cfRule type="expression" dxfId="822" priority="612">
      <formula>G330="n"</formula>
    </cfRule>
  </conditionalFormatting>
  <conditionalFormatting sqref="C330">
    <cfRule type="expression" dxfId="821" priority="611">
      <formula>G330="n"</formula>
    </cfRule>
  </conditionalFormatting>
  <conditionalFormatting sqref="A331">
    <cfRule type="expression" dxfId="820" priority="610">
      <formula>G331="n"</formula>
    </cfRule>
  </conditionalFormatting>
  <conditionalFormatting sqref="B331">
    <cfRule type="expression" dxfId="819" priority="609">
      <formula>G331="n"</formula>
    </cfRule>
  </conditionalFormatting>
  <conditionalFormatting sqref="C331">
    <cfRule type="expression" dxfId="818" priority="608">
      <formula>G331="n"</formula>
    </cfRule>
  </conditionalFormatting>
  <conditionalFormatting sqref="A331">
    <cfRule type="expression" dxfId="817" priority="607">
      <formula>G331="n"</formula>
    </cfRule>
  </conditionalFormatting>
  <conditionalFormatting sqref="B331">
    <cfRule type="expression" dxfId="816" priority="606">
      <formula>G331="n"</formula>
    </cfRule>
  </conditionalFormatting>
  <conditionalFormatting sqref="C331">
    <cfRule type="expression" dxfId="815" priority="605">
      <formula>G331="n"</formula>
    </cfRule>
  </conditionalFormatting>
  <conditionalFormatting sqref="A332">
    <cfRule type="expression" dxfId="814" priority="604">
      <formula>G332="n"</formula>
    </cfRule>
  </conditionalFormatting>
  <conditionalFormatting sqref="B332">
    <cfRule type="expression" dxfId="813" priority="603">
      <formula>G332="n"</formula>
    </cfRule>
  </conditionalFormatting>
  <conditionalFormatting sqref="C332">
    <cfRule type="expression" dxfId="812" priority="602">
      <formula>G332="n"</formula>
    </cfRule>
  </conditionalFormatting>
  <conditionalFormatting sqref="A332">
    <cfRule type="expression" dxfId="811" priority="601">
      <formula>G332="n"</formula>
    </cfRule>
  </conditionalFormatting>
  <conditionalFormatting sqref="B332">
    <cfRule type="expression" dxfId="810" priority="600">
      <formula>G332="n"</formula>
    </cfRule>
  </conditionalFormatting>
  <conditionalFormatting sqref="C332">
    <cfRule type="expression" dxfId="809" priority="599">
      <formula>G332="n"</formula>
    </cfRule>
  </conditionalFormatting>
  <conditionalFormatting sqref="F333">
    <cfRule type="expression" dxfId="808" priority="598">
      <formula>G333="n"</formula>
    </cfRule>
  </conditionalFormatting>
  <conditionalFormatting sqref="F333">
    <cfRule type="expression" dxfId="807" priority="597">
      <formula>G333="n"</formula>
    </cfRule>
  </conditionalFormatting>
  <conditionalFormatting sqref="D333">
    <cfRule type="expression" dxfId="806" priority="596">
      <formula>G333="n"</formula>
    </cfRule>
  </conditionalFormatting>
  <conditionalFormatting sqref="E333">
    <cfRule type="expression" dxfId="805" priority="595">
      <formula>G333="n"</formula>
    </cfRule>
  </conditionalFormatting>
  <conditionalFormatting sqref="D333">
    <cfRule type="expression" dxfId="804" priority="594">
      <formula>G333="n"</formula>
    </cfRule>
  </conditionalFormatting>
  <conditionalFormatting sqref="E333">
    <cfRule type="expression" dxfId="803" priority="593">
      <formula>G333="n"</formula>
    </cfRule>
  </conditionalFormatting>
  <conditionalFormatting sqref="D333">
    <cfRule type="expression" dxfId="802" priority="592">
      <formula>G333="n"</formula>
    </cfRule>
  </conditionalFormatting>
  <conditionalFormatting sqref="E333">
    <cfRule type="expression" dxfId="801" priority="591">
      <formula>G333="n"</formula>
    </cfRule>
  </conditionalFormatting>
  <conditionalFormatting sqref="D333">
    <cfRule type="expression" dxfId="800" priority="590">
      <formula>G333="n"</formula>
    </cfRule>
  </conditionalFormatting>
  <conditionalFormatting sqref="E333">
    <cfRule type="expression" dxfId="799" priority="589">
      <formula>G333="n"</formula>
    </cfRule>
  </conditionalFormatting>
  <conditionalFormatting sqref="A333">
    <cfRule type="expression" dxfId="798" priority="588">
      <formula>G333="n"</formula>
    </cfRule>
  </conditionalFormatting>
  <conditionalFormatting sqref="B333">
    <cfRule type="expression" dxfId="797" priority="587">
      <formula>G333="n"</formula>
    </cfRule>
  </conditionalFormatting>
  <conditionalFormatting sqref="C333">
    <cfRule type="expression" dxfId="796" priority="586">
      <formula>G333="n"</formula>
    </cfRule>
  </conditionalFormatting>
  <conditionalFormatting sqref="A333">
    <cfRule type="expression" dxfId="795" priority="585">
      <formula>G333="n"</formula>
    </cfRule>
  </conditionalFormatting>
  <conditionalFormatting sqref="B333">
    <cfRule type="expression" dxfId="794" priority="584">
      <formula>G333="n"</formula>
    </cfRule>
  </conditionalFormatting>
  <conditionalFormatting sqref="C333">
    <cfRule type="expression" dxfId="793" priority="583">
      <formula>G333="n"</formula>
    </cfRule>
  </conditionalFormatting>
  <conditionalFormatting sqref="F335">
    <cfRule type="expression" dxfId="792" priority="582">
      <formula>G335="n"</formula>
    </cfRule>
  </conditionalFormatting>
  <conditionalFormatting sqref="F335">
    <cfRule type="expression" dxfId="791" priority="581">
      <formula>G335="n"</formula>
    </cfRule>
  </conditionalFormatting>
  <conditionalFormatting sqref="D335">
    <cfRule type="expression" dxfId="790" priority="580">
      <formula>G335="n"</formula>
    </cfRule>
  </conditionalFormatting>
  <conditionalFormatting sqref="E335">
    <cfRule type="expression" dxfId="789" priority="579">
      <formula>G335="n"</formula>
    </cfRule>
  </conditionalFormatting>
  <conditionalFormatting sqref="D335">
    <cfRule type="expression" dxfId="788" priority="578">
      <formula>G335="n"</formula>
    </cfRule>
  </conditionalFormatting>
  <conditionalFormatting sqref="E335">
    <cfRule type="expression" dxfId="787" priority="577">
      <formula>G335="n"</formula>
    </cfRule>
  </conditionalFormatting>
  <conditionalFormatting sqref="D335">
    <cfRule type="expression" dxfId="786" priority="576">
      <formula>G335="n"</formula>
    </cfRule>
  </conditionalFormatting>
  <conditionalFormatting sqref="E335">
    <cfRule type="expression" dxfId="785" priority="575">
      <formula>G335="n"</formula>
    </cfRule>
  </conditionalFormatting>
  <conditionalFormatting sqref="D335">
    <cfRule type="expression" dxfId="784" priority="574">
      <formula>G335="n"</formula>
    </cfRule>
  </conditionalFormatting>
  <conditionalFormatting sqref="E335">
    <cfRule type="expression" dxfId="783" priority="573">
      <formula>G335="n"</formula>
    </cfRule>
  </conditionalFormatting>
  <conditionalFormatting sqref="A335">
    <cfRule type="expression" dxfId="782" priority="572">
      <formula>G335="n"</formula>
    </cfRule>
  </conditionalFormatting>
  <conditionalFormatting sqref="B335">
    <cfRule type="expression" dxfId="781" priority="571">
      <formula>G335="n"</formula>
    </cfRule>
  </conditionalFormatting>
  <conditionalFormatting sqref="C335">
    <cfRule type="expression" dxfId="780" priority="570">
      <formula>G335="n"</formula>
    </cfRule>
  </conditionalFormatting>
  <conditionalFormatting sqref="A335">
    <cfRule type="expression" dxfId="779" priority="569">
      <formula>G335="n"</formula>
    </cfRule>
  </conditionalFormatting>
  <conditionalFormatting sqref="B335">
    <cfRule type="expression" dxfId="778" priority="568">
      <formula>G335="n"</formula>
    </cfRule>
  </conditionalFormatting>
  <conditionalFormatting sqref="C335">
    <cfRule type="expression" dxfId="777" priority="567">
      <formula>G335="n"</formula>
    </cfRule>
  </conditionalFormatting>
  <conditionalFormatting sqref="D335">
    <cfRule type="expression" dxfId="776" priority="566">
      <formula>G335="n"</formula>
    </cfRule>
  </conditionalFormatting>
  <conditionalFormatting sqref="E335">
    <cfRule type="expression" dxfId="775" priority="565">
      <formula>G335="n"</formula>
    </cfRule>
  </conditionalFormatting>
  <conditionalFormatting sqref="D335">
    <cfRule type="expression" dxfId="774" priority="564">
      <formula>G335="n"</formula>
    </cfRule>
  </conditionalFormatting>
  <conditionalFormatting sqref="E335">
    <cfRule type="expression" dxfId="773" priority="563">
      <formula>G335="n"</formula>
    </cfRule>
  </conditionalFormatting>
  <conditionalFormatting sqref="D335">
    <cfRule type="expression" dxfId="772" priority="562">
      <formula>G335="n"</formula>
    </cfRule>
  </conditionalFormatting>
  <conditionalFormatting sqref="E335">
    <cfRule type="expression" dxfId="771" priority="561">
      <formula>G335="n"</formula>
    </cfRule>
  </conditionalFormatting>
  <conditionalFormatting sqref="D335">
    <cfRule type="expression" dxfId="770" priority="560">
      <formula>G335="n"</formula>
    </cfRule>
  </conditionalFormatting>
  <conditionalFormatting sqref="E335">
    <cfRule type="expression" dxfId="769" priority="559">
      <formula>G335="n"</formula>
    </cfRule>
  </conditionalFormatting>
  <conditionalFormatting sqref="E336">
    <cfRule type="expression" dxfId="768" priority="558">
      <formula>G336="n"</formula>
    </cfRule>
  </conditionalFormatting>
  <conditionalFormatting sqref="D336">
    <cfRule type="expression" dxfId="767" priority="557">
      <formula>G336="n"</formula>
    </cfRule>
  </conditionalFormatting>
  <conditionalFormatting sqref="D336">
    <cfRule type="expression" dxfId="766" priority="556">
      <formula>G336="n"</formula>
    </cfRule>
  </conditionalFormatting>
  <conditionalFormatting sqref="F336">
    <cfRule type="expression" dxfId="765" priority="555">
      <formula>G336="n"</formula>
    </cfRule>
  </conditionalFormatting>
  <conditionalFormatting sqref="A336">
    <cfRule type="expression" dxfId="764" priority="554">
      <formula>G336="n"</formula>
    </cfRule>
  </conditionalFormatting>
  <conditionalFormatting sqref="B336">
    <cfRule type="expression" dxfId="763" priority="553">
      <formula>G336="n"</formula>
    </cfRule>
  </conditionalFormatting>
  <conditionalFormatting sqref="C336">
    <cfRule type="expression" dxfId="762" priority="552">
      <formula>G336="n"</formula>
    </cfRule>
  </conditionalFormatting>
  <conditionalFormatting sqref="A336">
    <cfRule type="expression" dxfId="761" priority="551">
      <formula>G336="n"</formula>
    </cfRule>
  </conditionalFormatting>
  <conditionalFormatting sqref="B336">
    <cfRule type="expression" dxfId="760" priority="550">
      <formula>G336="n"</formula>
    </cfRule>
  </conditionalFormatting>
  <conditionalFormatting sqref="C336">
    <cfRule type="expression" dxfId="759" priority="549">
      <formula>G336="n"</formula>
    </cfRule>
  </conditionalFormatting>
  <conditionalFormatting sqref="F354">
    <cfRule type="expression" dxfId="758" priority="548">
      <formula>G354="n"</formula>
    </cfRule>
  </conditionalFormatting>
  <conditionalFormatting sqref="F354">
    <cfRule type="expression" dxfId="757" priority="547">
      <formula>G354="n"</formula>
    </cfRule>
  </conditionalFormatting>
  <conditionalFormatting sqref="D354">
    <cfRule type="expression" dxfId="756" priority="546">
      <formula>G354="n"</formula>
    </cfRule>
  </conditionalFormatting>
  <conditionalFormatting sqref="E354">
    <cfRule type="expression" dxfId="755" priority="545">
      <formula>G354="n"</formula>
    </cfRule>
  </conditionalFormatting>
  <conditionalFormatting sqref="D354">
    <cfRule type="expression" dxfId="754" priority="544">
      <formula>G354="n"</formula>
    </cfRule>
  </conditionalFormatting>
  <conditionalFormatting sqref="E354">
    <cfRule type="expression" dxfId="753" priority="543">
      <formula>G354="n"</formula>
    </cfRule>
  </conditionalFormatting>
  <conditionalFormatting sqref="D354">
    <cfRule type="expression" dxfId="752" priority="542">
      <formula>G354="n"</formula>
    </cfRule>
  </conditionalFormatting>
  <conditionalFormatting sqref="E354">
    <cfRule type="expression" dxfId="751" priority="541">
      <formula>G354="n"</formula>
    </cfRule>
  </conditionalFormatting>
  <conditionalFormatting sqref="D354">
    <cfRule type="expression" dxfId="750" priority="540">
      <formula>G354="n"</formula>
    </cfRule>
  </conditionalFormatting>
  <conditionalFormatting sqref="E354">
    <cfRule type="expression" dxfId="749" priority="539">
      <formula>G354="n"</formula>
    </cfRule>
  </conditionalFormatting>
  <conditionalFormatting sqref="A354">
    <cfRule type="expression" dxfId="748" priority="538">
      <formula>G354="n"</formula>
    </cfRule>
  </conditionalFormatting>
  <conditionalFormatting sqref="B354">
    <cfRule type="expression" dxfId="747" priority="537">
      <formula>G354="n"</formula>
    </cfRule>
  </conditionalFormatting>
  <conditionalFormatting sqref="C354">
    <cfRule type="expression" dxfId="746" priority="536">
      <formula>G354="n"</formula>
    </cfRule>
  </conditionalFormatting>
  <conditionalFormatting sqref="A354">
    <cfRule type="expression" dxfId="745" priority="535">
      <formula>G354="n"</formula>
    </cfRule>
  </conditionalFormatting>
  <conditionalFormatting sqref="B354">
    <cfRule type="expression" dxfId="744" priority="534">
      <formula>G354="n"</formula>
    </cfRule>
  </conditionalFormatting>
  <conditionalFormatting sqref="C354">
    <cfRule type="expression" dxfId="743" priority="533">
      <formula>G354="n"</formula>
    </cfRule>
  </conditionalFormatting>
  <conditionalFormatting sqref="F334">
    <cfRule type="expression" dxfId="742" priority="532">
      <formula>G334="n"</formula>
    </cfRule>
  </conditionalFormatting>
  <conditionalFormatting sqref="E334">
    <cfRule type="expression" dxfId="741" priority="531">
      <formula>G334="n"</formula>
    </cfRule>
  </conditionalFormatting>
  <conditionalFormatting sqref="A334">
    <cfRule type="expression" dxfId="740" priority="530">
      <formula>G334="n"</formula>
    </cfRule>
  </conditionalFormatting>
  <conditionalFormatting sqref="B334">
    <cfRule type="expression" dxfId="739" priority="529">
      <formula>G334="n"</formula>
    </cfRule>
  </conditionalFormatting>
  <conditionalFormatting sqref="C334">
    <cfRule type="expression" dxfId="738" priority="528">
      <formula>G334="n"</formula>
    </cfRule>
  </conditionalFormatting>
  <conditionalFormatting sqref="D334">
    <cfRule type="expression" dxfId="737" priority="527">
      <formula>G334="n"</formula>
    </cfRule>
  </conditionalFormatting>
  <conditionalFormatting sqref="A334">
    <cfRule type="expression" dxfId="736" priority="526">
      <formula>G334="n"</formula>
    </cfRule>
  </conditionalFormatting>
  <conditionalFormatting sqref="B334">
    <cfRule type="expression" dxfId="735" priority="525">
      <formula>G334="n"</formula>
    </cfRule>
  </conditionalFormatting>
  <conditionalFormatting sqref="C334">
    <cfRule type="expression" dxfId="734" priority="524">
      <formula>G334="n"</formula>
    </cfRule>
  </conditionalFormatting>
  <conditionalFormatting sqref="D334">
    <cfRule type="expression" dxfId="733" priority="523">
      <formula>G334="n"</formula>
    </cfRule>
  </conditionalFormatting>
  <conditionalFormatting sqref="F355">
    <cfRule type="expression" dxfId="732" priority="522">
      <formula>G355="n"</formula>
    </cfRule>
  </conditionalFormatting>
  <conditionalFormatting sqref="E355">
    <cfRule type="expression" dxfId="731" priority="521">
      <formula>G355="n"</formula>
    </cfRule>
  </conditionalFormatting>
  <conditionalFormatting sqref="F357">
    <cfRule type="expression" dxfId="730" priority="520">
      <formula>G357="n"</formula>
    </cfRule>
  </conditionalFormatting>
  <conditionalFormatting sqref="E357">
    <cfRule type="expression" dxfId="729" priority="519">
      <formula>G357="n"</formula>
    </cfRule>
  </conditionalFormatting>
  <conditionalFormatting sqref="A355">
    <cfRule type="expression" dxfId="728" priority="518">
      <formula>G355="n"</formula>
    </cfRule>
  </conditionalFormatting>
  <conditionalFormatting sqref="B355">
    <cfRule type="expression" dxfId="727" priority="517">
      <formula>G355="n"</formula>
    </cfRule>
  </conditionalFormatting>
  <conditionalFormatting sqref="C355">
    <cfRule type="expression" dxfId="726" priority="516">
      <formula>G355="n"</formula>
    </cfRule>
  </conditionalFormatting>
  <conditionalFormatting sqref="D355">
    <cfRule type="expression" dxfId="725" priority="515">
      <formula>G355="n"</formula>
    </cfRule>
  </conditionalFormatting>
  <conditionalFormatting sqref="A355">
    <cfRule type="expression" dxfId="724" priority="514">
      <formula>G355="n"</formula>
    </cfRule>
  </conditionalFormatting>
  <conditionalFormatting sqref="B355">
    <cfRule type="expression" dxfId="723" priority="513">
      <formula>G355="n"</formula>
    </cfRule>
  </conditionalFormatting>
  <conditionalFormatting sqref="C355">
    <cfRule type="expression" dxfId="722" priority="512">
      <formula>G355="n"</formula>
    </cfRule>
  </conditionalFormatting>
  <conditionalFormatting sqref="D355">
    <cfRule type="expression" dxfId="721" priority="511">
      <formula>G355="n"</formula>
    </cfRule>
  </conditionalFormatting>
  <conditionalFormatting sqref="A357">
    <cfRule type="expression" dxfId="720" priority="510">
      <formula>G357="n"</formula>
    </cfRule>
  </conditionalFormatting>
  <conditionalFormatting sqref="B357">
    <cfRule type="expression" dxfId="719" priority="509">
      <formula>G357="n"</formula>
    </cfRule>
  </conditionalFormatting>
  <conditionalFormatting sqref="C357">
    <cfRule type="expression" dxfId="718" priority="508">
      <formula>G357="n"</formula>
    </cfRule>
  </conditionalFormatting>
  <conditionalFormatting sqref="D357">
    <cfRule type="expression" dxfId="717" priority="507">
      <formula>G357="n"</formula>
    </cfRule>
  </conditionalFormatting>
  <conditionalFormatting sqref="A357">
    <cfRule type="expression" dxfId="716" priority="506">
      <formula>G357="n"</formula>
    </cfRule>
  </conditionalFormatting>
  <conditionalFormatting sqref="B357">
    <cfRule type="expression" dxfId="715" priority="505">
      <formula>G357="n"</formula>
    </cfRule>
  </conditionalFormatting>
  <conditionalFormatting sqref="C357">
    <cfRule type="expression" dxfId="714" priority="504">
      <formula>G357="n"</formula>
    </cfRule>
  </conditionalFormatting>
  <conditionalFormatting sqref="D357">
    <cfRule type="expression" dxfId="713" priority="503">
      <formula>G357="n"</formula>
    </cfRule>
  </conditionalFormatting>
  <conditionalFormatting sqref="F356">
    <cfRule type="expression" dxfId="712" priority="502">
      <formula>G356="n"</formula>
    </cfRule>
  </conditionalFormatting>
  <conditionalFormatting sqref="F356">
    <cfRule type="expression" dxfId="711" priority="501">
      <formula>G356="n"</formula>
    </cfRule>
  </conditionalFormatting>
  <conditionalFormatting sqref="D356">
    <cfRule type="expression" dxfId="710" priority="500">
      <formula>G356="n"</formula>
    </cfRule>
  </conditionalFormatting>
  <conditionalFormatting sqref="E356">
    <cfRule type="expression" dxfId="709" priority="499">
      <formula>G356="n"</formula>
    </cfRule>
  </conditionalFormatting>
  <conditionalFormatting sqref="D356">
    <cfRule type="expression" dxfId="708" priority="498">
      <formula>G356="n"</formula>
    </cfRule>
  </conditionalFormatting>
  <conditionalFormatting sqref="E356">
    <cfRule type="expression" dxfId="707" priority="497">
      <formula>G356="n"</formula>
    </cfRule>
  </conditionalFormatting>
  <conditionalFormatting sqref="D356">
    <cfRule type="expression" dxfId="706" priority="496">
      <formula>G356="n"</formula>
    </cfRule>
  </conditionalFormatting>
  <conditionalFormatting sqref="E356">
    <cfRule type="expression" dxfId="705" priority="495">
      <formula>G356="n"</formula>
    </cfRule>
  </conditionalFormatting>
  <conditionalFormatting sqref="D356">
    <cfRule type="expression" dxfId="704" priority="494">
      <formula>G356="n"</formula>
    </cfRule>
  </conditionalFormatting>
  <conditionalFormatting sqref="E356">
    <cfRule type="expression" dxfId="703" priority="493">
      <formula>G356="n"</formula>
    </cfRule>
  </conditionalFormatting>
  <conditionalFormatting sqref="A356">
    <cfRule type="expression" dxfId="702" priority="492">
      <formula>G356="n"</formula>
    </cfRule>
  </conditionalFormatting>
  <conditionalFormatting sqref="B356">
    <cfRule type="expression" dxfId="701" priority="491">
      <formula>G356="n"</formula>
    </cfRule>
  </conditionalFormatting>
  <conditionalFormatting sqref="C356">
    <cfRule type="expression" dxfId="700" priority="490">
      <formula>G356="n"</formula>
    </cfRule>
  </conditionalFormatting>
  <conditionalFormatting sqref="A356">
    <cfRule type="expression" dxfId="699" priority="489">
      <formula>G356="n"</formula>
    </cfRule>
  </conditionalFormatting>
  <conditionalFormatting sqref="B356">
    <cfRule type="expression" dxfId="698" priority="488">
      <formula>G356="n"</formula>
    </cfRule>
  </conditionalFormatting>
  <conditionalFormatting sqref="C356">
    <cfRule type="expression" dxfId="697" priority="487">
      <formula>G356="n"</formula>
    </cfRule>
  </conditionalFormatting>
  <conditionalFormatting sqref="E277">
    <cfRule type="expression" dxfId="696" priority="486">
      <formula>G277="n"</formula>
    </cfRule>
  </conditionalFormatting>
  <conditionalFormatting sqref="D277">
    <cfRule type="expression" dxfId="695" priority="485">
      <formula>G277="n"</formula>
    </cfRule>
  </conditionalFormatting>
  <conditionalFormatting sqref="D277">
    <cfRule type="expression" dxfId="694" priority="484">
      <formula>G277="n"</formula>
    </cfRule>
  </conditionalFormatting>
  <conditionalFormatting sqref="F277">
    <cfRule type="expression" dxfId="693" priority="483">
      <formula>G277="n"</formula>
    </cfRule>
  </conditionalFormatting>
  <conditionalFormatting sqref="D285">
    <cfRule type="expression" dxfId="692" priority="482">
      <formula>G285="n"</formula>
    </cfRule>
  </conditionalFormatting>
  <conditionalFormatting sqref="E285">
    <cfRule type="expression" dxfId="691" priority="481">
      <formula>G285="n"</formula>
    </cfRule>
  </conditionalFormatting>
  <conditionalFormatting sqref="D285">
    <cfRule type="expression" dxfId="690" priority="480">
      <formula>G285="n"</formula>
    </cfRule>
  </conditionalFormatting>
  <conditionalFormatting sqref="E285">
    <cfRule type="expression" dxfId="689" priority="479">
      <formula>G285="n"</formula>
    </cfRule>
  </conditionalFormatting>
  <conditionalFormatting sqref="C285">
    <cfRule type="expression" dxfId="688" priority="478">
      <formula>G285="n"</formula>
    </cfRule>
  </conditionalFormatting>
  <conditionalFormatting sqref="C285">
    <cfRule type="expression" dxfId="687" priority="477">
      <formula>G285="n"</formula>
    </cfRule>
  </conditionalFormatting>
  <conditionalFormatting sqref="F308">
    <cfRule type="expression" dxfId="686" priority="476">
      <formula>G308="n"</formula>
    </cfRule>
  </conditionalFormatting>
  <conditionalFormatting sqref="E308">
    <cfRule type="expression" dxfId="685" priority="475">
      <formula>G308="n"</formula>
    </cfRule>
  </conditionalFormatting>
  <conditionalFormatting sqref="B308">
    <cfRule type="expression" dxfId="684" priority="474">
      <formula>G308="n"</formula>
    </cfRule>
  </conditionalFormatting>
  <conditionalFormatting sqref="C308">
    <cfRule type="expression" dxfId="683" priority="473">
      <formula>G308="n"</formula>
    </cfRule>
  </conditionalFormatting>
  <conditionalFormatting sqref="D308">
    <cfRule type="expression" dxfId="682" priority="472">
      <formula>G308="n"</formula>
    </cfRule>
  </conditionalFormatting>
  <conditionalFormatting sqref="B308">
    <cfRule type="expression" dxfId="681" priority="471">
      <formula>G308="n"</formula>
    </cfRule>
  </conditionalFormatting>
  <conditionalFormatting sqref="C308">
    <cfRule type="expression" dxfId="680" priority="470">
      <formula>G308="n"</formula>
    </cfRule>
  </conditionalFormatting>
  <conditionalFormatting sqref="D308">
    <cfRule type="expression" dxfId="679" priority="469">
      <formula>G308="n"</formula>
    </cfRule>
  </conditionalFormatting>
  <conditionalFormatting sqref="F308">
    <cfRule type="expression" dxfId="678" priority="468">
      <formula>G308="n"</formula>
    </cfRule>
  </conditionalFormatting>
  <conditionalFormatting sqref="F308">
    <cfRule type="expression" dxfId="677" priority="467">
      <formula>G308="n"</formula>
    </cfRule>
  </conditionalFormatting>
  <conditionalFormatting sqref="D308">
    <cfRule type="expression" dxfId="676" priority="466">
      <formula>G308="n"</formula>
    </cfRule>
  </conditionalFormatting>
  <conditionalFormatting sqref="E308">
    <cfRule type="expression" dxfId="675" priority="465">
      <formula>G308="n"</formula>
    </cfRule>
  </conditionalFormatting>
  <conditionalFormatting sqref="D308">
    <cfRule type="expression" dxfId="674" priority="464">
      <formula>G308="n"</formula>
    </cfRule>
  </conditionalFormatting>
  <conditionalFormatting sqref="E308">
    <cfRule type="expression" dxfId="673" priority="463">
      <formula>G308="n"</formula>
    </cfRule>
  </conditionalFormatting>
  <conditionalFormatting sqref="D308">
    <cfRule type="expression" dxfId="672" priority="462">
      <formula>G308="n"</formula>
    </cfRule>
  </conditionalFormatting>
  <conditionalFormatting sqref="E308">
    <cfRule type="expression" dxfId="671" priority="461">
      <formula>G308="n"</formula>
    </cfRule>
  </conditionalFormatting>
  <conditionalFormatting sqref="D308">
    <cfRule type="expression" dxfId="670" priority="460">
      <formula>G308="n"</formula>
    </cfRule>
  </conditionalFormatting>
  <conditionalFormatting sqref="E308">
    <cfRule type="expression" dxfId="669" priority="459">
      <formula>G308="n"</formula>
    </cfRule>
  </conditionalFormatting>
  <conditionalFormatting sqref="C308">
    <cfRule type="expression" dxfId="668" priority="458">
      <formula>G308="n"</formula>
    </cfRule>
  </conditionalFormatting>
  <conditionalFormatting sqref="C308">
    <cfRule type="expression" dxfId="667" priority="457">
      <formula>G308="n"</formula>
    </cfRule>
  </conditionalFormatting>
  <conditionalFormatting sqref="F233">
    <cfRule type="expression" dxfId="666" priority="450">
      <formula>G233="n"</formula>
    </cfRule>
  </conditionalFormatting>
  <conditionalFormatting sqref="E233">
    <cfRule type="expression" dxfId="665" priority="449">
      <formula>G233="n"</formula>
    </cfRule>
  </conditionalFormatting>
  <conditionalFormatting sqref="A233 A235:A236">
    <cfRule type="expression" dxfId="664" priority="448">
      <formula>G233="n"</formula>
    </cfRule>
  </conditionalFormatting>
  <conditionalFormatting sqref="B233 B235">
    <cfRule type="expression" dxfId="663" priority="447">
      <formula>G233="n"</formula>
    </cfRule>
  </conditionalFormatting>
  <conditionalFormatting sqref="C233">
    <cfRule type="expression" dxfId="662" priority="446">
      <formula>G233="n"</formula>
    </cfRule>
  </conditionalFormatting>
  <conditionalFormatting sqref="D233">
    <cfRule type="expression" dxfId="661" priority="445">
      <formula>G233="n"</formula>
    </cfRule>
  </conditionalFormatting>
  <conditionalFormatting sqref="A233 A235:A236">
    <cfRule type="expression" dxfId="660" priority="444">
      <formula>G233="n"</formula>
    </cfRule>
  </conditionalFormatting>
  <conditionalFormatting sqref="B233 B235">
    <cfRule type="expression" dxfId="659" priority="443">
      <formula>G233="n"</formula>
    </cfRule>
  </conditionalFormatting>
  <conditionalFormatting sqref="C233">
    <cfRule type="expression" dxfId="658" priority="442">
      <formula>G233="n"</formula>
    </cfRule>
  </conditionalFormatting>
  <conditionalFormatting sqref="D233">
    <cfRule type="expression" dxfId="657" priority="441">
      <formula>G233="n"</formula>
    </cfRule>
  </conditionalFormatting>
  <conditionalFormatting sqref="F232">
    <cfRule type="expression" dxfId="656" priority="440">
      <formula>G232="n"</formula>
    </cfRule>
  </conditionalFormatting>
  <conditionalFormatting sqref="F232">
    <cfRule type="expression" dxfId="655" priority="439">
      <formula>G232="n"</formula>
    </cfRule>
  </conditionalFormatting>
  <conditionalFormatting sqref="A232">
    <cfRule type="expression" dxfId="654" priority="438">
      <formula>G232="n"</formula>
    </cfRule>
  </conditionalFormatting>
  <conditionalFormatting sqref="B232">
    <cfRule type="expression" dxfId="653" priority="437">
      <formula>G232="n"</formula>
    </cfRule>
  </conditionalFormatting>
  <conditionalFormatting sqref="C232">
    <cfRule type="expression" dxfId="652" priority="436">
      <formula>G232="n"</formula>
    </cfRule>
  </conditionalFormatting>
  <conditionalFormatting sqref="D232">
    <cfRule type="expression" dxfId="651" priority="435">
      <formula>G232="n"</formula>
    </cfRule>
  </conditionalFormatting>
  <conditionalFormatting sqref="E232">
    <cfRule type="expression" dxfId="650" priority="434">
      <formula>G232="n"</formula>
    </cfRule>
  </conditionalFormatting>
  <conditionalFormatting sqref="A232">
    <cfRule type="expression" dxfId="649" priority="433">
      <formula>G232="n"</formula>
    </cfRule>
  </conditionalFormatting>
  <conditionalFormatting sqref="B232">
    <cfRule type="expression" dxfId="648" priority="432">
      <formula>G232="n"</formula>
    </cfRule>
  </conditionalFormatting>
  <conditionalFormatting sqref="C232">
    <cfRule type="expression" dxfId="647" priority="431">
      <formula>G232="n"</formula>
    </cfRule>
  </conditionalFormatting>
  <conditionalFormatting sqref="D232">
    <cfRule type="expression" dxfId="646" priority="430">
      <formula>G232="n"</formula>
    </cfRule>
  </conditionalFormatting>
  <conditionalFormatting sqref="E232">
    <cfRule type="expression" dxfId="645" priority="429">
      <formula>G232="n"</formula>
    </cfRule>
  </conditionalFormatting>
  <conditionalFormatting sqref="E310">
    <cfRule type="expression" dxfId="644" priority="428">
      <formula>G310="n"</formula>
    </cfRule>
  </conditionalFormatting>
  <conditionalFormatting sqref="D310">
    <cfRule type="expression" dxfId="643" priority="427">
      <formula>G310="n"</formula>
    </cfRule>
  </conditionalFormatting>
  <conditionalFormatting sqref="D310">
    <cfRule type="expression" dxfId="642" priority="426">
      <formula>G310="n"</formula>
    </cfRule>
  </conditionalFormatting>
  <conditionalFormatting sqref="F310">
    <cfRule type="expression" dxfId="641" priority="425">
      <formula>G310="n"</formula>
    </cfRule>
  </conditionalFormatting>
  <conditionalFormatting sqref="A310">
    <cfRule type="expression" dxfId="640" priority="424">
      <formula>G310="n"</formula>
    </cfRule>
  </conditionalFormatting>
  <conditionalFormatting sqref="B310">
    <cfRule type="expression" dxfId="639" priority="423">
      <formula>G310="n"</formula>
    </cfRule>
  </conditionalFormatting>
  <conditionalFormatting sqref="C310">
    <cfRule type="expression" dxfId="638" priority="422">
      <formula>G310="n"</formula>
    </cfRule>
  </conditionalFormatting>
  <conditionalFormatting sqref="A310">
    <cfRule type="expression" dxfId="637" priority="421">
      <formula>G310="n"</formula>
    </cfRule>
  </conditionalFormatting>
  <conditionalFormatting sqref="B310">
    <cfRule type="expression" dxfId="636" priority="420">
      <formula>G310="n"</formula>
    </cfRule>
  </conditionalFormatting>
  <conditionalFormatting sqref="C310">
    <cfRule type="expression" dxfId="635" priority="419">
      <formula>G310="n"</formula>
    </cfRule>
  </conditionalFormatting>
  <conditionalFormatting sqref="E311">
    <cfRule type="expression" dxfId="634" priority="418">
      <formula>G311="n"</formula>
    </cfRule>
  </conditionalFormatting>
  <conditionalFormatting sqref="D311">
    <cfRule type="expression" dxfId="633" priority="417">
      <formula>G311="n"</formula>
    </cfRule>
  </conditionalFormatting>
  <conditionalFormatting sqref="D311">
    <cfRule type="expression" dxfId="632" priority="416">
      <formula>G311="n"</formula>
    </cfRule>
  </conditionalFormatting>
  <conditionalFormatting sqref="F311">
    <cfRule type="expression" dxfId="631" priority="415">
      <formula>G311="n"</formula>
    </cfRule>
  </conditionalFormatting>
  <conditionalFormatting sqref="A311">
    <cfRule type="expression" dxfId="630" priority="414">
      <formula>G311="n"</formula>
    </cfRule>
  </conditionalFormatting>
  <conditionalFormatting sqref="B311">
    <cfRule type="expression" dxfId="629" priority="413">
      <formula>G311="n"</formula>
    </cfRule>
  </conditionalFormatting>
  <conditionalFormatting sqref="C311">
    <cfRule type="expression" dxfId="628" priority="412">
      <formula>G311="n"</formula>
    </cfRule>
  </conditionalFormatting>
  <conditionalFormatting sqref="A311">
    <cfRule type="expression" dxfId="627" priority="411">
      <formula>G311="n"</formula>
    </cfRule>
  </conditionalFormatting>
  <conditionalFormatting sqref="B311">
    <cfRule type="expression" dxfId="626" priority="410">
      <formula>G311="n"</formula>
    </cfRule>
  </conditionalFormatting>
  <conditionalFormatting sqref="C311">
    <cfRule type="expression" dxfId="625" priority="409">
      <formula>G311="n"</formula>
    </cfRule>
  </conditionalFormatting>
  <conditionalFormatting sqref="E312">
    <cfRule type="expression" dxfId="624" priority="408">
      <formula>G312="n"</formula>
    </cfRule>
  </conditionalFormatting>
  <conditionalFormatting sqref="D312">
    <cfRule type="expression" dxfId="623" priority="407">
      <formula>G312="n"</formula>
    </cfRule>
  </conditionalFormatting>
  <conditionalFormatting sqref="D312">
    <cfRule type="expression" dxfId="622" priority="406">
      <formula>G312="n"</formula>
    </cfRule>
  </conditionalFormatting>
  <conditionalFormatting sqref="F312">
    <cfRule type="expression" dxfId="621" priority="405">
      <formula>G312="n"</formula>
    </cfRule>
  </conditionalFormatting>
  <conditionalFormatting sqref="A312 A314:A315">
    <cfRule type="expression" dxfId="620" priority="404">
      <formula>G312="n"</formula>
    </cfRule>
  </conditionalFormatting>
  <conditionalFormatting sqref="B312 B314:B315">
    <cfRule type="expression" dxfId="619" priority="403">
      <formula>G312="n"</formula>
    </cfRule>
  </conditionalFormatting>
  <conditionalFormatting sqref="C312">
    <cfRule type="expression" dxfId="618" priority="402">
      <formula>G312="n"</formula>
    </cfRule>
  </conditionalFormatting>
  <conditionalFormatting sqref="A312 A314:A315">
    <cfRule type="expression" dxfId="617" priority="401">
      <formula>G312="n"</formula>
    </cfRule>
  </conditionalFormatting>
  <conditionalFormatting sqref="B312 B314:B315">
    <cfRule type="expression" dxfId="616" priority="400">
      <formula>G312="n"</formula>
    </cfRule>
  </conditionalFormatting>
  <conditionalFormatting sqref="C312">
    <cfRule type="expression" dxfId="615" priority="399">
      <formula>G312="n"</formula>
    </cfRule>
  </conditionalFormatting>
  <conditionalFormatting sqref="F338">
    <cfRule type="expression" dxfId="614" priority="398">
      <formula>G338="n"</formula>
    </cfRule>
  </conditionalFormatting>
  <conditionalFormatting sqref="F338">
    <cfRule type="expression" dxfId="613" priority="397">
      <formula>G338="n"</formula>
    </cfRule>
  </conditionalFormatting>
  <conditionalFormatting sqref="A338">
    <cfRule type="expression" dxfId="612" priority="396">
      <formula>G338="n"</formula>
    </cfRule>
  </conditionalFormatting>
  <conditionalFormatting sqref="B338">
    <cfRule type="expression" dxfId="611" priority="395">
      <formula>G338="n"</formula>
    </cfRule>
  </conditionalFormatting>
  <conditionalFormatting sqref="C338">
    <cfRule type="expression" dxfId="610" priority="394">
      <formula>G338="n"</formula>
    </cfRule>
  </conditionalFormatting>
  <conditionalFormatting sqref="D338">
    <cfRule type="expression" dxfId="609" priority="393">
      <formula>G338="n"</formula>
    </cfRule>
  </conditionalFormatting>
  <conditionalFormatting sqref="E338">
    <cfRule type="expression" dxfId="608" priority="392">
      <formula>G338="n"</formula>
    </cfRule>
  </conditionalFormatting>
  <conditionalFormatting sqref="A338">
    <cfRule type="expression" dxfId="607" priority="391">
      <formula>G338="n"</formula>
    </cfRule>
  </conditionalFormatting>
  <conditionalFormatting sqref="B338">
    <cfRule type="expression" dxfId="606" priority="390">
      <formula>G338="n"</formula>
    </cfRule>
  </conditionalFormatting>
  <conditionalFormatting sqref="C338">
    <cfRule type="expression" dxfId="605" priority="389">
      <formula>G338="n"</formula>
    </cfRule>
  </conditionalFormatting>
  <conditionalFormatting sqref="D338">
    <cfRule type="expression" dxfId="604" priority="388">
      <formula>G338="n"</formula>
    </cfRule>
  </conditionalFormatting>
  <conditionalFormatting sqref="E338">
    <cfRule type="expression" dxfId="603" priority="387">
      <formula>G338="n"</formula>
    </cfRule>
  </conditionalFormatting>
  <conditionalFormatting sqref="D339">
    <cfRule type="expression" dxfId="602" priority="386">
      <formula>G339="n"</formula>
    </cfRule>
  </conditionalFormatting>
  <conditionalFormatting sqref="E339">
    <cfRule type="expression" dxfId="601" priority="385">
      <formula>G339="n"</formula>
    </cfRule>
  </conditionalFormatting>
  <conditionalFormatting sqref="D339">
    <cfRule type="expression" dxfId="600" priority="384">
      <formula>G339="n"</formula>
    </cfRule>
  </conditionalFormatting>
  <conditionalFormatting sqref="E339">
    <cfRule type="expression" dxfId="599" priority="383">
      <formula>G339="n"</formula>
    </cfRule>
  </conditionalFormatting>
  <conditionalFormatting sqref="F339">
    <cfRule type="expression" dxfId="598" priority="382">
      <formula>G339="n"</formula>
    </cfRule>
  </conditionalFormatting>
  <conditionalFormatting sqref="F339">
    <cfRule type="expression" dxfId="597" priority="381">
      <formula>G339="n"</formula>
    </cfRule>
  </conditionalFormatting>
  <conditionalFormatting sqref="D339">
    <cfRule type="expression" dxfId="596" priority="380">
      <formula>G339="n"</formula>
    </cfRule>
  </conditionalFormatting>
  <conditionalFormatting sqref="E339">
    <cfRule type="expression" dxfId="595" priority="379">
      <formula>G339="n"</formula>
    </cfRule>
  </conditionalFormatting>
  <conditionalFormatting sqref="D339">
    <cfRule type="expression" dxfId="594" priority="378">
      <formula>G339="n"</formula>
    </cfRule>
  </conditionalFormatting>
  <conditionalFormatting sqref="E339">
    <cfRule type="expression" dxfId="593" priority="377">
      <formula>G339="n"</formula>
    </cfRule>
  </conditionalFormatting>
  <conditionalFormatting sqref="A339">
    <cfRule type="expression" dxfId="592" priority="376">
      <formula>G339="n"</formula>
    </cfRule>
  </conditionalFormatting>
  <conditionalFormatting sqref="B339">
    <cfRule type="expression" dxfId="591" priority="375">
      <formula>G339="n"</formula>
    </cfRule>
  </conditionalFormatting>
  <conditionalFormatting sqref="C339">
    <cfRule type="expression" dxfId="590" priority="374">
      <formula>G339="n"</formula>
    </cfRule>
  </conditionalFormatting>
  <conditionalFormatting sqref="A339">
    <cfRule type="expression" dxfId="589" priority="373">
      <formula>G339="n"</formula>
    </cfRule>
  </conditionalFormatting>
  <conditionalFormatting sqref="B339">
    <cfRule type="expression" dxfId="588" priority="372">
      <formula>G339="n"</formula>
    </cfRule>
  </conditionalFormatting>
  <conditionalFormatting sqref="C339">
    <cfRule type="expression" dxfId="587" priority="371">
      <formula>G339="n"</formula>
    </cfRule>
  </conditionalFormatting>
  <conditionalFormatting sqref="D340">
    <cfRule type="expression" dxfId="586" priority="370">
      <formula>G340="n"</formula>
    </cfRule>
  </conditionalFormatting>
  <conditionalFormatting sqref="E340">
    <cfRule type="expression" dxfId="585" priority="369">
      <formula>G340="n"</formula>
    </cfRule>
  </conditionalFormatting>
  <conditionalFormatting sqref="D340">
    <cfRule type="expression" dxfId="584" priority="368">
      <formula>G340="n"</formula>
    </cfRule>
  </conditionalFormatting>
  <conditionalFormatting sqref="E340">
    <cfRule type="expression" dxfId="583" priority="367">
      <formula>G340="n"</formula>
    </cfRule>
  </conditionalFormatting>
  <conditionalFormatting sqref="F340">
    <cfRule type="expression" dxfId="582" priority="366">
      <formula>G340="n"</formula>
    </cfRule>
  </conditionalFormatting>
  <conditionalFormatting sqref="F340">
    <cfRule type="expression" dxfId="581" priority="365">
      <formula>G340="n"</formula>
    </cfRule>
  </conditionalFormatting>
  <conditionalFormatting sqref="D340">
    <cfRule type="expression" dxfId="580" priority="364">
      <formula>G340="n"</formula>
    </cfRule>
  </conditionalFormatting>
  <conditionalFormatting sqref="E340">
    <cfRule type="expression" dxfId="579" priority="363">
      <formula>G340="n"</formula>
    </cfRule>
  </conditionalFormatting>
  <conditionalFormatting sqref="D340">
    <cfRule type="expression" dxfId="578" priority="362">
      <formula>G340="n"</formula>
    </cfRule>
  </conditionalFormatting>
  <conditionalFormatting sqref="E340">
    <cfRule type="expression" dxfId="577" priority="361">
      <formula>G340="n"</formula>
    </cfRule>
  </conditionalFormatting>
  <conditionalFormatting sqref="A340:A343">
    <cfRule type="expression" dxfId="576" priority="360">
      <formula>G340="n"</formula>
    </cfRule>
  </conditionalFormatting>
  <conditionalFormatting sqref="B340:B343">
    <cfRule type="expression" dxfId="575" priority="359">
      <formula>G340="n"</formula>
    </cfRule>
  </conditionalFormatting>
  <conditionalFormatting sqref="C340">
    <cfRule type="expression" dxfId="574" priority="358">
      <formula>G340="n"</formula>
    </cfRule>
  </conditionalFormatting>
  <conditionalFormatting sqref="A340:A343">
    <cfRule type="expression" dxfId="573" priority="357">
      <formula>G340="n"</formula>
    </cfRule>
  </conditionalFormatting>
  <conditionalFormatting sqref="B340:B343">
    <cfRule type="expression" dxfId="572" priority="356">
      <formula>G340="n"</formula>
    </cfRule>
  </conditionalFormatting>
  <conditionalFormatting sqref="C340">
    <cfRule type="expression" dxfId="571" priority="355">
      <formula>G340="n"</formula>
    </cfRule>
  </conditionalFormatting>
  <conditionalFormatting sqref="F345">
    <cfRule type="expression" dxfId="570" priority="354">
      <formula>G345="n"</formula>
    </cfRule>
  </conditionalFormatting>
  <conditionalFormatting sqref="F345">
    <cfRule type="expression" dxfId="569" priority="353">
      <formula>G345="n"</formula>
    </cfRule>
  </conditionalFormatting>
  <conditionalFormatting sqref="A345">
    <cfRule type="expression" dxfId="568" priority="352">
      <formula>G345="n"</formula>
    </cfRule>
  </conditionalFormatting>
  <conditionalFormatting sqref="B345">
    <cfRule type="expression" dxfId="567" priority="351">
      <formula>G345="n"</formula>
    </cfRule>
  </conditionalFormatting>
  <conditionalFormatting sqref="C345">
    <cfRule type="expression" dxfId="566" priority="350">
      <formula>G345="n"</formula>
    </cfRule>
  </conditionalFormatting>
  <conditionalFormatting sqref="D345">
    <cfRule type="expression" dxfId="565" priority="349">
      <formula>G345="n"</formula>
    </cfRule>
  </conditionalFormatting>
  <conditionalFormatting sqref="E345">
    <cfRule type="expression" dxfId="564" priority="348">
      <formula>G345="n"</formula>
    </cfRule>
  </conditionalFormatting>
  <conditionalFormatting sqref="A345">
    <cfRule type="expression" dxfId="563" priority="347">
      <formula>G345="n"</formula>
    </cfRule>
  </conditionalFormatting>
  <conditionalFormatting sqref="B345">
    <cfRule type="expression" dxfId="562" priority="346">
      <formula>G345="n"</formula>
    </cfRule>
  </conditionalFormatting>
  <conditionalFormatting sqref="C345">
    <cfRule type="expression" dxfId="561" priority="345">
      <formula>G345="n"</formula>
    </cfRule>
  </conditionalFormatting>
  <conditionalFormatting sqref="D345">
    <cfRule type="expression" dxfId="560" priority="344">
      <formula>G345="n"</formula>
    </cfRule>
  </conditionalFormatting>
  <conditionalFormatting sqref="E345">
    <cfRule type="expression" dxfId="559" priority="343">
      <formula>G345="n"</formula>
    </cfRule>
  </conditionalFormatting>
  <conditionalFormatting sqref="A346:A347 A349:A350">
    <cfRule type="expression" dxfId="558" priority="340">
      <formula>G346="n"</formula>
    </cfRule>
  </conditionalFormatting>
  <conditionalFormatting sqref="B346:B347 B349:B350">
    <cfRule type="expression" dxfId="557" priority="339">
      <formula>G346="n"</formula>
    </cfRule>
  </conditionalFormatting>
  <conditionalFormatting sqref="A346:A347 A349:A350">
    <cfRule type="expression" dxfId="556" priority="335">
      <formula>G346="n"</formula>
    </cfRule>
  </conditionalFormatting>
  <conditionalFormatting sqref="B346:B347 B349:B350">
    <cfRule type="expression" dxfId="555" priority="334">
      <formula>G346="n"</formula>
    </cfRule>
  </conditionalFormatting>
  <conditionalFormatting sqref="A29">
    <cfRule type="expression" dxfId="554" priority="330">
      <formula>G29="n"</formula>
    </cfRule>
  </conditionalFormatting>
  <conditionalFormatting sqref="B29">
    <cfRule type="expression" dxfId="553" priority="329">
      <formula>G29="n"</formula>
    </cfRule>
  </conditionalFormatting>
  <conditionalFormatting sqref="C29">
    <cfRule type="expression" dxfId="552" priority="328">
      <formula>G29="n"</formula>
    </cfRule>
  </conditionalFormatting>
  <conditionalFormatting sqref="D29">
    <cfRule type="expression" dxfId="551" priority="327">
      <formula>G29="n"</formula>
    </cfRule>
  </conditionalFormatting>
  <conditionalFormatting sqref="E29">
    <cfRule type="expression" dxfId="550" priority="326">
      <formula>G29="n"</formula>
    </cfRule>
  </conditionalFormatting>
  <conditionalFormatting sqref="F29">
    <cfRule type="expression" dxfId="549" priority="325">
      <formula>G29="n"</formula>
    </cfRule>
  </conditionalFormatting>
  <conditionalFormatting sqref="A30">
    <cfRule type="expression" dxfId="548" priority="324">
      <formula>G30="n"</formula>
    </cfRule>
  </conditionalFormatting>
  <conditionalFormatting sqref="B30">
    <cfRule type="expression" dxfId="547" priority="323">
      <formula>G30="n"</formula>
    </cfRule>
  </conditionalFormatting>
  <conditionalFormatting sqref="C30">
    <cfRule type="expression" dxfId="546" priority="322">
      <formula>G30="n"</formula>
    </cfRule>
  </conditionalFormatting>
  <conditionalFormatting sqref="D30">
    <cfRule type="expression" dxfId="545" priority="321">
      <formula>G30="n"</formula>
    </cfRule>
  </conditionalFormatting>
  <conditionalFormatting sqref="E30">
    <cfRule type="expression" dxfId="544" priority="320">
      <formula>G30="n"</formula>
    </cfRule>
  </conditionalFormatting>
  <conditionalFormatting sqref="F30">
    <cfRule type="expression" dxfId="543" priority="319">
      <formula>G30="n"</formula>
    </cfRule>
  </conditionalFormatting>
  <conditionalFormatting sqref="F29">
    <cfRule type="expression" dxfId="542" priority="318">
      <formula>G29="n"</formula>
    </cfRule>
  </conditionalFormatting>
  <conditionalFormatting sqref="F30">
    <cfRule type="expression" dxfId="541" priority="317">
      <formula>G30="n"</formula>
    </cfRule>
  </conditionalFormatting>
  <conditionalFormatting sqref="F28">
    <cfRule type="expression" dxfId="540" priority="316">
      <formula>G28="n"</formula>
    </cfRule>
  </conditionalFormatting>
  <conditionalFormatting sqref="F28">
    <cfRule type="expression" dxfId="539" priority="315">
      <formula>G28="n"</formula>
    </cfRule>
  </conditionalFormatting>
  <conditionalFormatting sqref="A28">
    <cfRule type="expression" dxfId="538" priority="314">
      <formula>G28="n"</formula>
    </cfRule>
  </conditionalFormatting>
  <conditionalFormatting sqref="B28">
    <cfRule type="expression" dxfId="537" priority="313">
      <formula>G28="n"</formula>
    </cfRule>
  </conditionalFormatting>
  <conditionalFormatting sqref="C28">
    <cfRule type="expression" dxfId="536" priority="312">
      <formula>G28="n"</formula>
    </cfRule>
  </conditionalFormatting>
  <conditionalFormatting sqref="D28">
    <cfRule type="expression" dxfId="535" priority="311">
      <formula>G28="n"</formula>
    </cfRule>
  </conditionalFormatting>
  <conditionalFormatting sqref="E28">
    <cfRule type="expression" dxfId="534" priority="310">
      <formula>G28="n"</formula>
    </cfRule>
  </conditionalFormatting>
  <conditionalFormatting sqref="A29">
    <cfRule type="expression" dxfId="533" priority="309">
      <formula>G29="n"</formula>
    </cfRule>
  </conditionalFormatting>
  <conditionalFormatting sqref="B29">
    <cfRule type="expression" dxfId="532" priority="308">
      <formula>G29="n"</formula>
    </cfRule>
  </conditionalFormatting>
  <conditionalFormatting sqref="C29">
    <cfRule type="expression" dxfId="531" priority="307">
      <formula>G29="n"</formula>
    </cfRule>
  </conditionalFormatting>
  <conditionalFormatting sqref="D29">
    <cfRule type="expression" dxfId="530" priority="306">
      <formula>G29="n"</formula>
    </cfRule>
  </conditionalFormatting>
  <conditionalFormatting sqref="E29">
    <cfRule type="expression" dxfId="529" priority="305">
      <formula>G29="n"</formula>
    </cfRule>
  </conditionalFormatting>
  <conditionalFormatting sqref="A30">
    <cfRule type="expression" dxfId="528" priority="304">
      <formula>G30="n"</formula>
    </cfRule>
  </conditionalFormatting>
  <conditionalFormatting sqref="B30">
    <cfRule type="expression" dxfId="527" priority="303">
      <formula>G30="n"</formula>
    </cfRule>
  </conditionalFormatting>
  <conditionalFormatting sqref="C30">
    <cfRule type="expression" dxfId="526" priority="302">
      <formula>G30="n"</formula>
    </cfRule>
  </conditionalFormatting>
  <conditionalFormatting sqref="D30">
    <cfRule type="expression" dxfId="525" priority="301">
      <formula>G30="n"</formula>
    </cfRule>
  </conditionalFormatting>
  <conditionalFormatting sqref="E30">
    <cfRule type="expression" dxfId="524" priority="300">
      <formula>G30="n"</formula>
    </cfRule>
  </conditionalFormatting>
  <conditionalFormatting sqref="A30">
    <cfRule type="expression" dxfId="523" priority="299">
      <formula>G30="n"</formula>
    </cfRule>
  </conditionalFormatting>
  <conditionalFormatting sqref="B30">
    <cfRule type="expression" dxfId="522" priority="298">
      <formula>G30="n"</formula>
    </cfRule>
  </conditionalFormatting>
  <conditionalFormatting sqref="C30">
    <cfRule type="expression" dxfId="521" priority="297">
      <formula>G30="n"</formula>
    </cfRule>
  </conditionalFormatting>
  <conditionalFormatting sqref="D30">
    <cfRule type="expression" dxfId="520" priority="296">
      <formula>G30="n"</formula>
    </cfRule>
  </conditionalFormatting>
  <conditionalFormatting sqref="E30">
    <cfRule type="expression" dxfId="519" priority="295">
      <formula>G30="n"</formula>
    </cfRule>
  </conditionalFormatting>
  <conditionalFormatting sqref="F35">
    <cfRule type="expression" dxfId="518" priority="294">
      <formula>G35="n"</formula>
    </cfRule>
  </conditionalFormatting>
  <conditionalFormatting sqref="F35">
    <cfRule type="expression" dxfId="517" priority="293">
      <formula>G35="n"</formula>
    </cfRule>
  </conditionalFormatting>
  <conditionalFormatting sqref="C35">
    <cfRule type="expression" dxfId="516" priority="292">
      <formula>G35="n"</formula>
    </cfRule>
  </conditionalFormatting>
  <conditionalFormatting sqref="D35">
    <cfRule type="expression" dxfId="515" priority="291">
      <formula>G35="n"</formula>
    </cfRule>
  </conditionalFormatting>
  <conditionalFormatting sqref="E35">
    <cfRule type="expression" dxfId="514" priority="290">
      <formula>G35="n"</formula>
    </cfRule>
  </conditionalFormatting>
  <conditionalFormatting sqref="C35">
    <cfRule type="expression" dxfId="513" priority="289">
      <formula>G35="n"</formula>
    </cfRule>
  </conditionalFormatting>
  <conditionalFormatting sqref="D35">
    <cfRule type="expression" dxfId="512" priority="288">
      <formula>G35="n"</formula>
    </cfRule>
  </conditionalFormatting>
  <conditionalFormatting sqref="E35">
    <cfRule type="expression" dxfId="511" priority="287">
      <formula>G35="n"</formula>
    </cfRule>
  </conditionalFormatting>
  <conditionalFormatting sqref="F36">
    <cfRule type="expression" dxfId="510" priority="286">
      <formula>G36="n"</formula>
    </cfRule>
  </conditionalFormatting>
  <conditionalFormatting sqref="F36">
    <cfRule type="expression" dxfId="509" priority="285">
      <formula>G36="n"</formula>
    </cfRule>
  </conditionalFormatting>
  <conditionalFormatting sqref="C36">
    <cfRule type="expression" dxfId="508" priority="284">
      <formula>G36="n"</formula>
    </cfRule>
  </conditionalFormatting>
  <conditionalFormatting sqref="D36">
    <cfRule type="expression" dxfId="507" priority="283">
      <formula>G36="n"</formula>
    </cfRule>
  </conditionalFormatting>
  <conditionalFormatting sqref="E36">
    <cfRule type="expression" dxfId="506" priority="282">
      <formula>G36="n"</formula>
    </cfRule>
  </conditionalFormatting>
  <conditionalFormatting sqref="C36">
    <cfRule type="expression" dxfId="505" priority="281">
      <formula>G36="n"</formula>
    </cfRule>
  </conditionalFormatting>
  <conditionalFormatting sqref="D36">
    <cfRule type="expression" dxfId="504" priority="280">
      <formula>G36="n"</formula>
    </cfRule>
  </conditionalFormatting>
  <conditionalFormatting sqref="E36">
    <cfRule type="expression" dxfId="503" priority="279">
      <formula>G36="n"</formula>
    </cfRule>
  </conditionalFormatting>
  <conditionalFormatting sqref="F37">
    <cfRule type="expression" dxfId="502" priority="273">
      <formula>G37="n"</formula>
    </cfRule>
  </conditionalFormatting>
  <conditionalFormatting sqref="E37">
    <cfRule type="expression" dxfId="501" priority="278">
      <formula>G37="n"</formula>
    </cfRule>
  </conditionalFormatting>
  <conditionalFormatting sqref="C37">
    <cfRule type="expression" dxfId="500" priority="277">
      <formula>G37="n"</formula>
    </cfRule>
  </conditionalFormatting>
  <conditionalFormatting sqref="D37">
    <cfRule type="expression" dxfId="499" priority="276">
      <formula>G37="n"</formula>
    </cfRule>
  </conditionalFormatting>
  <conditionalFormatting sqref="C37">
    <cfRule type="expression" dxfId="498" priority="275">
      <formula>G37="n"</formula>
    </cfRule>
  </conditionalFormatting>
  <conditionalFormatting sqref="D37">
    <cfRule type="expression" dxfId="497" priority="274">
      <formula>G37="n"</formula>
    </cfRule>
  </conditionalFormatting>
  <conditionalFormatting sqref="B39">
    <cfRule type="expression" dxfId="496" priority="272">
      <formula>G39="n"</formula>
    </cfRule>
  </conditionalFormatting>
  <conditionalFormatting sqref="B39">
    <cfRule type="expression" dxfId="495" priority="271">
      <formula>G39="n"</formula>
    </cfRule>
  </conditionalFormatting>
  <conditionalFormatting sqref="F39">
    <cfRule type="expression" dxfId="494" priority="270">
      <formula>G39="n"</formula>
    </cfRule>
  </conditionalFormatting>
  <conditionalFormatting sqref="F39">
    <cfRule type="expression" dxfId="493" priority="269">
      <formula>G39="n"</formula>
    </cfRule>
  </conditionalFormatting>
  <conditionalFormatting sqref="C39">
    <cfRule type="expression" dxfId="492" priority="268">
      <formula>G39="n"</formula>
    </cfRule>
  </conditionalFormatting>
  <conditionalFormatting sqref="D39">
    <cfRule type="expression" dxfId="491" priority="267">
      <formula>G39="n"</formula>
    </cfRule>
  </conditionalFormatting>
  <conditionalFormatting sqref="E39">
    <cfRule type="expression" dxfId="490" priority="266">
      <formula>G39="n"</formula>
    </cfRule>
  </conditionalFormatting>
  <conditionalFormatting sqref="C39">
    <cfRule type="expression" dxfId="489" priority="265">
      <formula>G39="n"</formula>
    </cfRule>
  </conditionalFormatting>
  <conditionalFormatting sqref="D39">
    <cfRule type="expression" dxfId="488" priority="264">
      <formula>G39="n"</formula>
    </cfRule>
  </conditionalFormatting>
  <conditionalFormatting sqref="E39">
    <cfRule type="expression" dxfId="487" priority="263">
      <formula>G39="n"</formula>
    </cfRule>
  </conditionalFormatting>
  <conditionalFormatting sqref="F41">
    <cfRule type="expression" dxfId="486" priority="254">
      <formula>G41="n"</formula>
    </cfRule>
  </conditionalFormatting>
  <conditionalFormatting sqref="F41">
    <cfRule type="expression" dxfId="485" priority="253">
      <formula>G41="n"</formula>
    </cfRule>
  </conditionalFormatting>
  <conditionalFormatting sqref="B41">
    <cfRule type="expression" dxfId="484" priority="252">
      <formula>G41="n"</formula>
    </cfRule>
  </conditionalFormatting>
  <conditionalFormatting sqref="C41">
    <cfRule type="expression" dxfId="483" priority="251">
      <formula>G41="n"</formula>
    </cfRule>
  </conditionalFormatting>
  <conditionalFormatting sqref="D41">
    <cfRule type="expression" dxfId="482" priority="250">
      <formula>G41="n"</formula>
    </cfRule>
  </conditionalFormatting>
  <conditionalFormatting sqref="E41">
    <cfRule type="expression" dxfId="481" priority="249">
      <formula>G41="n"</formula>
    </cfRule>
  </conditionalFormatting>
  <conditionalFormatting sqref="B41">
    <cfRule type="expression" dxfId="480" priority="248">
      <formula>G41="n"</formula>
    </cfRule>
  </conditionalFormatting>
  <conditionalFormatting sqref="C41">
    <cfRule type="expression" dxfId="479" priority="247">
      <formula>G41="n"</formula>
    </cfRule>
  </conditionalFormatting>
  <conditionalFormatting sqref="D41">
    <cfRule type="expression" dxfId="478" priority="246">
      <formula>G41="n"</formula>
    </cfRule>
  </conditionalFormatting>
  <conditionalFormatting sqref="E41">
    <cfRule type="expression" dxfId="477" priority="245">
      <formula>G41="n"</formula>
    </cfRule>
  </conditionalFormatting>
  <conditionalFormatting sqref="E42">
    <cfRule type="expression" dxfId="476" priority="244">
      <formula>G42="n"</formula>
    </cfRule>
  </conditionalFormatting>
  <conditionalFormatting sqref="C42">
    <cfRule type="expression" dxfId="475" priority="243">
      <formula>G42="n"</formula>
    </cfRule>
  </conditionalFormatting>
  <conditionalFormatting sqref="D42">
    <cfRule type="expression" dxfId="474" priority="242">
      <formula>G42="n"</formula>
    </cfRule>
  </conditionalFormatting>
  <conditionalFormatting sqref="C42">
    <cfRule type="expression" dxfId="473" priority="241">
      <formula>G42="n"</formula>
    </cfRule>
  </conditionalFormatting>
  <conditionalFormatting sqref="D42">
    <cfRule type="expression" dxfId="472" priority="240">
      <formula>G42="n"</formula>
    </cfRule>
  </conditionalFormatting>
  <conditionalFormatting sqref="F42">
    <cfRule type="expression" dxfId="471" priority="239">
      <formula>G42="n"</formula>
    </cfRule>
  </conditionalFormatting>
  <conditionalFormatting sqref="F44">
    <cfRule type="expression" dxfId="470" priority="238">
      <formula>G44="n"</formula>
    </cfRule>
  </conditionalFormatting>
  <conditionalFormatting sqref="F44">
    <cfRule type="expression" dxfId="469" priority="237">
      <formula>G44="n"</formula>
    </cfRule>
  </conditionalFormatting>
  <conditionalFormatting sqref="C44">
    <cfRule type="expression" dxfId="468" priority="236">
      <formula>G44="n"</formula>
    </cfRule>
  </conditionalFormatting>
  <conditionalFormatting sqref="D44">
    <cfRule type="expression" dxfId="467" priority="235">
      <formula>G44="n"</formula>
    </cfRule>
  </conditionalFormatting>
  <conditionalFormatting sqref="E44">
    <cfRule type="expression" dxfId="466" priority="234">
      <formula>G44="n"</formula>
    </cfRule>
  </conditionalFormatting>
  <conditionalFormatting sqref="C44">
    <cfRule type="expression" dxfId="465" priority="233">
      <formula>G44="n"</formula>
    </cfRule>
  </conditionalFormatting>
  <conditionalFormatting sqref="D44">
    <cfRule type="expression" dxfId="464" priority="232">
      <formula>G44="n"</formula>
    </cfRule>
  </conditionalFormatting>
  <conditionalFormatting sqref="E44">
    <cfRule type="expression" dxfId="463" priority="231">
      <formula>G44="n"</formula>
    </cfRule>
  </conditionalFormatting>
  <conditionalFormatting sqref="F45">
    <cfRule type="expression" dxfId="462" priority="230">
      <formula>G45="n"</formula>
    </cfRule>
  </conditionalFormatting>
  <conditionalFormatting sqref="F45">
    <cfRule type="expression" dxfId="461" priority="229">
      <formula>G45="n"</formula>
    </cfRule>
  </conditionalFormatting>
  <conditionalFormatting sqref="C45">
    <cfRule type="expression" dxfId="460" priority="228">
      <formula>G45="n"</formula>
    </cfRule>
  </conditionalFormatting>
  <conditionalFormatting sqref="D45">
    <cfRule type="expression" dxfId="459" priority="227">
      <formula>G45="n"</formula>
    </cfRule>
  </conditionalFormatting>
  <conditionalFormatting sqref="E45">
    <cfRule type="expression" dxfId="458" priority="226">
      <formula>G45="n"</formula>
    </cfRule>
  </conditionalFormatting>
  <conditionalFormatting sqref="C45">
    <cfRule type="expression" dxfId="457" priority="225">
      <formula>G45="n"</formula>
    </cfRule>
  </conditionalFormatting>
  <conditionalFormatting sqref="D45">
    <cfRule type="expression" dxfId="456" priority="224">
      <formula>G45="n"</formula>
    </cfRule>
  </conditionalFormatting>
  <conditionalFormatting sqref="E45">
    <cfRule type="expression" dxfId="455" priority="223">
      <formula>G45="n"</formula>
    </cfRule>
  </conditionalFormatting>
  <conditionalFormatting sqref="E161">
    <cfRule type="expression" dxfId="454" priority="222">
      <formula>G161="n"</formula>
    </cfRule>
  </conditionalFormatting>
  <conditionalFormatting sqref="D161">
    <cfRule type="expression" dxfId="453" priority="221">
      <formula>G161="n"</formula>
    </cfRule>
  </conditionalFormatting>
  <conditionalFormatting sqref="D161">
    <cfRule type="expression" dxfId="452" priority="220">
      <formula>G161="n"</formula>
    </cfRule>
  </conditionalFormatting>
  <conditionalFormatting sqref="F161">
    <cfRule type="expression" dxfId="451" priority="219">
      <formula>G161="n"</formula>
    </cfRule>
  </conditionalFormatting>
  <conditionalFormatting sqref="C161">
    <cfRule type="expression" dxfId="450" priority="218">
      <formula>G161="n"</formula>
    </cfRule>
  </conditionalFormatting>
  <conditionalFormatting sqref="C161">
    <cfRule type="expression" dxfId="449" priority="217">
      <formula>G161="n"</formula>
    </cfRule>
  </conditionalFormatting>
  <conditionalFormatting sqref="E162">
    <cfRule type="expression" dxfId="448" priority="216">
      <formula>G162="n"</formula>
    </cfRule>
  </conditionalFormatting>
  <conditionalFormatting sqref="D162">
    <cfRule type="expression" dxfId="447" priority="215">
      <formula>G162="n"</formula>
    </cfRule>
  </conditionalFormatting>
  <conditionalFormatting sqref="D162">
    <cfRule type="expression" dxfId="446" priority="214">
      <formula>G162="n"</formula>
    </cfRule>
  </conditionalFormatting>
  <conditionalFormatting sqref="F162">
    <cfRule type="expression" dxfId="445" priority="213">
      <formula>G162="n"</formula>
    </cfRule>
  </conditionalFormatting>
  <conditionalFormatting sqref="C162">
    <cfRule type="expression" dxfId="444" priority="212">
      <formula>G162="n"</formula>
    </cfRule>
  </conditionalFormatting>
  <conditionalFormatting sqref="C162">
    <cfRule type="expression" dxfId="443" priority="211">
      <formula>G162="n"</formula>
    </cfRule>
  </conditionalFormatting>
  <conditionalFormatting sqref="E163">
    <cfRule type="expression" dxfId="442" priority="210">
      <formula>G163="n"</formula>
    </cfRule>
  </conditionalFormatting>
  <conditionalFormatting sqref="D163">
    <cfRule type="expression" dxfId="441" priority="209">
      <formula>G163="n"</formula>
    </cfRule>
  </conditionalFormatting>
  <conditionalFormatting sqref="D163">
    <cfRule type="expression" dxfId="440" priority="208">
      <formula>G163="n"</formula>
    </cfRule>
  </conditionalFormatting>
  <conditionalFormatting sqref="F163">
    <cfRule type="expression" dxfId="439" priority="207">
      <formula>G163="n"</formula>
    </cfRule>
  </conditionalFormatting>
  <conditionalFormatting sqref="C163">
    <cfRule type="expression" dxfId="438" priority="206">
      <formula>G163="n"</formula>
    </cfRule>
  </conditionalFormatting>
  <conditionalFormatting sqref="C163">
    <cfRule type="expression" dxfId="437" priority="205">
      <formula>G163="n"</formula>
    </cfRule>
  </conditionalFormatting>
  <conditionalFormatting sqref="E177">
    <cfRule type="expression" dxfId="436" priority="204">
      <formula>G177="n"</formula>
    </cfRule>
  </conditionalFormatting>
  <conditionalFormatting sqref="D177">
    <cfRule type="expression" dxfId="435" priority="203">
      <formula>G177="n"</formula>
    </cfRule>
  </conditionalFormatting>
  <conditionalFormatting sqref="D177">
    <cfRule type="expression" dxfId="434" priority="202">
      <formula>G177="n"</formula>
    </cfRule>
  </conditionalFormatting>
  <conditionalFormatting sqref="F177">
    <cfRule type="expression" dxfId="433" priority="201">
      <formula>G177="n"</formula>
    </cfRule>
  </conditionalFormatting>
  <conditionalFormatting sqref="E178">
    <cfRule type="expression" dxfId="432" priority="200">
      <formula>G178="n"</formula>
    </cfRule>
  </conditionalFormatting>
  <conditionalFormatting sqref="D178">
    <cfRule type="expression" dxfId="431" priority="199">
      <formula>G178="n"</formula>
    </cfRule>
  </conditionalFormatting>
  <conditionalFormatting sqref="D178">
    <cfRule type="expression" dxfId="430" priority="198">
      <formula>G178="n"</formula>
    </cfRule>
  </conditionalFormatting>
  <conditionalFormatting sqref="F178">
    <cfRule type="expression" dxfId="429" priority="197">
      <formula>G178="n"</formula>
    </cfRule>
  </conditionalFormatting>
  <conditionalFormatting sqref="B177">
    <cfRule type="expression" dxfId="428" priority="196">
      <formula>G177="n"</formula>
    </cfRule>
  </conditionalFormatting>
  <conditionalFormatting sqref="C177">
    <cfRule type="expression" dxfId="427" priority="195">
      <formula>G177="n"</formula>
    </cfRule>
  </conditionalFormatting>
  <conditionalFormatting sqref="B177">
    <cfRule type="expression" dxfId="426" priority="194">
      <formula>G177="n"</formula>
    </cfRule>
  </conditionalFormatting>
  <conditionalFormatting sqref="C177">
    <cfRule type="expression" dxfId="425" priority="193">
      <formula>G177="n"</formula>
    </cfRule>
  </conditionalFormatting>
  <conditionalFormatting sqref="B178">
    <cfRule type="expression" dxfId="424" priority="192">
      <formula>G178="n"</formula>
    </cfRule>
  </conditionalFormatting>
  <conditionalFormatting sqref="C178">
    <cfRule type="expression" dxfId="423" priority="191">
      <formula>G178="n"</formula>
    </cfRule>
  </conditionalFormatting>
  <conditionalFormatting sqref="B178">
    <cfRule type="expression" dxfId="422" priority="190">
      <formula>G178="n"</formula>
    </cfRule>
  </conditionalFormatting>
  <conditionalFormatting sqref="C178">
    <cfRule type="expression" dxfId="421" priority="189">
      <formula>G178="n"</formula>
    </cfRule>
  </conditionalFormatting>
  <conditionalFormatting sqref="F179">
    <cfRule type="expression" dxfId="420" priority="188">
      <formula>G179="n"</formula>
    </cfRule>
  </conditionalFormatting>
  <conditionalFormatting sqref="F179">
    <cfRule type="expression" dxfId="419" priority="187">
      <formula>G179="n"</formula>
    </cfRule>
  </conditionalFormatting>
  <conditionalFormatting sqref="B179">
    <cfRule type="expression" dxfId="418" priority="186">
      <formula>G179="n"</formula>
    </cfRule>
  </conditionalFormatting>
  <conditionalFormatting sqref="C179">
    <cfRule type="expression" dxfId="417" priority="185">
      <formula>G179="n"</formula>
    </cfRule>
  </conditionalFormatting>
  <conditionalFormatting sqref="D179">
    <cfRule type="expression" dxfId="416" priority="184">
      <formula>G179="n"</formula>
    </cfRule>
  </conditionalFormatting>
  <conditionalFormatting sqref="E179">
    <cfRule type="expression" dxfId="415" priority="183">
      <formula>G179="n"</formula>
    </cfRule>
  </conditionalFormatting>
  <conditionalFormatting sqref="B179">
    <cfRule type="expression" dxfId="414" priority="182">
      <formula>G179="n"</formula>
    </cfRule>
  </conditionalFormatting>
  <conditionalFormatting sqref="C179">
    <cfRule type="expression" dxfId="413" priority="181">
      <formula>G179="n"</formula>
    </cfRule>
  </conditionalFormatting>
  <conditionalFormatting sqref="D179">
    <cfRule type="expression" dxfId="412" priority="180">
      <formula>G179="n"</formula>
    </cfRule>
  </conditionalFormatting>
  <conditionalFormatting sqref="E179">
    <cfRule type="expression" dxfId="411" priority="179">
      <formula>G179="n"</formula>
    </cfRule>
  </conditionalFormatting>
  <conditionalFormatting sqref="F175">
    <cfRule type="expression" dxfId="410" priority="178">
      <formula>G175="n"</formula>
    </cfRule>
  </conditionalFormatting>
  <conditionalFormatting sqref="F175">
    <cfRule type="expression" dxfId="409" priority="177">
      <formula>G175="n"</formula>
    </cfRule>
  </conditionalFormatting>
  <conditionalFormatting sqref="C175">
    <cfRule type="expression" dxfId="408" priority="176">
      <formula>G175="n"</formula>
    </cfRule>
  </conditionalFormatting>
  <conditionalFormatting sqref="D175">
    <cfRule type="expression" dxfId="407" priority="175">
      <formula>G175="n"</formula>
    </cfRule>
  </conditionalFormatting>
  <conditionalFormatting sqref="E175">
    <cfRule type="expression" dxfId="406" priority="174">
      <formula>G175="n"</formula>
    </cfRule>
  </conditionalFormatting>
  <conditionalFormatting sqref="C175">
    <cfRule type="expression" dxfId="405" priority="173">
      <formula>G175="n"</formula>
    </cfRule>
  </conditionalFormatting>
  <conditionalFormatting sqref="D175">
    <cfRule type="expression" dxfId="404" priority="172">
      <formula>G175="n"</formula>
    </cfRule>
  </conditionalFormatting>
  <conditionalFormatting sqref="E175">
    <cfRule type="expression" dxfId="403" priority="171">
      <formula>G175="n"</formula>
    </cfRule>
  </conditionalFormatting>
  <conditionalFormatting sqref="F173">
    <cfRule type="expression" dxfId="402" priority="170">
      <formula>G173="n"</formula>
    </cfRule>
  </conditionalFormatting>
  <conditionalFormatting sqref="F173">
    <cfRule type="expression" dxfId="401" priority="169">
      <formula>G173="n"</formula>
    </cfRule>
  </conditionalFormatting>
  <conditionalFormatting sqref="C173">
    <cfRule type="expression" dxfId="400" priority="168">
      <formula>G173="n"</formula>
    </cfRule>
  </conditionalFormatting>
  <conditionalFormatting sqref="D173">
    <cfRule type="expression" dxfId="399" priority="167">
      <formula>G173="n"</formula>
    </cfRule>
  </conditionalFormatting>
  <conditionalFormatting sqref="E173">
    <cfRule type="expression" dxfId="398" priority="166">
      <formula>G173="n"</formula>
    </cfRule>
  </conditionalFormatting>
  <conditionalFormatting sqref="C173">
    <cfRule type="expression" dxfId="397" priority="165">
      <formula>G173="n"</formula>
    </cfRule>
  </conditionalFormatting>
  <conditionalFormatting sqref="D173">
    <cfRule type="expression" dxfId="396" priority="164">
      <formula>G173="n"</formula>
    </cfRule>
  </conditionalFormatting>
  <conditionalFormatting sqref="E173">
    <cfRule type="expression" dxfId="395" priority="163">
      <formula>G173="n"</formula>
    </cfRule>
  </conditionalFormatting>
  <conditionalFormatting sqref="F174">
    <cfRule type="expression" dxfId="394" priority="162">
      <formula>G174="n"</formula>
    </cfRule>
  </conditionalFormatting>
  <conditionalFormatting sqref="F174">
    <cfRule type="expression" dxfId="393" priority="161">
      <formula>G174="n"</formula>
    </cfRule>
  </conditionalFormatting>
  <conditionalFormatting sqref="C174">
    <cfRule type="expression" dxfId="392" priority="160">
      <formula>G174="n"</formula>
    </cfRule>
  </conditionalFormatting>
  <conditionalFormatting sqref="D174">
    <cfRule type="expression" dxfId="391" priority="159">
      <formula>G174="n"</formula>
    </cfRule>
  </conditionalFormatting>
  <conditionalFormatting sqref="E174">
    <cfRule type="expression" dxfId="390" priority="158">
      <formula>G174="n"</formula>
    </cfRule>
  </conditionalFormatting>
  <conditionalFormatting sqref="C174">
    <cfRule type="expression" dxfId="389" priority="157">
      <formula>G174="n"</formula>
    </cfRule>
  </conditionalFormatting>
  <conditionalFormatting sqref="D174">
    <cfRule type="expression" dxfId="388" priority="156">
      <formula>G174="n"</formula>
    </cfRule>
  </conditionalFormatting>
  <conditionalFormatting sqref="E174">
    <cfRule type="expression" dxfId="387" priority="155">
      <formula>G174="n"</formula>
    </cfRule>
  </conditionalFormatting>
  <conditionalFormatting sqref="F235">
    <cfRule type="expression" dxfId="386" priority="154">
      <formula>G235="n"</formula>
    </cfRule>
  </conditionalFormatting>
  <conditionalFormatting sqref="F235">
    <cfRule type="expression" dxfId="385" priority="153">
      <formula>G235="n"</formula>
    </cfRule>
  </conditionalFormatting>
  <conditionalFormatting sqref="C235">
    <cfRule type="expression" dxfId="384" priority="152">
      <formula>G235="n"</formula>
    </cfRule>
  </conditionalFormatting>
  <conditionalFormatting sqref="D235">
    <cfRule type="expression" dxfId="383" priority="151">
      <formula>G235="n"</formula>
    </cfRule>
  </conditionalFormatting>
  <conditionalFormatting sqref="E235">
    <cfRule type="expression" dxfId="382" priority="150">
      <formula>G235="n"</formula>
    </cfRule>
  </conditionalFormatting>
  <conditionalFormatting sqref="C235">
    <cfRule type="expression" dxfId="381" priority="149">
      <formula>G235="n"</formula>
    </cfRule>
  </conditionalFormatting>
  <conditionalFormatting sqref="D235">
    <cfRule type="expression" dxfId="380" priority="148">
      <formula>G235="n"</formula>
    </cfRule>
  </conditionalFormatting>
  <conditionalFormatting sqref="E235">
    <cfRule type="expression" dxfId="379" priority="147">
      <formula>G235="n"</formula>
    </cfRule>
  </conditionalFormatting>
  <conditionalFormatting sqref="F236">
    <cfRule type="expression" dxfId="378" priority="146">
      <formula>G236="n"</formula>
    </cfRule>
  </conditionalFormatting>
  <conditionalFormatting sqref="F236">
    <cfRule type="expression" dxfId="377" priority="145">
      <formula>G236="n"</formula>
    </cfRule>
  </conditionalFormatting>
  <conditionalFormatting sqref="C236">
    <cfRule type="expression" dxfId="376" priority="144">
      <formula>G236="n"</formula>
    </cfRule>
  </conditionalFormatting>
  <conditionalFormatting sqref="D236">
    <cfRule type="expression" dxfId="375" priority="143">
      <formula>G236="n"</formula>
    </cfRule>
  </conditionalFormatting>
  <conditionalFormatting sqref="E236">
    <cfRule type="expression" dxfId="374" priority="142">
      <formula>G236="n"</formula>
    </cfRule>
  </conditionalFormatting>
  <conditionalFormatting sqref="C236">
    <cfRule type="expression" dxfId="373" priority="141">
      <formula>G236="n"</formula>
    </cfRule>
  </conditionalFormatting>
  <conditionalFormatting sqref="D236">
    <cfRule type="expression" dxfId="372" priority="140">
      <formula>G236="n"</formula>
    </cfRule>
  </conditionalFormatting>
  <conditionalFormatting sqref="E236">
    <cfRule type="expression" dxfId="371" priority="139">
      <formula>G236="n"</formula>
    </cfRule>
  </conditionalFormatting>
  <conditionalFormatting sqref="F252">
    <cfRule type="expression" dxfId="370" priority="138">
      <formula>G252="n"</formula>
    </cfRule>
  </conditionalFormatting>
  <conditionalFormatting sqref="F252">
    <cfRule type="expression" dxfId="369" priority="137">
      <formula>G252="n"</formula>
    </cfRule>
  </conditionalFormatting>
  <conditionalFormatting sqref="C252">
    <cfRule type="expression" dxfId="368" priority="136">
      <formula>G252="n"</formula>
    </cfRule>
  </conditionalFormatting>
  <conditionalFormatting sqref="D252">
    <cfRule type="expression" dxfId="367" priority="135">
      <formula>G252="n"</formula>
    </cfRule>
  </conditionalFormatting>
  <conditionalFormatting sqref="E252">
    <cfRule type="expression" dxfId="366" priority="134">
      <formula>G252="n"</formula>
    </cfRule>
  </conditionalFormatting>
  <conditionalFormatting sqref="C252">
    <cfRule type="expression" dxfId="365" priority="133">
      <formula>G252="n"</formula>
    </cfRule>
  </conditionalFormatting>
  <conditionalFormatting sqref="D252">
    <cfRule type="expression" dxfId="364" priority="132">
      <formula>G252="n"</formula>
    </cfRule>
  </conditionalFormatting>
  <conditionalFormatting sqref="E252">
    <cfRule type="expression" dxfId="363" priority="131">
      <formula>G252="n"</formula>
    </cfRule>
  </conditionalFormatting>
  <conditionalFormatting sqref="E278">
    <cfRule type="expression" dxfId="362" priority="130">
      <formula>G278="n"</formula>
    </cfRule>
  </conditionalFormatting>
  <conditionalFormatting sqref="D278">
    <cfRule type="expression" dxfId="361" priority="129">
      <formula>G278="n"</formula>
    </cfRule>
  </conditionalFormatting>
  <conditionalFormatting sqref="D278">
    <cfRule type="expression" dxfId="360" priority="128">
      <formula>G278="n"</formula>
    </cfRule>
  </conditionalFormatting>
  <conditionalFormatting sqref="F278">
    <cfRule type="expression" dxfId="359" priority="127">
      <formula>G278="n"</formula>
    </cfRule>
  </conditionalFormatting>
  <conditionalFormatting sqref="E279">
    <cfRule type="expression" dxfId="358" priority="126">
      <formula>G279="n"</formula>
    </cfRule>
  </conditionalFormatting>
  <conditionalFormatting sqref="D279">
    <cfRule type="expression" dxfId="357" priority="125">
      <formula>G279="n"</formula>
    </cfRule>
  </conditionalFormatting>
  <conditionalFormatting sqref="D279">
    <cfRule type="expression" dxfId="356" priority="124">
      <formula>G279="n"</formula>
    </cfRule>
  </conditionalFormatting>
  <conditionalFormatting sqref="F279">
    <cfRule type="expression" dxfId="355" priority="123">
      <formula>G279="n"</formula>
    </cfRule>
  </conditionalFormatting>
  <conditionalFormatting sqref="F281">
    <cfRule type="expression" dxfId="354" priority="122">
      <formula>G281="n"</formula>
    </cfRule>
  </conditionalFormatting>
  <conditionalFormatting sqref="F281">
    <cfRule type="expression" dxfId="353" priority="121">
      <formula>G281="n"</formula>
    </cfRule>
  </conditionalFormatting>
  <conditionalFormatting sqref="C281">
    <cfRule type="expression" dxfId="352" priority="120">
      <formula>G281="n"</formula>
    </cfRule>
  </conditionalFormatting>
  <conditionalFormatting sqref="D281">
    <cfRule type="expression" dxfId="351" priority="119">
      <formula>G281="n"</formula>
    </cfRule>
  </conditionalFormatting>
  <conditionalFormatting sqref="E281">
    <cfRule type="expression" dxfId="350" priority="118">
      <formula>G281="n"</formula>
    </cfRule>
  </conditionalFormatting>
  <conditionalFormatting sqref="C281">
    <cfRule type="expression" dxfId="349" priority="117">
      <formula>G281="n"</formula>
    </cfRule>
  </conditionalFormatting>
  <conditionalFormatting sqref="D281">
    <cfRule type="expression" dxfId="348" priority="116">
      <formula>G281="n"</formula>
    </cfRule>
  </conditionalFormatting>
  <conditionalFormatting sqref="E281">
    <cfRule type="expression" dxfId="347" priority="115">
      <formula>G281="n"</formula>
    </cfRule>
  </conditionalFormatting>
  <conditionalFormatting sqref="D281">
    <cfRule type="expression" dxfId="346" priority="114">
      <formula>G281="n"</formula>
    </cfRule>
  </conditionalFormatting>
  <conditionalFormatting sqref="E281">
    <cfRule type="expression" dxfId="345" priority="113">
      <formula>G281="n"</formula>
    </cfRule>
  </conditionalFormatting>
  <conditionalFormatting sqref="D281">
    <cfRule type="expression" dxfId="344" priority="112">
      <formula>G281="n"</formula>
    </cfRule>
  </conditionalFormatting>
  <conditionalFormatting sqref="E281">
    <cfRule type="expression" dxfId="343" priority="111">
      <formula>G281="n"</formula>
    </cfRule>
  </conditionalFormatting>
  <conditionalFormatting sqref="C281">
    <cfRule type="expression" dxfId="342" priority="110">
      <formula>G281="n"</formula>
    </cfRule>
  </conditionalFormatting>
  <conditionalFormatting sqref="C281">
    <cfRule type="expression" dxfId="341" priority="109">
      <formula>G281="n"</formula>
    </cfRule>
  </conditionalFormatting>
  <conditionalFormatting sqref="F282">
    <cfRule type="expression" dxfId="340" priority="108">
      <formula>G282="n"</formula>
    </cfRule>
  </conditionalFormatting>
  <conditionalFormatting sqref="F282">
    <cfRule type="expression" dxfId="339" priority="107">
      <formula>G282="n"</formula>
    </cfRule>
  </conditionalFormatting>
  <conditionalFormatting sqref="C282">
    <cfRule type="expression" dxfId="338" priority="106">
      <formula>G282="n"</formula>
    </cfRule>
  </conditionalFormatting>
  <conditionalFormatting sqref="D282">
    <cfRule type="expression" dxfId="337" priority="105">
      <formula>G282="n"</formula>
    </cfRule>
  </conditionalFormatting>
  <conditionalFormatting sqref="E282">
    <cfRule type="expression" dxfId="336" priority="104">
      <formula>G282="n"</formula>
    </cfRule>
  </conditionalFormatting>
  <conditionalFormatting sqref="C282">
    <cfRule type="expression" dxfId="335" priority="103">
      <formula>G282="n"</formula>
    </cfRule>
  </conditionalFormatting>
  <conditionalFormatting sqref="D282">
    <cfRule type="expression" dxfId="334" priority="102">
      <formula>G282="n"</formula>
    </cfRule>
  </conditionalFormatting>
  <conditionalFormatting sqref="E282">
    <cfRule type="expression" dxfId="333" priority="101">
      <formula>G282="n"</formula>
    </cfRule>
  </conditionalFormatting>
  <conditionalFormatting sqref="F314">
    <cfRule type="expression" dxfId="332" priority="100">
      <formula>G314="n"</formula>
    </cfRule>
  </conditionalFormatting>
  <conditionalFormatting sqref="E314">
    <cfRule type="expression" dxfId="331" priority="99">
      <formula>G314="n"</formula>
    </cfRule>
  </conditionalFormatting>
  <conditionalFormatting sqref="C314">
    <cfRule type="expression" dxfId="330" priority="98">
      <formula>G314="n"</formula>
    </cfRule>
  </conditionalFormatting>
  <conditionalFormatting sqref="D314">
    <cfRule type="expression" dxfId="329" priority="97">
      <formula>G314="n"</formula>
    </cfRule>
  </conditionalFormatting>
  <conditionalFormatting sqref="C314">
    <cfRule type="expression" dxfId="328" priority="96">
      <formula>G314="n"</formula>
    </cfRule>
  </conditionalFormatting>
  <conditionalFormatting sqref="D314">
    <cfRule type="expression" dxfId="327" priority="95">
      <formula>G314="n"</formula>
    </cfRule>
  </conditionalFormatting>
  <conditionalFormatting sqref="F314">
    <cfRule type="expression" dxfId="326" priority="94">
      <formula>G314="n"</formula>
    </cfRule>
  </conditionalFormatting>
  <conditionalFormatting sqref="E314">
    <cfRule type="expression" dxfId="325" priority="93">
      <formula>G314="n"</formula>
    </cfRule>
  </conditionalFormatting>
  <conditionalFormatting sqref="C314">
    <cfRule type="expression" dxfId="324" priority="92">
      <formula>G314="n"</formula>
    </cfRule>
  </conditionalFormatting>
  <conditionalFormatting sqref="D314">
    <cfRule type="expression" dxfId="323" priority="91">
      <formula>G314="n"</formula>
    </cfRule>
  </conditionalFormatting>
  <conditionalFormatting sqref="C314">
    <cfRule type="expression" dxfId="322" priority="90">
      <formula>G314="n"</formula>
    </cfRule>
  </conditionalFormatting>
  <conditionalFormatting sqref="D314">
    <cfRule type="expression" dxfId="321" priority="89">
      <formula>G314="n"</formula>
    </cfRule>
  </conditionalFormatting>
  <conditionalFormatting sqref="F314">
    <cfRule type="expression" dxfId="320" priority="88">
      <formula>G314="n"</formula>
    </cfRule>
  </conditionalFormatting>
  <conditionalFormatting sqref="F314">
    <cfRule type="expression" dxfId="319" priority="87">
      <formula>G314="n"</formula>
    </cfRule>
  </conditionalFormatting>
  <conditionalFormatting sqref="D314">
    <cfRule type="expression" dxfId="318" priority="86">
      <formula>G314="n"</formula>
    </cfRule>
  </conditionalFormatting>
  <conditionalFormatting sqref="E314">
    <cfRule type="expression" dxfId="317" priority="85">
      <formula>G314="n"</formula>
    </cfRule>
  </conditionalFormatting>
  <conditionalFormatting sqref="D314">
    <cfRule type="expression" dxfId="316" priority="84">
      <formula>G314="n"</formula>
    </cfRule>
  </conditionalFormatting>
  <conditionalFormatting sqref="E314">
    <cfRule type="expression" dxfId="315" priority="83">
      <formula>G314="n"</formula>
    </cfRule>
  </conditionalFormatting>
  <conditionalFormatting sqref="D314">
    <cfRule type="expression" dxfId="314" priority="82">
      <formula>G314="n"</formula>
    </cfRule>
  </conditionalFormatting>
  <conditionalFormatting sqref="E314">
    <cfRule type="expression" dxfId="313" priority="81">
      <formula>G314="n"</formula>
    </cfRule>
  </conditionalFormatting>
  <conditionalFormatting sqref="D314">
    <cfRule type="expression" dxfId="312" priority="80">
      <formula>G314="n"</formula>
    </cfRule>
  </conditionalFormatting>
  <conditionalFormatting sqref="E314">
    <cfRule type="expression" dxfId="311" priority="79">
      <formula>G314="n"</formula>
    </cfRule>
  </conditionalFormatting>
  <conditionalFormatting sqref="C314">
    <cfRule type="expression" dxfId="310" priority="78">
      <formula>G314="n"</formula>
    </cfRule>
  </conditionalFormatting>
  <conditionalFormatting sqref="C314">
    <cfRule type="expression" dxfId="309" priority="77">
      <formula>G314="n"</formula>
    </cfRule>
  </conditionalFormatting>
  <conditionalFormatting sqref="F315">
    <cfRule type="expression" dxfId="308" priority="76">
      <formula>G315="n"</formula>
    </cfRule>
  </conditionalFormatting>
  <conditionalFormatting sqref="F315">
    <cfRule type="expression" dxfId="307" priority="75">
      <formula>G315="n"</formula>
    </cfRule>
  </conditionalFormatting>
  <conditionalFormatting sqref="C315">
    <cfRule type="expression" dxfId="306" priority="74">
      <formula>G315="n"</formula>
    </cfRule>
  </conditionalFormatting>
  <conditionalFormatting sqref="D315">
    <cfRule type="expression" dxfId="305" priority="73">
      <formula>G315="n"</formula>
    </cfRule>
  </conditionalFormatting>
  <conditionalFormatting sqref="E315">
    <cfRule type="expression" dxfId="304" priority="72">
      <formula>G315="n"</formula>
    </cfRule>
  </conditionalFormatting>
  <conditionalFormatting sqref="C315">
    <cfRule type="expression" dxfId="303" priority="71">
      <formula>G315="n"</formula>
    </cfRule>
  </conditionalFormatting>
  <conditionalFormatting sqref="D315">
    <cfRule type="expression" dxfId="302" priority="70">
      <formula>G315="n"</formula>
    </cfRule>
  </conditionalFormatting>
  <conditionalFormatting sqref="E315">
    <cfRule type="expression" dxfId="301" priority="69">
      <formula>G315="n"</formula>
    </cfRule>
  </conditionalFormatting>
  <conditionalFormatting sqref="F341">
    <cfRule type="expression" dxfId="300" priority="68">
      <formula>G341="n"</formula>
    </cfRule>
  </conditionalFormatting>
  <conditionalFormatting sqref="E341">
    <cfRule type="expression" dxfId="299" priority="67">
      <formula>G341="n"</formula>
    </cfRule>
  </conditionalFormatting>
  <conditionalFormatting sqref="C341">
    <cfRule type="expression" dxfId="298" priority="66">
      <formula>G341="n"</formula>
    </cfRule>
  </conditionalFormatting>
  <conditionalFormatting sqref="D341">
    <cfRule type="expression" dxfId="297" priority="65">
      <formula>G341="n"</formula>
    </cfRule>
  </conditionalFormatting>
  <conditionalFormatting sqref="C341">
    <cfRule type="expression" dxfId="296" priority="64">
      <formula>G341="n"</formula>
    </cfRule>
  </conditionalFormatting>
  <conditionalFormatting sqref="D341">
    <cfRule type="expression" dxfId="295" priority="63">
      <formula>G341="n"</formula>
    </cfRule>
  </conditionalFormatting>
  <conditionalFormatting sqref="F343">
    <cfRule type="expression" dxfId="294" priority="62">
      <formula>G343="n"</formula>
    </cfRule>
  </conditionalFormatting>
  <conditionalFormatting sqref="E343">
    <cfRule type="expression" dxfId="293" priority="61">
      <formula>G343="n"</formula>
    </cfRule>
  </conditionalFormatting>
  <conditionalFormatting sqref="C343">
    <cfRule type="expression" dxfId="292" priority="60">
      <formula>G343="n"</formula>
    </cfRule>
  </conditionalFormatting>
  <conditionalFormatting sqref="D343">
    <cfRule type="expression" dxfId="291" priority="59">
      <formula>G343="n"</formula>
    </cfRule>
  </conditionalFormatting>
  <conditionalFormatting sqref="C343">
    <cfRule type="expression" dxfId="290" priority="58">
      <formula>G343="n"</formula>
    </cfRule>
  </conditionalFormatting>
  <conditionalFormatting sqref="D343">
    <cfRule type="expression" dxfId="289" priority="57">
      <formula>G343="n"</formula>
    </cfRule>
  </conditionalFormatting>
  <conditionalFormatting sqref="D342">
    <cfRule type="expression" dxfId="288" priority="56">
      <formula>G342="n"</formula>
    </cfRule>
  </conditionalFormatting>
  <conditionalFormatting sqref="E342">
    <cfRule type="expression" dxfId="287" priority="55">
      <formula>G342="n"</formula>
    </cfRule>
  </conditionalFormatting>
  <conditionalFormatting sqref="D342">
    <cfRule type="expression" dxfId="286" priority="54">
      <formula>G342="n"</formula>
    </cfRule>
  </conditionalFormatting>
  <conditionalFormatting sqref="E342">
    <cfRule type="expression" dxfId="285" priority="53">
      <formula>G342="n"</formula>
    </cfRule>
  </conditionalFormatting>
  <conditionalFormatting sqref="F342">
    <cfRule type="expression" dxfId="284" priority="52">
      <formula>G342="n"</formula>
    </cfRule>
  </conditionalFormatting>
  <conditionalFormatting sqref="F342">
    <cfRule type="expression" dxfId="283" priority="51">
      <formula>G342="n"</formula>
    </cfRule>
  </conditionalFormatting>
  <conditionalFormatting sqref="D342">
    <cfRule type="expression" dxfId="282" priority="50">
      <formula>G342="n"</formula>
    </cfRule>
  </conditionalFormatting>
  <conditionalFormatting sqref="E342">
    <cfRule type="expression" dxfId="281" priority="49">
      <formula>G342="n"</formula>
    </cfRule>
  </conditionalFormatting>
  <conditionalFormatting sqref="D342">
    <cfRule type="expression" dxfId="280" priority="48">
      <formula>G342="n"</formula>
    </cfRule>
  </conditionalFormatting>
  <conditionalFormatting sqref="E342">
    <cfRule type="expression" dxfId="279" priority="47">
      <formula>G342="n"</formula>
    </cfRule>
  </conditionalFormatting>
  <conditionalFormatting sqref="C342">
    <cfRule type="expression" dxfId="278" priority="46">
      <formula>G342="n"</formula>
    </cfRule>
  </conditionalFormatting>
  <conditionalFormatting sqref="C342">
    <cfRule type="expression" dxfId="277" priority="45">
      <formula>G342="n"</formula>
    </cfRule>
  </conditionalFormatting>
  <conditionalFormatting sqref="E346">
    <cfRule type="expression" dxfId="276" priority="44">
      <formula>G346="n"</formula>
    </cfRule>
  </conditionalFormatting>
  <conditionalFormatting sqref="D346">
    <cfRule type="expression" dxfId="275" priority="43">
      <formula>G346="n"</formula>
    </cfRule>
  </conditionalFormatting>
  <conditionalFormatting sqref="D346">
    <cfRule type="expression" dxfId="274" priority="42">
      <formula>G346="n"</formula>
    </cfRule>
  </conditionalFormatting>
  <conditionalFormatting sqref="F346">
    <cfRule type="expression" dxfId="273" priority="41">
      <formula>G346="n"</formula>
    </cfRule>
  </conditionalFormatting>
  <conditionalFormatting sqref="C346">
    <cfRule type="expression" dxfId="272" priority="40">
      <formula>G346="n"</formula>
    </cfRule>
  </conditionalFormatting>
  <conditionalFormatting sqref="C346">
    <cfRule type="expression" dxfId="271" priority="39">
      <formula>G346="n"</formula>
    </cfRule>
  </conditionalFormatting>
  <conditionalFormatting sqref="E347">
    <cfRule type="expression" dxfId="270" priority="38">
      <formula>G347="n"</formula>
    </cfRule>
  </conditionalFormatting>
  <conditionalFormatting sqref="D347">
    <cfRule type="expression" dxfId="269" priority="37">
      <formula>G347="n"</formula>
    </cfRule>
  </conditionalFormatting>
  <conditionalFormatting sqref="D347">
    <cfRule type="expression" dxfId="268" priority="36">
      <formula>G347="n"</formula>
    </cfRule>
  </conditionalFormatting>
  <conditionalFormatting sqref="F347">
    <cfRule type="expression" dxfId="267" priority="35">
      <formula>G347="n"</formula>
    </cfRule>
  </conditionalFormatting>
  <conditionalFormatting sqref="C347">
    <cfRule type="expression" dxfId="266" priority="34">
      <formula>G347="n"</formula>
    </cfRule>
  </conditionalFormatting>
  <conditionalFormatting sqref="C347">
    <cfRule type="expression" dxfId="265" priority="33">
      <formula>G347="n"</formula>
    </cfRule>
  </conditionalFormatting>
  <conditionalFormatting sqref="F350">
    <cfRule type="expression" dxfId="264" priority="32">
      <formula>G350="n"</formula>
    </cfRule>
  </conditionalFormatting>
  <conditionalFormatting sqref="E350">
    <cfRule type="expression" dxfId="263" priority="31">
      <formula>G350="n"</formula>
    </cfRule>
  </conditionalFormatting>
  <conditionalFormatting sqref="C350">
    <cfRule type="expression" dxfId="262" priority="30">
      <formula>G350="n"</formula>
    </cfRule>
  </conditionalFormatting>
  <conditionalFormatting sqref="D350">
    <cfRule type="expression" dxfId="261" priority="29">
      <formula>G350="n"</formula>
    </cfRule>
  </conditionalFormatting>
  <conditionalFormatting sqref="C350">
    <cfRule type="expression" dxfId="260" priority="28">
      <formula>G350="n"</formula>
    </cfRule>
  </conditionalFormatting>
  <conditionalFormatting sqref="D350">
    <cfRule type="expression" dxfId="259" priority="27">
      <formula>G350="n"</formula>
    </cfRule>
  </conditionalFormatting>
  <conditionalFormatting sqref="D349">
    <cfRule type="expression" dxfId="258" priority="26">
      <formula>G349="n"</formula>
    </cfRule>
  </conditionalFormatting>
  <conditionalFormatting sqref="E349">
    <cfRule type="expression" dxfId="257" priority="25">
      <formula>G349="n"</formula>
    </cfRule>
  </conditionalFormatting>
  <conditionalFormatting sqref="D349">
    <cfRule type="expression" dxfId="256" priority="24">
      <formula>G349="n"</formula>
    </cfRule>
  </conditionalFormatting>
  <conditionalFormatting sqref="E349">
    <cfRule type="expression" dxfId="255" priority="23">
      <formula>G349="n"</formula>
    </cfRule>
  </conditionalFormatting>
  <conditionalFormatting sqref="F349">
    <cfRule type="expression" dxfId="254" priority="22">
      <formula>G349="n"</formula>
    </cfRule>
  </conditionalFormatting>
  <conditionalFormatting sqref="F349">
    <cfRule type="expression" dxfId="253" priority="21">
      <formula>G349="n"</formula>
    </cfRule>
  </conditionalFormatting>
  <conditionalFormatting sqref="D349">
    <cfRule type="expression" dxfId="252" priority="20">
      <formula>G349="n"</formula>
    </cfRule>
  </conditionalFormatting>
  <conditionalFormatting sqref="E349">
    <cfRule type="expression" dxfId="251" priority="19">
      <formula>G349="n"</formula>
    </cfRule>
  </conditionalFormatting>
  <conditionalFormatting sqref="D349">
    <cfRule type="expression" dxfId="250" priority="18">
      <formula>G349="n"</formula>
    </cfRule>
  </conditionalFormatting>
  <conditionalFormatting sqref="E349">
    <cfRule type="expression" dxfId="249" priority="17">
      <formula>G349="n"</formula>
    </cfRule>
  </conditionalFormatting>
  <conditionalFormatting sqref="C349">
    <cfRule type="expression" dxfId="248" priority="16">
      <formula>G349="n"</formula>
    </cfRule>
  </conditionalFormatting>
  <conditionalFormatting sqref="C349">
    <cfRule type="expression" dxfId="247" priority="15">
      <formula>G349="n"</formula>
    </cfRule>
  </conditionalFormatting>
  <conditionalFormatting sqref="C182">
    <cfRule type="expression" dxfId="246" priority="14">
      <formula>G182="n"</formula>
    </cfRule>
  </conditionalFormatting>
  <conditionalFormatting sqref="C182">
    <cfRule type="expression" dxfId="245" priority="13">
      <formula>G182="n"</formula>
    </cfRule>
  </conditionalFormatting>
  <conditionalFormatting sqref="C183">
    <cfRule type="expression" dxfId="244" priority="12">
      <formula>G183="n"</formula>
    </cfRule>
  </conditionalFormatting>
  <conditionalFormatting sqref="C183">
    <cfRule type="expression" dxfId="243" priority="11">
      <formula>G183="n"</formula>
    </cfRule>
  </conditionalFormatting>
  <conditionalFormatting sqref="C191">
    <cfRule type="expression" dxfId="242" priority="10">
      <formula>G191="n"</formula>
    </cfRule>
  </conditionalFormatting>
  <conditionalFormatting sqref="C191">
    <cfRule type="expression" dxfId="241" priority="9">
      <formula>G191="n"</formula>
    </cfRule>
  </conditionalFormatting>
  <conditionalFormatting sqref="C229">
    <cfRule type="expression" dxfId="240" priority="8">
      <formula>G229="n"</formula>
    </cfRule>
  </conditionalFormatting>
  <conditionalFormatting sqref="C229">
    <cfRule type="expression" dxfId="239" priority="7">
      <formula>G229="n"</formula>
    </cfRule>
  </conditionalFormatting>
  <conditionalFormatting sqref="F40">
    <cfRule type="expression" dxfId="238" priority="1">
      <formula>G40="n"</formula>
    </cfRule>
  </conditionalFormatting>
  <conditionalFormatting sqref="E40">
    <cfRule type="expression" dxfId="237" priority="6">
      <formula>G40="n"</formula>
    </cfRule>
  </conditionalFormatting>
  <conditionalFormatting sqref="C40">
    <cfRule type="expression" dxfId="236" priority="5">
      <formula>G40="n"</formula>
    </cfRule>
  </conditionalFormatting>
  <conditionalFormatting sqref="D40">
    <cfRule type="expression" dxfId="235" priority="4">
      <formula>G40="n"</formula>
    </cfRule>
  </conditionalFormatting>
  <conditionalFormatting sqref="C40">
    <cfRule type="expression" dxfId="234" priority="3">
      <formula>G40="n"</formula>
    </cfRule>
  </conditionalFormatting>
  <conditionalFormatting sqref="D40">
    <cfRule type="expression" dxfId="233" priority="2">
      <formula>G40="n"</formula>
    </cfRule>
  </conditionalFormatting>
  <dataValidations count="5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13 F16 F240 F250" xr:uid="{00000000-0002-0000-2C00-000001000000}">
      <formula1>0</formula1>
      <formula2>H13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17 F14 F342 F232 F32:F33 F47 F85 F157:F159 F165:F166 F168:F170 F44:F45 F181:F183 F186:F187 F190:F191 F229 F241 F246:F247 F235:F236 F285 F288 F290 F292 F294 F297 F299 F304 F306 F324 F333 F335 F354 F356 F308 F314:F315 F24:F26 F28:F30 F35:F36 F349 F179 F173:F176 F251:F252 F281:F282 F338:F340 F345 F39 F41" xr:uid="{00000000-0002-0000-2C00-000002000000}">
      <formula1>0</formula1>
      <formula2>H14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E336 E48:E51 E53:E54 E57:E84 E86 E42 E177:E178 E184 E188 E192:E195 E197:E198 E201:E228 E242 E248 E284 E286 E289 E293 E295:E296 E298 E300 E302:E303 E233 E325 E277:E280 E334 E355 E357 E307 E230 E161:E163 E37 E310:E312 E341 E343 E346:E347 E350 E40" xr:uid="{00000000-0002-0000-2C00-000003000000}">
      <formula1>0</formula1>
      <formula2>H37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D320:D323 D329:D332" xr:uid="{00000000-0002-0000-2C00-000004000000}">
      <formula1>0</formula1>
      <formula2>H320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/>
  </sheetViews>
  <sheetFormatPr defaultRowHeight="14.4"/>
  <cols>
    <col min="1" max="1" width="21.44140625" customWidth="1"/>
    <col min="2" max="2" width="19.33203125" customWidth="1"/>
    <col min="3" max="3" width="16" bestFit="1" customWidth="1"/>
    <col min="4" max="4" width="10.5546875" customWidth="1"/>
    <col min="5" max="5" width="16.109375" customWidth="1"/>
    <col min="6" max="6" width="20.44140625" customWidth="1"/>
    <col min="7" max="7" width="16" customWidth="1"/>
    <col min="8" max="8" width="17.44140625" customWidth="1"/>
    <col min="9" max="9" width="15.44140625" customWidth="1"/>
    <col min="10" max="10" width="11.5546875" customWidth="1"/>
    <col min="11" max="11" width="16.33203125" customWidth="1"/>
  </cols>
  <sheetData>
    <row r="1" spans="1:21" ht="15.6">
      <c r="A1" s="123" t="s">
        <v>217</v>
      </c>
      <c r="C1" s="138" t="s">
        <v>92</v>
      </c>
      <c r="D1" s="1673" t="str">
        <f>DATA!$C$1004</f>
        <v>NRA.N.007-040-2024/1F</v>
      </c>
      <c r="E1" s="1674"/>
      <c r="F1" s="280" t="s">
        <v>223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858</v>
      </c>
    </row>
    <row r="3" spans="1:21" ht="31.5" customHeight="1">
      <c r="A3" s="141"/>
      <c r="B3" s="234" t="s">
        <v>216</v>
      </c>
      <c r="C3" s="1675" t="str">
        <f>DATA!C1005</f>
        <v>CONSULTING ENGINEERING SERVICES FOR THE STRENGTHENING ON NATIONAL ROUTE N7 SECTION 4 FROM TRAWAL (km 42.00) TO KLAWER (km 54.00)</v>
      </c>
      <c r="D3" s="1676"/>
      <c r="E3" s="1676"/>
      <c r="F3" s="1676"/>
      <c r="G3" s="1676"/>
      <c r="H3" s="1676"/>
      <c r="I3" s="1676"/>
      <c r="J3" s="1676"/>
      <c r="K3" s="1677"/>
    </row>
    <row r="5" spans="1:21">
      <c r="A5" s="144"/>
      <c r="B5" s="135"/>
      <c r="C5" s="135"/>
      <c r="D5" s="137"/>
      <c r="E5" s="145" t="s">
        <v>60</v>
      </c>
      <c r="F5" s="136"/>
      <c r="G5" s="136"/>
      <c r="H5" s="136"/>
      <c r="I5" s="137"/>
      <c r="K5" s="130"/>
    </row>
    <row r="6" spans="1:21" ht="32.25" customHeight="1">
      <c r="A6" s="146" t="s">
        <v>62</v>
      </c>
      <c r="B6" s="147" t="s">
        <v>63</v>
      </c>
      <c r="C6" s="147" t="s">
        <v>64</v>
      </c>
      <c r="D6" s="148"/>
      <c r="E6" s="149" t="s">
        <v>65</v>
      </c>
      <c r="F6" s="150" t="s">
        <v>66</v>
      </c>
      <c r="G6" s="150" t="s">
        <v>67</v>
      </c>
      <c r="H6" s="150" t="s">
        <v>68</v>
      </c>
      <c r="I6" s="150" t="s">
        <v>69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PD, DD, AMW, CO</v>
      </c>
      <c r="D7" s="143"/>
      <c r="E7" s="151">
        <f>DATA!E1010</f>
        <v>0</v>
      </c>
      <c r="F7" s="151">
        <f>DATA!F1010</f>
        <v>0.22</v>
      </c>
      <c r="G7" s="151">
        <f>DATA!G1010</f>
        <v>0.44</v>
      </c>
      <c r="H7" s="151">
        <f>DATA!H1010</f>
        <v>0.28000000000000003</v>
      </c>
      <c r="I7" s="151">
        <f>DATA!I1010</f>
        <v>0.06</v>
      </c>
    </row>
    <row r="8" spans="1:21">
      <c r="A8" s="124" t="str">
        <f>DATA!B1011</f>
        <v>Structures</v>
      </c>
      <c r="B8" s="142" t="str">
        <f>DATA!C1011</f>
        <v>Structures</v>
      </c>
      <c r="C8" s="142" t="str">
        <f>DATA!D1011</f>
        <v>None</v>
      </c>
      <c r="D8" s="143"/>
      <c r="E8" s="151">
        <f>DATA!E1011</f>
        <v>0</v>
      </c>
      <c r="F8" s="151">
        <f>DATA!F1011</f>
        <v>0</v>
      </c>
      <c r="G8" s="151">
        <f>DATA!G1011</f>
        <v>0</v>
      </c>
      <c r="H8" s="151">
        <f>DATA!H1011</f>
        <v>0</v>
      </c>
      <c r="I8" s="151">
        <f>DATA!I1011</f>
        <v>0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None</v>
      </c>
      <c r="D9" s="143"/>
      <c r="E9" s="151">
        <f>DATA!E1012</f>
        <v>0</v>
      </c>
      <c r="F9" s="151">
        <f>DATA!F1012</f>
        <v>0</v>
      </c>
      <c r="G9" s="151">
        <f>DATA!G1012</f>
        <v>0</v>
      </c>
      <c r="H9" s="151">
        <f>DATA!H1012</f>
        <v>0</v>
      </c>
      <c r="I9" s="151">
        <f>DATA!I1012</f>
        <v>0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875</v>
      </c>
      <c r="U15" t="s">
        <v>93</v>
      </c>
    </row>
    <row r="16" spans="1:21" ht="28.8">
      <c r="A16" s="138" t="s">
        <v>94</v>
      </c>
      <c r="B16" s="138" t="s">
        <v>70</v>
      </c>
      <c r="C16" s="138" t="s">
        <v>859</v>
      </c>
      <c r="D16" s="150" t="s">
        <v>860</v>
      </c>
      <c r="E16" s="150" t="s">
        <v>78</v>
      </c>
      <c r="F16" s="150" t="s">
        <v>79</v>
      </c>
      <c r="G16" s="150" t="s">
        <v>80</v>
      </c>
      <c r="H16" s="150" t="s">
        <v>95</v>
      </c>
      <c r="I16" s="150" t="s">
        <v>82</v>
      </c>
      <c r="K16" s="150" t="s">
        <v>96</v>
      </c>
    </row>
    <row r="17" spans="1:28">
      <c r="A17" s="124" t="str">
        <f>DATA!B1010</f>
        <v>Road works</v>
      </c>
      <c r="B17" s="152">
        <f>IF(DATA!D1010="None",0,DATA!J1010)</f>
        <v>145000000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73</v>
      </c>
      <c r="W17" s="124" t="s">
        <v>74</v>
      </c>
      <c r="X17" s="124" t="s">
        <v>75</v>
      </c>
      <c r="Y17" s="124" t="s">
        <v>76</v>
      </c>
      <c r="Z17" s="124" t="s">
        <v>77</v>
      </c>
    </row>
    <row r="18" spans="1:28">
      <c r="A18" s="124" t="str">
        <f>DATA!B1011</f>
        <v>Structures</v>
      </c>
      <c r="B18" s="152">
        <f>IF(DATA!D1011="None",0,DATA!J1011)</f>
        <v>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78</v>
      </c>
      <c r="W18" s="128" t="s">
        <v>79</v>
      </c>
      <c r="X18" s="128" t="s">
        <v>80</v>
      </c>
      <c r="Y18" s="128" t="s">
        <v>81</v>
      </c>
      <c r="Z18" s="128" t="s">
        <v>82</v>
      </c>
    </row>
    <row r="19" spans="1:28">
      <c r="A19" s="124" t="str">
        <f>DATA!B1012</f>
        <v>Electrical</v>
      </c>
      <c r="B19" s="152">
        <f>IF(DATA!D1012="None",0,DATA!J1012)</f>
        <v>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71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73</v>
      </c>
      <c r="V20" s="127">
        <v>1</v>
      </c>
      <c r="W20" s="127" t="s">
        <v>18</v>
      </c>
      <c r="X20" s="127" t="s">
        <v>18</v>
      </c>
      <c r="Y20" s="127" t="s">
        <v>18</v>
      </c>
      <c r="Z20" s="127" t="s">
        <v>18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84</v>
      </c>
      <c r="V21" s="127">
        <v>0.2</v>
      </c>
      <c r="W21" s="127">
        <v>0.8</v>
      </c>
      <c r="X21" s="127" t="s">
        <v>18</v>
      </c>
      <c r="Y21" s="127" t="s">
        <v>18</v>
      </c>
      <c r="Z21" s="127" t="s">
        <v>18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86</v>
      </c>
      <c r="V22" s="127">
        <v>0.08</v>
      </c>
      <c r="W22" s="127">
        <v>0.31</v>
      </c>
      <c r="X22" s="127">
        <v>0.61</v>
      </c>
      <c r="Y22" s="127" t="s">
        <v>18</v>
      </c>
      <c r="Z22" s="127" t="s">
        <v>18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74</v>
      </c>
      <c r="V23" s="127" t="s">
        <v>18</v>
      </c>
      <c r="W23" s="127">
        <v>1</v>
      </c>
      <c r="X23" s="127" t="s">
        <v>18</v>
      </c>
      <c r="Y23" s="127" t="s">
        <v>18</v>
      </c>
      <c r="Z23" s="127" t="s">
        <v>18</v>
      </c>
      <c r="AB23" s="131">
        <v>1</v>
      </c>
    </row>
    <row r="24" spans="1:28">
      <c r="D24" s="154"/>
      <c r="U24" s="128" t="s">
        <v>87</v>
      </c>
      <c r="V24" s="127" t="s">
        <v>18</v>
      </c>
      <c r="W24" s="127">
        <v>0.33</v>
      </c>
      <c r="X24" s="127">
        <v>0.67</v>
      </c>
      <c r="Y24" s="127" t="s">
        <v>18</v>
      </c>
      <c r="Z24" s="127" t="s">
        <v>18</v>
      </c>
      <c r="AB24" s="131">
        <v>1</v>
      </c>
    </row>
    <row r="25" spans="1:28" ht="15" thickBot="1">
      <c r="A25" t="s">
        <v>96</v>
      </c>
      <c r="B25" s="155">
        <f>DATA!J1017</f>
        <v>145000000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72</v>
      </c>
      <c r="V25" s="127" t="s">
        <v>18</v>
      </c>
      <c r="W25" s="127" t="s">
        <v>18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" thickTop="1">
      <c r="U26" s="128" t="s">
        <v>88</v>
      </c>
      <c r="V26" s="127" t="s">
        <v>18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876</v>
      </c>
      <c r="U27" s="128" t="s">
        <v>89</v>
      </c>
      <c r="V27" s="127" t="s">
        <v>18</v>
      </c>
      <c r="W27" s="127" t="s">
        <v>18</v>
      </c>
      <c r="X27" s="127" t="s">
        <v>18</v>
      </c>
      <c r="Y27" s="127">
        <v>0.83</v>
      </c>
      <c r="Z27" s="127">
        <v>0.17</v>
      </c>
      <c r="AB27" s="131">
        <v>1</v>
      </c>
    </row>
    <row r="28" spans="1:28" ht="28.8">
      <c r="A28" s="138" t="s">
        <v>94</v>
      </c>
      <c r="B28" s="138" t="s">
        <v>70</v>
      </c>
      <c r="C28" s="138" t="s">
        <v>859</v>
      </c>
      <c r="D28" s="150" t="s">
        <v>860</v>
      </c>
      <c r="E28" s="150" t="s">
        <v>78</v>
      </c>
      <c r="F28" s="150" t="s">
        <v>79</v>
      </c>
      <c r="G28" s="150" t="s">
        <v>80</v>
      </c>
      <c r="H28" s="150" t="s">
        <v>95</v>
      </c>
      <c r="I28" s="150" t="s">
        <v>82</v>
      </c>
      <c r="K28" s="150" t="s">
        <v>96</v>
      </c>
    </row>
    <row r="29" spans="1:28">
      <c r="A29" s="124" t="str">
        <f>A17</f>
        <v>Road works</v>
      </c>
      <c r="B29" s="152">
        <f>IF(DATA!D1010="None",0,DATA!J1010)</f>
        <v>145000000</v>
      </c>
      <c r="C29" s="152">
        <f>IF(DATA!D1010="None",0,'All Hours'!F71)</f>
        <v>0</v>
      </c>
      <c r="D29" s="153">
        <f t="shared" ref="D29:D35" si="4">IF(B29=0,0,C29/B29)</f>
        <v>0</v>
      </c>
      <c r="E29" s="152">
        <f>'C3.4'!N10+'C3.4'!N11</f>
        <v>0</v>
      </c>
      <c r="F29" s="152">
        <f>'C3.4'!N32+'C3.4'!N33</f>
        <v>0</v>
      </c>
      <c r="G29" s="152">
        <f>'C3.4'!N54+'C3.4'!N55</f>
        <v>0</v>
      </c>
      <c r="H29" s="152">
        <f>'C3.7'!N10+'C3.7'!N11</f>
        <v>0</v>
      </c>
      <c r="I29" s="152">
        <f>'C3.10'!N10+'C3.10'!N11</f>
        <v>0</v>
      </c>
      <c r="K29" s="152">
        <f>SUM(E29:I29)</f>
        <v>0</v>
      </c>
    </row>
    <row r="30" spans="1:28">
      <c r="A30" s="124" t="str">
        <f t="shared" ref="A30:A35" si="5">A18</f>
        <v>Structures</v>
      </c>
      <c r="B30" s="152">
        <f>IF(DATA!D1011="None",0,DATA!J1011)</f>
        <v>0</v>
      </c>
      <c r="C30" s="152">
        <f>IF(DATA!D1011="None",0,'All Hours'!F72)</f>
        <v>0</v>
      </c>
      <c r="D30" s="153">
        <f t="shared" si="4"/>
        <v>0</v>
      </c>
      <c r="E30" s="152">
        <f>'C3.4'!N13+'C3.4'!N14</f>
        <v>0</v>
      </c>
      <c r="F30" s="152">
        <f>'C3.4'!N35+'C3.4'!N36</f>
        <v>0</v>
      </c>
      <c r="G30" s="152">
        <f>'C3.4'!N57+'C3.4'!N58</f>
        <v>0</v>
      </c>
      <c r="H30" s="152">
        <f>'C3.7'!N13+'C3.7'!N14</f>
        <v>0</v>
      </c>
      <c r="I30" s="152">
        <f>'C3.10'!N13+'C3.10'!N14</f>
        <v>0</v>
      </c>
      <c r="K30" s="152">
        <f t="shared" ref="K30:K35" si="6">SUM(E30:I30)</f>
        <v>0</v>
      </c>
    </row>
    <row r="31" spans="1:28">
      <c r="A31" s="124" t="str">
        <f t="shared" si="5"/>
        <v>Electrical</v>
      </c>
      <c r="B31" s="152">
        <f>IF(DATA!D1012="None",0,DATA!J1012)</f>
        <v>0</v>
      </c>
      <c r="C31" s="152">
        <f>IF(DATA!D1012="None",0,'All Hours'!F73)</f>
        <v>0</v>
      </c>
      <c r="D31" s="153">
        <f t="shared" si="4"/>
        <v>0</v>
      </c>
      <c r="E31" s="152">
        <f>'C3.4'!N16+'C3.4'!N17</f>
        <v>0</v>
      </c>
      <c r="F31" s="152">
        <f>'C3.4'!N38+'C3.4'!N39</f>
        <v>0</v>
      </c>
      <c r="G31" s="152">
        <f>'C3.4'!N60+'C3.4'!N61</f>
        <v>0</v>
      </c>
      <c r="H31" s="152">
        <f>'C3.7'!N16+'C3.7'!N17</f>
        <v>0</v>
      </c>
      <c r="I31" s="152">
        <f>'C3.10'!N16+'C3.10'!N17</f>
        <v>0</v>
      </c>
      <c r="K31" s="152">
        <f t="shared" si="6"/>
        <v>0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>
        <f>'C3.4'!N19+'C3.4'!N20</f>
        <v>0</v>
      </c>
      <c r="F32" s="152">
        <f>'C3.4'!N41+'C3.4'!N42</f>
        <v>0</v>
      </c>
      <c r="G32" s="152">
        <f>'C3.4'!N63+'C3.4'!N64</f>
        <v>0</v>
      </c>
      <c r="H32" s="152">
        <f>'C3.7'!N19+'C3.7'!N20</f>
        <v>0</v>
      </c>
      <c r="I32" s="152">
        <f>'C3.10'!N19+'C3.10'!N20</f>
        <v>0</v>
      </c>
      <c r="K32" s="152">
        <f t="shared" si="6"/>
        <v>0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>
        <f>'C3.4'!N22+'C3.4'!N23</f>
        <v>0</v>
      </c>
      <c r="F33" s="152">
        <f>'C3.4'!N44+'C3.4'!N45</f>
        <v>0</v>
      </c>
      <c r="G33" s="152">
        <f>'C3.4'!N66+'C3.4'!N67</f>
        <v>0</v>
      </c>
      <c r="H33" s="152">
        <f>'C3.7'!N22+'C3.7'!N23</f>
        <v>0</v>
      </c>
      <c r="I33" s="152">
        <f>'C3.10'!N22+'C3.10'!N23</f>
        <v>0</v>
      </c>
      <c r="K33" s="152">
        <f t="shared" si="6"/>
        <v>0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>
        <f>'C3.4'!N25+'C3.4'!N26</f>
        <v>0</v>
      </c>
      <c r="F34" s="152">
        <f>'C3.4'!N47+'C3.4'!N48</f>
        <v>0</v>
      </c>
      <c r="G34" s="152">
        <f>'C3.4'!N69+'C3.4'!N70</f>
        <v>0</v>
      </c>
      <c r="H34" s="152">
        <f>'C3.7'!N25+'C3.7'!N26</f>
        <v>0</v>
      </c>
      <c r="I34" s="152">
        <f>'C3.10'!N25+'C3.10'!N26</f>
        <v>0</v>
      </c>
      <c r="K34" s="152">
        <f t="shared" si="6"/>
        <v>0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>
        <f>'C3.4'!N28+'C3.4'!N29</f>
        <v>0</v>
      </c>
      <c r="F35" s="152">
        <f>'C3.4'!N50+'C3.4'!N51</f>
        <v>0</v>
      </c>
      <c r="G35" s="152">
        <f>'C3.4'!N72+'C3.4'!N73</f>
        <v>0</v>
      </c>
      <c r="H35" s="152">
        <f>'C3.7'!N28+'C3.7'!N29</f>
        <v>0</v>
      </c>
      <c r="I35" s="152">
        <f>'C3.10'!N28+'C3.10'!N29</f>
        <v>0</v>
      </c>
      <c r="K35" s="152">
        <f t="shared" si="6"/>
        <v>0</v>
      </c>
    </row>
    <row r="36" spans="1:11">
      <c r="D36" s="154"/>
    </row>
    <row r="37" spans="1:11" ht="15" thickBot="1">
      <c r="A37" t="s">
        <v>96</v>
      </c>
      <c r="B37" s="155">
        <f>DATA!J1017</f>
        <v>145000000</v>
      </c>
      <c r="C37" s="152">
        <f>C29+C30+C31+C32+C33+C34+C35</f>
        <v>0</v>
      </c>
      <c r="D37" s="153">
        <f t="shared" ref="D37" si="7">IF(B37=0,0,C37/B37)</f>
        <v>0</v>
      </c>
      <c r="E37" s="152">
        <f>SUM(E29:E35)</f>
        <v>0</v>
      </c>
      <c r="F37" s="152">
        <f t="shared" ref="F37:H37" si="8">SUM(F29:F35)</f>
        <v>0</v>
      </c>
      <c r="G37" s="152">
        <f t="shared" si="8"/>
        <v>0</v>
      </c>
      <c r="H37" s="152">
        <f t="shared" si="8"/>
        <v>0</v>
      </c>
      <c r="I37" s="152">
        <f>SUM(I29:I35)</f>
        <v>0</v>
      </c>
      <c r="K37" s="152">
        <f>SUM(K29:K35)</f>
        <v>0</v>
      </c>
    </row>
    <row r="38" spans="1:11" ht="15" thickTop="1">
      <c r="A38" t="s">
        <v>877</v>
      </c>
      <c r="D38" s="936">
        <f>K37/B37</f>
        <v>0</v>
      </c>
      <c r="E38" s="937" t="str">
        <f>IF(E25=0,"",E37/E25)</f>
        <v/>
      </c>
      <c r="F38" s="937" t="str">
        <f t="shared" ref="F38:I38" si="9">IF(F25=0,"",F37/F25)</f>
        <v/>
      </c>
      <c r="G38" s="937" t="str">
        <f t="shared" si="9"/>
        <v/>
      </c>
      <c r="H38" s="937" t="str">
        <f t="shared" si="9"/>
        <v/>
      </c>
      <c r="I38" s="937" t="str">
        <f t="shared" si="9"/>
        <v/>
      </c>
      <c r="K38" s="937" t="e">
        <f>K37/K25</f>
        <v>#DIV/0!</v>
      </c>
    </row>
  </sheetData>
  <sheetProtection algorithmName="SHA-512" hashValue="DenPWH3Mm3A4D7pC74SQTCn5FHLIGEMsJ/MwqFeQhJ7BltK+wF0c2YRxiF7XD/iH0vJbfm66M0n/WqVh3RdcdQ==" saltValue="fePdeqPD+s3Y3phdZ0MNoQ==" spinCount="100000" sheet="1" objects="1" scenarios="1"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workbookViewId="0"/>
  </sheetViews>
  <sheetFormatPr defaultColWidth="13.88671875" defaultRowHeight="14.4"/>
  <cols>
    <col min="1" max="2" width="13.88671875" style="177"/>
    <col min="3" max="3" width="15" style="177" customWidth="1"/>
    <col min="4" max="9" width="13.88671875" style="177"/>
    <col min="10" max="10" width="17.5546875" style="177" customWidth="1"/>
    <col min="11" max="16384" width="13.88671875" style="177"/>
  </cols>
  <sheetData>
    <row r="1" spans="1:26">
      <c r="B1" s="1075" t="s">
        <v>976</v>
      </c>
      <c r="S1" s="177" t="s">
        <v>669</v>
      </c>
    </row>
    <row r="2" spans="1:26">
      <c r="A2" s="177">
        <v>1</v>
      </c>
      <c r="B2" s="177" t="s">
        <v>224</v>
      </c>
      <c r="S2" s="177">
        <f>A15</f>
        <v>45135</v>
      </c>
      <c r="T2" s="1076">
        <f>S2</f>
        <v>45135</v>
      </c>
      <c r="U2" s="1076">
        <f>VLOOKUP(1,$X$2:$Y$41,2,FALSE)</f>
        <v>45017</v>
      </c>
      <c r="W2" s="1076">
        <v>41730</v>
      </c>
      <c r="X2" s="177">
        <f>IF($T$2&lt;W2,1,0)</f>
        <v>0</v>
      </c>
      <c r="Y2" s="1076">
        <f>W2</f>
        <v>41730</v>
      </c>
      <c r="Z2" s="177" t="s">
        <v>300</v>
      </c>
    </row>
    <row r="3" spans="1:26">
      <c r="A3" s="177">
        <v>2</v>
      </c>
      <c r="B3" s="177" t="s">
        <v>225</v>
      </c>
      <c r="E3" s="177" t="s">
        <v>606</v>
      </c>
      <c r="F3" s="177" t="s">
        <v>606</v>
      </c>
      <c r="W3" s="1076">
        <v>42004</v>
      </c>
      <c r="X3" s="177">
        <f>IF(X2=1,0,IF($T$2&lt;W3,1,0))</f>
        <v>0</v>
      </c>
      <c r="Y3" s="1076">
        <f>W2</f>
        <v>41730</v>
      </c>
    </row>
    <row r="4" spans="1:26">
      <c r="E4" s="1076">
        <v>42401</v>
      </c>
      <c r="F4" s="1076">
        <v>42095</v>
      </c>
      <c r="W4" s="1076">
        <f>W2+365</f>
        <v>42095</v>
      </c>
      <c r="X4" s="177">
        <f>IF(SUM($X$2:X3)=1,0,IF($T$2&lt;W4,1,0))</f>
        <v>0</v>
      </c>
      <c r="Y4" s="1076">
        <f t="shared" ref="Y4:Y40" si="0">W4</f>
        <v>42095</v>
      </c>
      <c r="Z4" s="177" t="s">
        <v>301</v>
      </c>
    </row>
    <row r="5" spans="1:26">
      <c r="E5" s="1076">
        <v>43862</v>
      </c>
      <c r="F5" s="1076">
        <v>43556</v>
      </c>
      <c r="G5" s="958">
        <f>G6/$K$6</f>
        <v>0.25</v>
      </c>
      <c r="H5" s="958">
        <f t="shared" ref="H5:J5" si="1">H6/$K$6</f>
        <v>0.05</v>
      </c>
      <c r="I5" s="958">
        <f t="shared" si="1"/>
        <v>0.6</v>
      </c>
      <c r="J5" s="958">
        <f t="shared" si="1"/>
        <v>0.1</v>
      </c>
      <c r="K5" s="1077">
        <f>SUM(G5:J5)</f>
        <v>0.99999999999999989</v>
      </c>
      <c r="P5" s="1077"/>
      <c r="W5" s="1076">
        <f>W3+365</f>
        <v>42369</v>
      </c>
      <c r="X5" s="177">
        <f>IF(SUM($X$2:X4)=1,0,IF($T$2&lt;W5,1,0))</f>
        <v>0</v>
      </c>
      <c r="Y5" s="1076">
        <f>W4</f>
        <v>42095</v>
      </c>
    </row>
    <row r="6" spans="1:26">
      <c r="A6" s="177" t="s">
        <v>19</v>
      </c>
      <c r="B6" s="177" t="s">
        <v>24</v>
      </c>
      <c r="C6" s="177" t="s">
        <v>42</v>
      </c>
      <c r="E6" s="1076">
        <v>45323</v>
      </c>
      <c r="F6" s="1076">
        <v>45017</v>
      </c>
      <c r="G6" s="177">
        <f>$K$7*O9</f>
        <v>120</v>
      </c>
      <c r="H6" s="177">
        <f t="shared" ref="H6:J6" si="2">$K$7*P9</f>
        <v>24</v>
      </c>
      <c r="I6" s="177">
        <f>$K$7*Q9</f>
        <v>288</v>
      </c>
      <c r="J6" s="177">
        <f t="shared" si="2"/>
        <v>48</v>
      </c>
      <c r="K6" s="177">
        <f>SUM(G6:J6)</f>
        <v>480</v>
      </c>
      <c r="P6" s="1077"/>
      <c r="W6" s="1076">
        <f>W4+366</f>
        <v>42461</v>
      </c>
      <c r="X6" s="177">
        <f>IF(SUM($X$2:X5)=1,0,IF($T$2&lt;W6,1,0))</f>
        <v>0</v>
      </c>
      <c r="Y6" s="1076">
        <f t="shared" si="0"/>
        <v>42461</v>
      </c>
      <c r="Z6" s="177" t="s">
        <v>302</v>
      </c>
    </row>
    <row r="7" spans="1:26">
      <c r="A7" s="177" t="s">
        <v>20</v>
      </c>
      <c r="B7" s="1078">
        <f>C1022</f>
        <v>3534</v>
      </c>
      <c r="C7" s="177">
        <f>B7/$B$10</f>
        <v>3.0282776349614395</v>
      </c>
      <c r="E7" s="1076">
        <v>46784</v>
      </c>
      <c r="F7" s="1076">
        <v>46478</v>
      </c>
      <c r="G7" s="177">
        <v>125</v>
      </c>
      <c r="H7" s="177">
        <v>115</v>
      </c>
      <c r="I7" s="177">
        <v>125</v>
      </c>
      <c r="J7" s="177">
        <v>115</v>
      </c>
      <c r="K7" s="177">
        <f>SUM(G7:J7)</f>
        <v>480</v>
      </c>
      <c r="P7" s="1077"/>
      <c r="W7" s="1076">
        <f>W5+366</f>
        <v>42735</v>
      </c>
      <c r="X7" s="177">
        <f>IF(SUM($X$2:X6)=1,0,IF($T$2&lt;W7,1,0))</f>
        <v>0</v>
      </c>
      <c r="Y7" s="1076">
        <f t="shared" ref="Y7" si="3">W6</f>
        <v>42461</v>
      </c>
    </row>
    <row r="8" spans="1:26">
      <c r="A8" s="177" t="s">
        <v>21</v>
      </c>
      <c r="B8" s="1078">
        <f t="shared" ref="B8:B10" si="4">C1023</f>
        <v>2796</v>
      </c>
      <c r="C8" s="177">
        <f t="shared" ref="C8:C10" si="5">B8/$B$10</f>
        <v>2.3958868894601544</v>
      </c>
      <c r="E8" s="1076">
        <v>48245</v>
      </c>
      <c r="F8" s="1076">
        <v>47939</v>
      </c>
      <c r="G8" s="1079" t="s">
        <v>13</v>
      </c>
      <c r="H8" s="1079" t="s">
        <v>47</v>
      </c>
      <c r="I8" s="1079" t="s">
        <v>15</v>
      </c>
      <c r="J8" s="1079" t="s">
        <v>16</v>
      </c>
      <c r="K8" s="1079" t="s">
        <v>48</v>
      </c>
      <c r="O8" s="1079" t="s">
        <v>13</v>
      </c>
      <c r="P8" s="1079" t="s">
        <v>47</v>
      </c>
      <c r="Q8" s="1079" t="s">
        <v>15</v>
      </c>
      <c r="R8" s="1079" t="s">
        <v>16</v>
      </c>
      <c r="S8" s="1079"/>
      <c r="W8" s="1076">
        <f t="shared" ref="W8:W41" si="6">W6+365</f>
        <v>42826</v>
      </c>
      <c r="X8" s="177">
        <f>IF(SUM($X$2:X7)=1,0,IF($T$2&lt;W8,1,0))</f>
        <v>0</v>
      </c>
      <c r="Y8" s="1076">
        <f t="shared" si="0"/>
        <v>42826</v>
      </c>
      <c r="Z8" s="177" t="s">
        <v>670</v>
      </c>
    </row>
    <row r="9" spans="1:26">
      <c r="A9" s="177" t="s">
        <v>22</v>
      </c>
      <c r="B9" s="1078">
        <f t="shared" si="4"/>
        <v>2403</v>
      </c>
      <c r="C9" s="177">
        <f t="shared" si="5"/>
        <v>2.0591259640102826</v>
      </c>
      <c r="E9" s="1076">
        <v>49706</v>
      </c>
      <c r="F9" s="1076">
        <v>49400</v>
      </c>
      <c r="G9" s="1079">
        <v>120</v>
      </c>
      <c r="H9" s="1079">
        <v>80</v>
      </c>
      <c r="I9" s="1079">
        <v>70</v>
      </c>
      <c r="J9" s="1079">
        <v>90</v>
      </c>
      <c r="K9" s="1079">
        <f>SUM(G9:J9)</f>
        <v>360</v>
      </c>
      <c r="L9" s="958">
        <f>K9/K7</f>
        <v>0.75</v>
      </c>
      <c r="O9" s="1080">
        <v>0.25</v>
      </c>
      <c r="P9" s="1080">
        <v>0.05</v>
      </c>
      <c r="Q9" s="1080">
        <v>0.6</v>
      </c>
      <c r="R9" s="1080">
        <v>0.1</v>
      </c>
      <c r="S9" s="1080">
        <f>SUM(O9:R9)</f>
        <v>0.99999999999999989</v>
      </c>
      <c r="W9" s="1076">
        <f t="shared" si="6"/>
        <v>43100</v>
      </c>
      <c r="X9" s="177">
        <f>IF(SUM($X$2:X8)=1,0,IF($T$2&lt;W9,1,0))</f>
        <v>0</v>
      </c>
      <c r="Y9" s="1076">
        <f t="shared" ref="Y9" si="7">W8</f>
        <v>42826</v>
      </c>
    </row>
    <row r="10" spans="1:26">
      <c r="A10" s="177" t="s">
        <v>23</v>
      </c>
      <c r="B10" s="1078">
        <f t="shared" si="4"/>
        <v>1167</v>
      </c>
      <c r="C10" s="177">
        <f t="shared" si="5"/>
        <v>1</v>
      </c>
      <c r="E10" s="1076">
        <v>51167</v>
      </c>
      <c r="F10" s="1076">
        <v>50861</v>
      </c>
      <c r="G10" s="958">
        <f>G9/$K$9</f>
        <v>0.33333333333333331</v>
      </c>
      <c r="H10" s="958">
        <f t="shared" ref="H10:J10" si="8">H9/$K$9</f>
        <v>0.22222222222222221</v>
      </c>
      <c r="I10" s="958">
        <f t="shared" si="8"/>
        <v>0.19444444444444445</v>
      </c>
      <c r="J10" s="958">
        <f t="shared" si="8"/>
        <v>0.25</v>
      </c>
      <c r="K10" s="1077">
        <f>SUM(G10:J10)</f>
        <v>1</v>
      </c>
      <c r="W10" s="1076">
        <f t="shared" si="6"/>
        <v>43191</v>
      </c>
      <c r="X10" s="177">
        <f>IF(SUM($X$2:X9)=1,0,IF($T$2&lt;W10,1,0))</f>
        <v>0</v>
      </c>
      <c r="Y10" s="1076">
        <f t="shared" si="0"/>
        <v>43191</v>
      </c>
      <c r="Z10" s="177" t="s">
        <v>671</v>
      </c>
    </row>
    <row r="11" spans="1:26">
      <c r="E11" s="1076">
        <v>52628</v>
      </c>
      <c r="F11" s="1076">
        <v>52322</v>
      </c>
      <c r="G11" s="959">
        <f>G9/G7*G6</f>
        <v>115.19999999999999</v>
      </c>
      <c r="H11" s="959">
        <f t="shared" ref="H11:J11" si="9">H9/H7*H6</f>
        <v>16.695652173913043</v>
      </c>
      <c r="I11" s="959">
        <f>I9/I7*I6</f>
        <v>161.28000000000003</v>
      </c>
      <c r="J11" s="959">
        <f t="shared" si="9"/>
        <v>37.565217391304351</v>
      </c>
      <c r="K11" s="959">
        <f>SUM(G11:J11)</f>
        <v>330.74086956521739</v>
      </c>
      <c r="L11" s="958">
        <f>K11/K7</f>
        <v>0.68904347826086954</v>
      </c>
      <c r="W11" s="1076">
        <f t="shared" si="6"/>
        <v>43465</v>
      </c>
      <c r="X11" s="177">
        <f>IF(SUM($X$2:X10)=1,0,IF($T$2&lt;W11,1,0))</f>
        <v>0</v>
      </c>
      <c r="Y11" s="1076">
        <f t="shared" ref="Y11" si="10">W10</f>
        <v>43191</v>
      </c>
    </row>
    <row r="12" spans="1:26">
      <c r="E12" s="1076">
        <v>54089</v>
      </c>
      <c r="F12" s="1076">
        <v>53783</v>
      </c>
      <c r="G12" s="958">
        <f>G11/$K$11</f>
        <v>0.34830893488137299</v>
      </c>
      <c r="H12" s="958">
        <f t="shared" ref="H12:J12" si="11">H11/$K$11</f>
        <v>5.0479555779909133E-2</v>
      </c>
      <c r="I12" s="958">
        <f t="shared" si="11"/>
        <v>0.48763250883392234</v>
      </c>
      <c r="J12" s="958">
        <f t="shared" si="11"/>
        <v>0.11357900050479557</v>
      </c>
      <c r="K12" s="1077">
        <f>SUM(G12:J12)</f>
        <v>1</v>
      </c>
      <c r="W12" s="1076">
        <f t="shared" si="6"/>
        <v>43556</v>
      </c>
      <c r="X12" s="177">
        <f>IF(SUM($X$2:X11)=1,0,IF($T$2&lt;W12,1,0))</f>
        <v>0</v>
      </c>
      <c r="Y12" s="1076">
        <f t="shared" si="0"/>
        <v>43556</v>
      </c>
      <c r="Z12" s="177" t="s">
        <v>672</v>
      </c>
    </row>
    <row r="13" spans="1:26">
      <c r="A13" s="1678" t="s">
        <v>611</v>
      </c>
      <c r="B13" s="1678"/>
      <c r="C13" s="1081">
        <f>C1028</f>
        <v>3</v>
      </c>
      <c r="D13" s="960">
        <f>VLOOKUP(C13,$C$15:$D$17,2,FALSE)</f>
        <v>300000</v>
      </c>
      <c r="E13" s="1076">
        <v>55550</v>
      </c>
      <c r="F13" s="1076">
        <v>55244</v>
      </c>
      <c r="W13" s="1076">
        <f t="shared" si="6"/>
        <v>43830</v>
      </c>
      <c r="X13" s="177">
        <f>IF(SUM($X$2:X12)=1,0,IF($T$2&lt;W13,1,0))</f>
        <v>0</v>
      </c>
      <c r="Y13" s="1076">
        <f t="shared" ref="Y13" si="12">W12</f>
        <v>43556</v>
      </c>
    </row>
    <row r="14" spans="1:26">
      <c r="A14" s="177" t="s">
        <v>669</v>
      </c>
      <c r="G14" s="958">
        <f>G9/G7</f>
        <v>0.96</v>
      </c>
      <c r="H14" s="958">
        <f t="shared" ref="H14:J14" si="13">H9/H7</f>
        <v>0.69565217391304346</v>
      </c>
      <c r="I14" s="958">
        <f t="shared" si="13"/>
        <v>0.56000000000000005</v>
      </c>
      <c r="J14" s="958">
        <f t="shared" si="13"/>
        <v>0.78260869565217395</v>
      </c>
      <c r="W14" s="1076">
        <f>W12+366</f>
        <v>43922</v>
      </c>
      <c r="X14" s="177">
        <f>IF(SUM($X$2:X13)=1,0,IF($T$2&lt;W14,1,0))</f>
        <v>0</v>
      </c>
      <c r="Y14" s="1076">
        <f t="shared" si="0"/>
        <v>43922</v>
      </c>
      <c r="Z14" s="177" t="s">
        <v>673</v>
      </c>
    </row>
    <row r="15" spans="1:26">
      <c r="A15" s="177">
        <f>K1023</f>
        <v>45135</v>
      </c>
      <c r="B15" s="1076">
        <f>A15</f>
        <v>45135</v>
      </c>
      <c r="C15" s="177">
        <v>1</v>
      </c>
      <c r="D15" s="960">
        <v>50000</v>
      </c>
      <c r="G15" s="958">
        <f>G11/G6</f>
        <v>0.95999999999999985</v>
      </c>
      <c r="H15" s="958">
        <f t="shared" ref="H15:J15" si="14">H11/H6</f>
        <v>0.69565217391304346</v>
      </c>
      <c r="I15" s="958">
        <f t="shared" si="14"/>
        <v>0.56000000000000005</v>
      </c>
      <c r="J15" s="958">
        <f t="shared" si="14"/>
        <v>0.78260869565217395</v>
      </c>
      <c r="W15" s="1076">
        <f>W13+366</f>
        <v>44196</v>
      </c>
      <c r="X15" s="177">
        <f>IF(SUM($X$2:X14)=1,0,IF($T$2&lt;W15,1,0))</f>
        <v>0</v>
      </c>
      <c r="Y15" s="1076">
        <f t="shared" ref="Y15" si="15">W14</f>
        <v>43922</v>
      </c>
    </row>
    <row r="16" spans="1:26">
      <c r="C16" s="177">
        <v>2</v>
      </c>
      <c r="D16" s="960">
        <v>150000</v>
      </c>
      <c r="W16" s="1076">
        <f t="shared" si="6"/>
        <v>44287</v>
      </c>
      <c r="X16" s="177">
        <f>IF(SUM($X$2:X15)=1,0,IF($T$2&lt;W16,1,0))</f>
        <v>0</v>
      </c>
      <c r="Y16" s="1076">
        <f t="shared" si="0"/>
        <v>44287</v>
      </c>
      <c r="Z16" s="177" t="s">
        <v>674</v>
      </c>
    </row>
    <row r="17" spans="1:36">
      <c r="C17" s="177">
        <v>3</v>
      </c>
      <c r="D17" s="960">
        <v>300000</v>
      </c>
      <c r="W17" s="1076">
        <f t="shared" si="6"/>
        <v>44561</v>
      </c>
      <c r="X17" s="177">
        <f>IF(SUM($X$2:X16)=1,0,IF($T$2&lt;W17,1,0))</f>
        <v>0</v>
      </c>
      <c r="Y17" s="1076">
        <f t="shared" ref="Y17" si="16">W16</f>
        <v>44287</v>
      </c>
    </row>
    <row r="18" spans="1:36">
      <c r="A18" s="177">
        <f>IF(OR(F1023=0,G1023=0,H1023=0),0,DATEVALUE(H1023 &amp; "/" &amp; 1 &amp; "/" &amp; 1))</f>
        <v>44927</v>
      </c>
      <c r="B18" s="1076">
        <f>A18</f>
        <v>44927</v>
      </c>
      <c r="W18" s="1076">
        <f t="shared" si="6"/>
        <v>44652</v>
      </c>
      <c r="X18" s="177">
        <f>IF(SUM($X$2:X17)=1,0,IF($T$2&lt;W18,1,0))</f>
        <v>0</v>
      </c>
      <c r="Y18" s="1076">
        <f t="shared" si="0"/>
        <v>44652</v>
      </c>
      <c r="Z18" s="177" t="s">
        <v>675</v>
      </c>
    </row>
    <row r="19" spans="1:36">
      <c r="W19" s="1076">
        <f t="shared" si="6"/>
        <v>44926</v>
      </c>
      <c r="X19" s="177">
        <f>IF(SUM($X$2:X18)=1,0,IF($T$2&lt;W19,1,0))</f>
        <v>0</v>
      </c>
      <c r="Y19" s="1076">
        <f t="shared" ref="Y19" si="17">W18</f>
        <v>44652</v>
      </c>
    </row>
    <row r="20" spans="1:36">
      <c r="A20" s="1076">
        <f>A18</f>
        <v>44927</v>
      </c>
      <c r="C20" s="1082">
        <f>A20</f>
        <v>44927</v>
      </c>
      <c r="D20" s="1079">
        <f>IF(($P$23-C20)&lt;0,"",($P$23-C20))</f>
        <v>242</v>
      </c>
      <c r="E20" s="177">
        <f>IF(D20="","",RANK(D20,$D$20:$D$215,1))</f>
        <v>8</v>
      </c>
      <c r="F20" s="177" t="str">
        <f>IF(A20&lt;$L$37,$K$36,IF(A20&lt;$L$38,$K$37,IF(A20&lt;$L$39,$K$38,IF(A20&lt;$L$40,$K$39,IF(A20&lt;$L$41,$K$40,$K$41)))))</f>
        <v>Original</v>
      </c>
      <c r="G20" s="1076">
        <f>VLOOKUP(F20,$K$36:$L$41,2,FALSE)</f>
        <v>45135</v>
      </c>
      <c r="H20" s="1076">
        <f>A20</f>
        <v>44927</v>
      </c>
      <c r="W20" s="1076">
        <f t="shared" si="6"/>
        <v>45017</v>
      </c>
      <c r="X20" s="177">
        <f>IF(SUM($X$2:X19)=1,0,IF($T$2&lt;W20,1,0))</f>
        <v>0</v>
      </c>
      <c r="Y20" s="1076">
        <f t="shared" si="0"/>
        <v>45017</v>
      </c>
      <c r="Z20" s="177" t="s">
        <v>676</v>
      </c>
    </row>
    <row r="21" spans="1:36">
      <c r="A21" s="1076">
        <f>A20+31</f>
        <v>44958</v>
      </c>
      <c r="B21" s="177" t="b">
        <f>ISNA(VLOOKUP(A21,$E$4:$E$13,1,FALSE))</f>
        <v>1</v>
      </c>
      <c r="C21" s="1082">
        <f t="shared" ref="C21:C84" si="18">A21</f>
        <v>44958</v>
      </c>
      <c r="D21" s="1079">
        <f t="shared" ref="D21:D84" si="19">IF(($P$23-C21)&lt;0,"",($P$23-C21))</f>
        <v>211</v>
      </c>
      <c r="E21" s="177">
        <f t="shared" ref="E21:E84" si="20">IF(D21="","",RANK(D21,$D$20:$D$215,1))</f>
        <v>7</v>
      </c>
      <c r="F21" s="177" t="str">
        <f t="shared" ref="F21:F84" si="21">IF(A21&lt;$L$37,$K$36,IF(A21&lt;$L$38,$K$37,IF(A21&lt;$L$39,$K$38,IF(A21&lt;$L$40,$K$39,IF(A21&lt;$L$41,$K$40,$K$41)))))</f>
        <v>Original</v>
      </c>
      <c r="G21" s="1076">
        <f t="shared" ref="G21:G84" si="22">VLOOKUP(F21,$K$36:$L$41,2,FALSE)</f>
        <v>45135</v>
      </c>
      <c r="H21" s="1076">
        <f t="shared" ref="H21:H84" si="23">A21</f>
        <v>44958</v>
      </c>
      <c r="W21" s="1076">
        <f t="shared" si="6"/>
        <v>45291</v>
      </c>
      <c r="X21" s="177">
        <f>IF(SUM($X$2:X20)=1,0,IF($T$2&lt;W21,1,0))</f>
        <v>1</v>
      </c>
      <c r="Y21" s="1076">
        <f t="shared" ref="Y21" si="24">W20</f>
        <v>45017</v>
      </c>
    </row>
    <row r="22" spans="1:36">
      <c r="A22" s="1076">
        <f>IF(B21=TRUE,(A21+28),(A21+29))</f>
        <v>44986</v>
      </c>
      <c r="C22" s="1082">
        <f t="shared" si="18"/>
        <v>44986</v>
      </c>
      <c r="D22" s="1079">
        <f t="shared" si="19"/>
        <v>183</v>
      </c>
      <c r="E22" s="177">
        <f t="shared" si="20"/>
        <v>6</v>
      </c>
      <c r="F22" s="177" t="str">
        <f t="shared" si="21"/>
        <v>Original</v>
      </c>
      <c r="G22" s="1076">
        <f t="shared" si="22"/>
        <v>45135</v>
      </c>
      <c r="H22" s="1076">
        <f t="shared" si="23"/>
        <v>44986</v>
      </c>
      <c r="W22" s="1076">
        <f>W20+366</f>
        <v>45383</v>
      </c>
      <c r="X22" s="177">
        <f>IF(SUM($X$2:X21)=1,0,IF($T$2&lt;W22,1,0))</f>
        <v>0</v>
      </c>
      <c r="Y22" s="1076">
        <f t="shared" si="0"/>
        <v>45383</v>
      </c>
      <c r="Z22" s="177" t="s">
        <v>677</v>
      </c>
    </row>
    <row r="23" spans="1:36">
      <c r="A23" s="1076">
        <f>A22+31</f>
        <v>45017</v>
      </c>
      <c r="C23" s="1082">
        <f t="shared" si="18"/>
        <v>45017</v>
      </c>
      <c r="D23" s="1079">
        <f t="shared" si="19"/>
        <v>152</v>
      </c>
      <c r="E23" s="177">
        <f t="shared" si="20"/>
        <v>5</v>
      </c>
      <c r="F23" s="177" t="str">
        <f t="shared" si="21"/>
        <v>Original</v>
      </c>
      <c r="G23" s="1076">
        <f t="shared" si="22"/>
        <v>45135</v>
      </c>
      <c r="H23" s="1076">
        <f t="shared" si="23"/>
        <v>45017</v>
      </c>
      <c r="O23" s="1083" t="s">
        <v>607</v>
      </c>
      <c r="P23" s="1084">
        <f>'F1  Cover'!L8</f>
        <v>45169</v>
      </c>
      <c r="W23" s="1076">
        <f>W21+366</f>
        <v>45657</v>
      </c>
      <c r="X23" s="177">
        <f>IF(SUM($X$2:X22)=1,0,IF($T$2&lt;W23,1,0))</f>
        <v>0</v>
      </c>
      <c r="Y23" s="1076">
        <f t="shared" ref="Y23" si="25">W22</f>
        <v>45383</v>
      </c>
    </row>
    <row r="24" spans="1:36" ht="43.2">
      <c r="A24" s="1076">
        <f>A23+30</f>
        <v>45047</v>
      </c>
      <c r="C24" s="1082">
        <f t="shared" si="18"/>
        <v>45047</v>
      </c>
      <c r="D24" s="1079">
        <f t="shared" si="19"/>
        <v>122</v>
      </c>
      <c r="E24" s="177">
        <f t="shared" si="20"/>
        <v>4</v>
      </c>
      <c r="F24" s="177" t="str">
        <f t="shared" si="21"/>
        <v>Original</v>
      </c>
      <c r="G24" s="1076">
        <f t="shared" si="22"/>
        <v>45135</v>
      </c>
      <c r="H24" s="1076">
        <f t="shared" si="23"/>
        <v>45047</v>
      </c>
      <c r="K24" s="1085" t="s">
        <v>220</v>
      </c>
      <c r="L24" s="1085" t="str">
        <f>'ADJ-1'!A4</f>
        <v xml:space="preserve"> Design stage Adjustment</v>
      </c>
      <c r="M24" s="1085" t="str">
        <f>'ADJ-2'!A4</f>
        <v>Delay Adjustment</v>
      </c>
      <c r="N24" s="1086" t="str">
        <f>'ADJ-3'!A4</f>
        <v>Tender Value Adjustment</v>
      </c>
      <c r="O24" s="1085" t="str">
        <f>'ADJ-4'!A4</f>
        <v>Takeover Value Adjustment</v>
      </c>
      <c r="P24" s="1085" t="str">
        <f>'ADJ-5'!A4</f>
        <v>Complete project Value Adjustment</v>
      </c>
      <c r="W24" s="1076">
        <f t="shared" si="6"/>
        <v>45748</v>
      </c>
      <c r="X24" s="177">
        <f>IF(SUM($X$2:X23)=1,0,IF($T$2&lt;W24,1,0))</f>
        <v>0</v>
      </c>
      <c r="Y24" s="1076">
        <f t="shared" si="0"/>
        <v>45748</v>
      </c>
      <c r="Z24" s="177" t="s">
        <v>678</v>
      </c>
    </row>
    <row r="25" spans="1:36">
      <c r="A25" s="1076">
        <f>A24+31</f>
        <v>45078</v>
      </c>
      <c r="C25" s="1082">
        <f t="shared" si="18"/>
        <v>45078</v>
      </c>
      <c r="D25" s="1079">
        <f t="shared" si="19"/>
        <v>91</v>
      </c>
      <c r="E25" s="177">
        <f t="shared" si="20"/>
        <v>3</v>
      </c>
      <c r="F25" s="177" t="str">
        <f t="shared" si="21"/>
        <v>Original</v>
      </c>
      <c r="G25" s="1076">
        <f t="shared" si="22"/>
        <v>45135</v>
      </c>
      <c r="H25" s="1076">
        <f t="shared" si="23"/>
        <v>45078</v>
      </c>
      <c r="K25" s="1076">
        <f>B15</f>
        <v>45135</v>
      </c>
      <c r="L25" s="1076">
        <f>IF('ADJ-1'!$I$7=0,401765,'ADJ-1'!$I$7)</f>
        <v>401765</v>
      </c>
      <c r="M25" s="1076">
        <f>IF('ADJ-2'!$I$7=0,401766,'ADJ-2'!$I$7)</f>
        <v>401766</v>
      </c>
      <c r="N25" s="1076">
        <f>IF('ADJ-3'!$I$7=0,401767,'ADJ-3'!$I$7)</f>
        <v>401767</v>
      </c>
      <c r="O25" s="1076">
        <f>IF('ADJ-4'!$I$7=0,401767,'ADJ-4'!$I$7)</f>
        <v>401767</v>
      </c>
      <c r="P25" s="1076">
        <f>IF('ADJ-5'!$I$7=0,401768,'ADJ-5'!$I$7)</f>
        <v>401768</v>
      </c>
      <c r="R25" s="1087"/>
      <c r="W25" s="1076">
        <f t="shared" si="6"/>
        <v>46022</v>
      </c>
      <c r="X25" s="177">
        <f>IF(SUM($X$2:X24)=1,0,IF($T$2&lt;W25,1,0))</f>
        <v>0</v>
      </c>
      <c r="Y25" s="1076">
        <f t="shared" ref="Y25" si="26">W24</f>
        <v>45748</v>
      </c>
    </row>
    <row r="26" spans="1:36">
      <c r="A26" s="1076">
        <f>A25+30</f>
        <v>45108</v>
      </c>
      <c r="C26" s="1082">
        <f t="shared" si="18"/>
        <v>45108</v>
      </c>
      <c r="D26" s="1079">
        <f t="shared" si="19"/>
        <v>61</v>
      </c>
      <c r="E26" s="177">
        <f t="shared" si="20"/>
        <v>2</v>
      </c>
      <c r="F26" s="177" t="str">
        <f t="shared" si="21"/>
        <v>Original</v>
      </c>
      <c r="G26" s="1076">
        <f t="shared" si="22"/>
        <v>45135</v>
      </c>
      <c r="H26" s="1076">
        <f t="shared" si="23"/>
        <v>45108</v>
      </c>
      <c r="K26" s="177">
        <f>$P$23-K25</f>
        <v>34</v>
      </c>
      <c r="L26" s="177">
        <f t="shared" ref="L26:P26" si="27">$P$23-L25</f>
        <v>-356596</v>
      </c>
      <c r="M26" s="177">
        <f t="shared" si="27"/>
        <v>-356597</v>
      </c>
      <c r="N26" s="177">
        <f t="shared" si="27"/>
        <v>-356598</v>
      </c>
      <c r="O26" s="177">
        <f t="shared" si="27"/>
        <v>-356598</v>
      </c>
      <c r="P26" s="177">
        <f t="shared" si="27"/>
        <v>-356599</v>
      </c>
      <c r="W26" s="1076">
        <f t="shared" si="6"/>
        <v>46113</v>
      </c>
      <c r="X26" s="177">
        <f>IF(SUM($X$2:X25)=1,0,IF($T$2&lt;W26,1,0))</f>
        <v>0</v>
      </c>
      <c r="Y26" s="1076">
        <f t="shared" si="0"/>
        <v>46113</v>
      </c>
      <c r="Z26" s="177" t="s">
        <v>679</v>
      </c>
    </row>
    <row r="27" spans="1:36">
      <c r="A27" s="1076">
        <f>A26+31</f>
        <v>45139</v>
      </c>
      <c r="C27" s="1082">
        <f t="shared" si="18"/>
        <v>45139</v>
      </c>
      <c r="D27" s="1079">
        <f t="shared" si="19"/>
        <v>30</v>
      </c>
      <c r="E27" s="177">
        <f t="shared" si="20"/>
        <v>1</v>
      </c>
      <c r="F27" s="177" t="str">
        <f t="shared" si="21"/>
        <v>Original</v>
      </c>
      <c r="G27" s="1076">
        <f t="shared" si="22"/>
        <v>45135</v>
      </c>
      <c r="H27" s="1076">
        <f t="shared" si="23"/>
        <v>45139</v>
      </c>
      <c r="K27" s="1079">
        <f>RANK(K26,$K$26:$P$26)</f>
        <v>1</v>
      </c>
      <c r="L27" s="1079">
        <f t="shared" ref="L27:P27" si="28">RANK(L26,$K$26:$P$26)</f>
        <v>2</v>
      </c>
      <c r="M27" s="1079">
        <f t="shared" si="28"/>
        <v>3</v>
      </c>
      <c r="N27" s="1079">
        <f t="shared" si="28"/>
        <v>4</v>
      </c>
      <c r="O27" s="1079">
        <f t="shared" si="28"/>
        <v>4</v>
      </c>
      <c r="P27" s="1079">
        <f t="shared" si="28"/>
        <v>6</v>
      </c>
      <c r="W27" s="1076">
        <f t="shared" si="6"/>
        <v>46387</v>
      </c>
      <c r="X27" s="177">
        <f>IF(SUM($X$2:X26)=1,0,IF($T$2&lt;W27,1,0))</f>
        <v>0</v>
      </c>
      <c r="Y27" s="1076">
        <f t="shared" ref="Y27" si="29">W26</f>
        <v>46113</v>
      </c>
    </row>
    <row r="28" spans="1:36">
      <c r="A28" s="1076">
        <f>A27+31</f>
        <v>45170</v>
      </c>
      <c r="C28" s="1082">
        <f t="shared" si="18"/>
        <v>45170</v>
      </c>
      <c r="D28" s="1079" t="str">
        <f t="shared" si="19"/>
        <v/>
      </c>
      <c r="E28" s="177" t="str">
        <f t="shared" si="20"/>
        <v/>
      </c>
      <c r="F28" s="177" t="str">
        <f t="shared" si="21"/>
        <v>Original</v>
      </c>
      <c r="G28" s="1076">
        <f t="shared" si="22"/>
        <v>45135</v>
      </c>
      <c r="H28" s="1076">
        <f t="shared" si="23"/>
        <v>45170</v>
      </c>
      <c r="K28" s="177">
        <f>IF(K26&gt;=0,K26,"")</f>
        <v>34</v>
      </c>
      <c r="L28" s="177" t="str">
        <f t="shared" ref="L28:P28" si="30">IF(L26&gt;=0,L26,"")</f>
        <v/>
      </c>
      <c r="M28" s="177" t="str">
        <f t="shared" si="30"/>
        <v/>
      </c>
      <c r="N28" s="177" t="str">
        <f t="shared" si="30"/>
        <v/>
      </c>
      <c r="O28" s="177" t="str">
        <f t="shared" si="30"/>
        <v/>
      </c>
      <c r="P28" s="177" t="str">
        <f t="shared" si="30"/>
        <v/>
      </c>
      <c r="W28" s="1076">
        <f t="shared" si="6"/>
        <v>46478</v>
      </c>
      <c r="X28" s="177">
        <f>IF(SUM($X$2:X27)=1,0,IF($T$2&lt;W28,1,0))</f>
        <v>0</v>
      </c>
      <c r="Y28" s="1076">
        <f t="shared" si="0"/>
        <v>46478</v>
      </c>
      <c r="Z28" s="177" t="s">
        <v>680</v>
      </c>
    </row>
    <row r="29" spans="1:36">
      <c r="A29" s="1076">
        <f>A28+30</f>
        <v>45200</v>
      </c>
      <c r="C29" s="1082">
        <f t="shared" si="18"/>
        <v>45200</v>
      </c>
      <c r="D29" s="1079" t="str">
        <f t="shared" si="19"/>
        <v/>
      </c>
      <c r="E29" s="177" t="str">
        <f t="shared" si="20"/>
        <v/>
      </c>
      <c r="F29" s="177" t="str">
        <f t="shared" si="21"/>
        <v>Original</v>
      </c>
      <c r="G29" s="1076">
        <f t="shared" si="22"/>
        <v>45135</v>
      </c>
      <c r="H29" s="1076">
        <f t="shared" si="23"/>
        <v>45200</v>
      </c>
      <c r="K29" s="177">
        <f>IF(K28="","",RANK(K28,$K$28:$P$28,0))</f>
        <v>1</v>
      </c>
      <c r="L29" s="177" t="str">
        <f t="shared" ref="L29:P29" si="31">IF(L28="","",RANK(L28,$K$28:$P$28,0))</f>
        <v/>
      </c>
      <c r="M29" s="177" t="str">
        <f t="shared" si="31"/>
        <v/>
      </c>
      <c r="N29" s="177" t="str">
        <f t="shared" si="31"/>
        <v/>
      </c>
      <c r="O29" s="177" t="str">
        <f t="shared" si="31"/>
        <v/>
      </c>
      <c r="P29" s="177" t="str">
        <f t="shared" si="31"/>
        <v/>
      </c>
      <c r="W29" s="1076">
        <f t="shared" si="6"/>
        <v>46752</v>
      </c>
      <c r="X29" s="177">
        <f>IF(SUM($X$2:X28)=1,0,IF($T$2&lt;W29,1,0))</f>
        <v>0</v>
      </c>
      <c r="Y29" s="1076">
        <f t="shared" ref="Y29" si="32">W28</f>
        <v>46478</v>
      </c>
      <c r="AJ29" s="1088"/>
    </row>
    <row r="30" spans="1:36">
      <c r="A30" s="1076">
        <f>A29+31</f>
        <v>45231</v>
      </c>
      <c r="C30" s="1082">
        <f t="shared" si="18"/>
        <v>45231</v>
      </c>
      <c r="D30" s="1079" t="str">
        <f t="shared" si="19"/>
        <v/>
      </c>
      <c r="E30" s="177" t="str">
        <f t="shared" si="20"/>
        <v/>
      </c>
      <c r="F30" s="177" t="str">
        <f t="shared" si="21"/>
        <v>Original</v>
      </c>
      <c r="G30" s="1076">
        <f t="shared" si="22"/>
        <v>45135</v>
      </c>
      <c r="H30" s="1076">
        <f t="shared" si="23"/>
        <v>45231</v>
      </c>
      <c r="W30" s="1076">
        <f>W28+366</f>
        <v>46844</v>
      </c>
      <c r="X30" s="177">
        <f>IF(SUM($X$2:X29)=1,0,IF($T$2&lt;W30,1,0))</f>
        <v>0</v>
      </c>
      <c r="Y30" s="1076">
        <f t="shared" si="0"/>
        <v>46844</v>
      </c>
      <c r="Z30" s="177" t="s">
        <v>681</v>
      </c>
      <c r="AJ30" s="1088"/>
    </row>
    <row r="31" spans="1:36">
      <c r="A31" s="1076">
        <f>A30+30</f>
        <v>45261</v>
      </c>
      <c r="C31" s="1082">
        <f t="shared" si="18"/>
        <v>45261</v>
      </c>
      <c r="D31" s="1079" t="str">
        <f t="shared" si="19"/>
        <v/>
      </c>
      <c r="E31" s="177" t="str">
        <f t="shared" si="20"/>
        <v/>
      </c>
      <c r="F31" s="177" t="str">
        <f t="shared" si="21"/>
        <v>Original</v>
      </c>
      <c r="G31" s="1076">
        <f t="shared" si="22"/>
        <v>45135</v>
      </c>
      <c r="H31" s="1076">
        <f t="shared" si="23"/>
        <v>45261</v>
      </c>
      <c r="K31" s="1089">
        <f t="shared" ref="K31:P31" si="33">IF(K28="","",K25)</f>
        <v>45135</v>
      </c>
      <c r="L31" s="1089" t="str">
        <f t="shared" si="33"/>
        <v/>
      </c>
      <c r="M31" s="1089" t="str">
        <f t="shared" si="33"/>
        <v/>
      </c>
      <c r="N31" s="1089" t="str">
        <f t="shared" si="33"/>
        <v/>
      </c>
      <c r="O31" s="1089" t="str">
        <f t="shared" si="33"/>
        <v/>
      </c>
      <c r="P31" s="1089" t="str">
        <f t="shared" si="33"/>
        <v/>
      </c>
      <c r="W31" s="1076">
        <f>W29+366</f>
        <v>47118</v>
      </c>
      <c r="X31" s="177">
        <f>IF(SUM($X$2:X30)=1,0,IF($T$2&lt;W31,1,0))</f>
        <v>0</v>
      </c>
      <c r="Y31" s="1076">
        <f t="shared" ref="Y31" si="34">W30</f>
        <v>46844</v>
      </c>
      <c r="AJ31" s="1088"/>
    </row>
    <row r="32" spans="1:36">
      <c r="A32" s="1076">
        <f>A31+31</f>
        <v>45292</v>
      </c>
      <c r="C32" s="1082">
        <f t="shared" si="18"/>
        <v>45292</v>
      </c>
      <c r="D32" s="1079" t="str">
        <f t="shared" si="19"/>
        <v/>
      </c>
      <c r="E32" s="177" t="str">
        <f t="shared" si="20"/>
        <v/>
      </c>
      <c r="F32" s="177" t="str">
        <f t="shared" si="21"/>
        <v>Original</v>
      </c>
      <c r="G32" s="1076">
        <f t="shared" si="22"/>
        <v>45135</v>
      </c>
      <c r="H32" s="1076">
        <f t="shared" si="23"/>
        <v>45292</v>
      </c>
      <c r="K32" s="177" t="str">
        <f t="shared" ref="K32:P32" si="35">IF(K26&lt;0,K26,"")</f>
        <v/>
      </c>
      <c r="L32" s="177">
        <f t="shared" si="35"/>
        <v>-356596</v>
      </c>
      <c r="M32" s="177">
        <f t="shared" si="35"/>
        <v>-356597</v>
      </c>
      <c r="N32" s="177">
        <f t="shared" si="35"/>
        <v>-356598</v>
      </c>
      <c r="O32" s="177">
        <f t="shared" si="35"/>
        <v>-356598</v>
      </c>
      <c r="P32" s="177">
        <f t="shared" si="35"/>
        <v>-356599</v>
      </c>
      <c r="W32" s="1076">
        <f t="shared" si="6"/>
        <v>47209</v>
      </c>
      <c r="X32" s="177">
        <f>IF(SUM($X$2:X31)=1,0,IF($T$2&lt;W32,1,0))</f>
        <v>0</v>
      </c>
      <c r="Y32" s="1076">
        <f t="shared" si="0"/>
        <v>47209</v>
      </c>
      <c r="Z32" s="177" t="s">
        <v>682</v>
      </c>
      <c r="AJ32" s="1088"/>
    </row>
    <row r="33" spans="1:302">
      <c r="A33" s="1076">
        <f>A32+31</f>
        <v>45323</v>
      </c>
      <c r="B33" s="177" t="b">
        <f>ISNA(VLOOKUP(A33,$E$4:$E$13,1,FALSE))</f>
        <v>0</v>
      </c>
      <c r="C33" s="1082">
        <f t="shared" si="18"/>
        <v>45323</v>
      </c>
      <c r="D33" s="1079" t="str">
        <f t="shared" si="19"/>
        <v/>
      </c>
      <c r="E33" s="177" t="str">
        <f t="shared" si="20"/>
        <v/>
      </c>
      <c r="F33" s="177" t="str">
        <f t="shared" si="21"/>
        <v>Original</v>
      </c>
      <c r="G33" s="1076">
        <f t="shared" si="22"/>
        <v>45135</v>
      </c>
      <c r="H33" s="1076">
        <f t="shared" si="23"/>
        <v>45323</v>
      </c>
      <c r="K33" s="177" t="str">
        <f>K24</f>
        <v>Original</v>
      </c>
      <c r="L33" s="177" t="str">
        <f t="shared" ref="L33:P33" si="36">L24</f>
        <v xml:space="preserve"> Design stage Adjustment</v>
      </c>
      <c r="M33" s="177" t="str">
        <f t="shared" si="36"/>
        <v>Delay Adjustment</v>
      </c>
      <c r="N33" s="177" t="str">
        <f t="shared" si="36"/>
        <v>Tender Value Adjustment</v>
      </c>
      <c r="O33" s="177" t="str">
        <f t="shared" si="36"/>
        <v>Takeover Value Adjustment</v>
      </c>
      <c r="P33" s="177" t="str">
        <f t="shared" si="36"/>
        <v>Complete project Value Adjustment</v>
      </c>
      <c r="W33" s="1076">
        <f t="shared" si="6"/>
        <v>47483</v>
      </c>
      <c r="X33" s="177">
        <f>IF(SUM($X$2:X32)=1,0,IF($T$2&lt;W33,1,0))</f>
        <v>0</v>
      </c>
      <c r="Y33" s="1076">
        <f t="shared" ref="Y33" si="37">W32</f>
        <v>47209</v>
      </c>
      <c r="AJ33" s="1088"/>
    </row>
    <row r="34" spans="1:302">
      <c r="A34" s="1076">
        <f>IF(B33=TRUE,(A33+28),(A33+29))</f>
        <v>45352</v>
      </c>
      <c r="C34" s="1082">
        <f t="shared" si="18"/>
        <v>45352</v>
      </c>
      <c r="D34" s="1079" t="str">
        <f t="shared" si="19"/>
        <v/>
      </c>
      <c r="E34" s="177" t="str">
        <f t="shared" si="20"/>
        <v/>
      </c>
      <c r="F34" s="177" t="str">
        <f t="shared" si="21"/>
        <v>Original</v>
      </c>
      <c r="G34" s="1076">
        <f t="shared" si="22"/>
        <v>45135</v>
      </c>
      <c r="H34" s="1076">
        <f t="shared" si="23"/>
        <v>45352</v>
      </c>
      <c r="W34" s="1076">
        <f t="shared" si="6"/>
        <v>47574</v>
      </c>
      <c r="X34" s="177">
        <f>IF(SUM($X$2:X33)=1,0,IF($T$2&lt;W34,1,0))</f>
        <v>0</v>
      </c>
      <c r="Y34" s="1076">
        <f t="shared" si="0"/>
        <v>47574</v>
      </c>
      <c r="Z34" s="177" t="s">
        <v>683</v>
      </c>
      <c r="AJ34" s="1088"/>
    </row>
    <row r="35" spans="1:302">
      <c r="A35" s="1076">
        <f>A34+31</f>
        <v>45383</v>
      </c>
      <c r="C35" s="1082">
        <f t="shared" si="18"/>
        <v>45383</v>
      </c>
      <c r="D35" s="1079" t="str">
        <f t="shared" si="19"/>
        <v/>
      </c>
      <c r="E35" s="177" t="str">
        <f t="shared" si="20"/>
        <v/>
      </c>
      <c r="F35" s="177" t="str">
        <f t="shared" si="21"/>
        <v>Original</v>
      </c>
      <c r="G35" s="1076">
        <f t="shared" si="22"/>
        <v>45135</v>
      </c>
      <c r="H35" s="1076">
        <f t="shared" si="23"/>
        <v>45383</v>
      </c>
      <c r="W35" s="1076">
        <f t="shared" si="6"/>
        <v>47848</v>
      </c>
      <c r="X35" s="177">
        <f>IF(SUM($X$2:X34)=1,0,IF($T$2&lt;W35,1,0))</f>
        <v>0</v>
      </c>
      <c r="Y35" s="1076">
        <f t="shared" ref="Y35" si="38">W34</f>
        <v>47574</v>
      </c>
      <c r="AJ35" s="1088"/>
    </row>
    <row r="36" spans="1:302">
      <c r="A36" s="1076">
        <f>A35+30</f>
        <v>45413</v>
      </c>
      <c r="C36" s="1082">
        <f t="shared" si="18"/>
        <v>45413</v>
      </c>
      <c r="D36" s="1079" t="str">
        <f t="shared" si="19"/>
        <v/>
      </c>
      <c r="E36" s="177" t="str">
        <f t="shared" si="20"/>
        <v/>
      </c>
      <c r="F36" s="177" t="str">
        <f t="shared" si="21"/>
        <v>Original</v>
      </c>
      <c r="G36" s="1076">
        <f t="shared" si="22"/>
        <v>45135</v>
      </c>
      <c r="H36" s="1076">
        <f t="shared" si="23"/>
        <v>45413</v>
      </c>
      <c r="J36" s="177">
        <v>1</v>
      </c>
      <c r="K36" s="177" t="str">
        <f t="shared" ref="K36:K38" si="39">IF(ISNA(HLOOKUP(J36,$K$29:$P$33,5,FALSE))=TRUE,"",(HLOOKUP(J36,$K$29:$P$33,5,FALSE)))</f>
        <v>Original</v>
      </c>
      <c r="L36" s="1089">
        <f>IF(ISNA(HLOOKUP(J36,$K$29:$P$33,3,FALSE))=TRUE,"",(HLOOKUP(J36,$K$29:$P$33,3,FALSE)))</f>
        <v>45135</v>
      </c>
      <c r="W36" s="1076">
        <f t="shared" si="6"/>
        <v>47939</v>
      </c>
      <c r="X36" s="177">
        <f>IF(SUM($X$2:X35)=1,0,IF($T$2&lt;W36,1,0))</f>
        <v>0</v>
      </c>
      <c r="Y36" s="1076">
        <f t="shared" si="0"/>
        <v>47939</v>
      </c>
      <c r="Z36" s="177" t="s">
        <v>684</v>
      </c>
      <c r="AJ36" s="1088"/>
    </row>
    <row r="37" spans="1:302">
      <c r="A37" s="1076">
        <f>A36+31</f>
        <v>45444</v>
      </c>
      <c r="C37" s="1082">
        <f t="shared" si="18"/>
        <v>45444</v>
      </c>
      <c r="D37" s="1079" t="str">
        <f t="shared" si="19"/>
        <v/>
      </c>
      <c r="E37" s="177" t="str">
        <f t="shared" si="20"/>
        <v/>
      </c>
      <c r="F37" s="177" t="str">
        <f t="shared" si="21"/>
        <v>Original</v>
      </c>
      <c r="G37" s="1076">
        <f t="shared" si="22"/>
        <v>45135</v>
      </c>
      <c r="H37" s="1076">
        <f t="shared" si="23"/>
        <v>45444</v>
      </c>
      <c r="J37" s="177">
        <v>2</v>
      </c>
      <c r="K37" s="177" t="str">
        <f t="shared" si="39"/>
        <v/>
      </c>
      <c r="L37" s="1089" t="str">
        <f t="shared" ref="L37:L41" si="40">IF(ISNA(HLOOKUP(J37,$K$29:$P$33,3,FALSE))=TRUE,"",(HLOOKUP(J37,$K$29:$P$33,3,FALSE)))</f>
        <v/>
      </c>
      <c r="W37" s="1076">
        <f t="shared" si="6"/>
        <v>48213</v>
      </c>
      <c r="X37" s="177">
        <f>IF(SUM($X$2:X36)=1,0,IF($T$2&lt;W37,1,0))</f>
        <v>0</v>
      </c>
      <c r="Y37" s="1076">
        <f t="shared" ref="Y37" si="41">W36</f>
        <v>47939</v>
      </c>
      <c r="AJ37" s="1088"/>
    </row>
    <row r="38" spans="1:302">
      <c r="A38" s="1076">
        <f>A37+30</f>
        <v>45474</v>
      </c>
      <c r="C38" s="1082">
        <f t="shared" si="18"/>
        <v>45474</v>
      </c>
      <c r="D38" s="1079" t="str">
        <f t="shared" si="19"/>
        <v/>
      </c>
      <c r="E38" s="177" t="str">
        <f t="shared" si="20"/>
        <v/>
      </c>
      <c r="F38" s="177" t="str">
        <f t="shared" si="21"/>
        <v>Original</v>
      </c>
      <c r="G38" s="1076">
        <f t="shared" si="22"/>
        <v>45135</v>
      </c>
      <c r="H38" s="1076">
        <f t="shared" si="23"/>
        <v>45474</v>
      </c>
      <c r="J38" s="177">
        <v>3</v>
      </c>
      <c r="K38" s="177" t="str">
        <f t="shared" si="39"/>
        <v/>
      </c>
      <c r="L38" s="1089" t="str">
        <f t="shared" si="40"/>
        <v/>
      </c>
      <c r="W38" s="1076">
        <f>W36+366</f>
        <v>48305</v>
      </c>
      <c r="X38" s="177">
        <f>IF(SUM($X$2:X37)=1,0,IF($T$2&lt;W38,1,0))</f>
        <v>0</v>
      </c>
      <c r="Y38" s="1076">
        <f t="shared" si="0"/>
        <v>48305</v>
      </c>
      <c r="Z38" s="177" t="s">
        <v>685</v>
      </c>
      <c r="AJ38" s="1088"/>
    </row>
    <row r="39" spans="1:302" ht="16.8">
      <c r="A39" s="1076">
        <f>A38+31</f>
        <v>45505</v>
      </c>
      <c r="C39" s="1082">
        <f t="shared" si="18"/>
        <v>45505</v>
      </c>
      <c r="D39" s="1079" t="str">
        <f t="shared" si="19"/>
        <v/>
      </c>
      <c r="E39" s="177" t="str">
        <f t="shared" si="20"/>
        <v/>
      </c>
      <c r="F39" s="177" t="str">
        <f t="shared" si="21"/>
        <v>Original</v>
      </c>
      <c r="G39" s="1076">
        <f t="shared" si="22"/>
        <v>45135</v>
      </c>
      <c r="H39" s="1076">
        <f t="shared" si="23"/>
        <v>45505</v>
      </c>
      <c r="J39" s="177">
        <v>4</v>
      </c>
      <c r="K39" s="177" t="str">
        <f>IF(ISNA(HLOOKUP(J39,$K$29:$P$33,5,FALSE))=TRUE,"",(HLOOKUP(J39,$K$29:$P$33,5,FALSE)))</f>
        <v/>
      </c>
      <c r="L39" s="1089" t="str">
        <f t="shared" si="40"/>
        <v/>
      </c>
      <c r="W39" s="1076">
        <f>W37+366</f>
        <v>48579</v>
      </c>
      <c r="X39" s="177">
        <f>IF(SUM($X$2:X38)=1,0,IF($T$2&lt;W39,1,0))</f>
        <v>0</v>
      </c>
      <c r="Y39" s="1076">
        <f t="shared" ref="Y39" si="42">W38</f>
        <v>48305</v>
      </c>
      <c r="AJ39" s="1090"/>
    </row>
    <row r="40" spans="1:302" ht="16.8">
      <c r="A40" s="1076">
        <f>A39+31</f>
        <v>45536</v>
      </c>
      <c r="C40" s="1082">
        <f t="shared" si="18"/>
        <v>45536</v>
      </c>
      <c r="D40" s="1079" t="str">
        <f t="shared" si="19"/>
        <v/>
      </c>
      <c r="E40" s="177" t="str">
        <f t="shared" si="20"/>
        <v/>
      </c>
      <c r="F40" s="177" t="str">
        <f t="shared" si="21"/>
        <v>Original</v>
      </c>
      <c r="G40" s="1076">
        <f t="shared" si="22"/>
        <v>45135</v>
      </c>
      <c r="H40" s="1076">
        <f t="shared" si="23"/>
        <v>45536</v>
      </c>
      <c r="J40" s="177">
        <v>5</v>
      </c>
      <c r="K40" s="177" t="str">
        <f t="shared" ref="K40:K41" si="43">IF(ISNA(HLOOKUP(J40,$K$29:$P$33,5,FALSE))=TRUE,"",(HLOOKUP(J40,$K$29:$P$33,5,FALSE)))</f>
        <v/>
      </c>
      <c r="L40" s="1089" t="str">
        <f t="shared" si="40"/>
        <v/>
      </c>
      <c r="W40" s="1076">
        <f t="shared" si="6"/>
        <v>48670</v>
      </c>
      <c r="X40" s="177">
        <f>IF(SUM($X$2:X39)=1,0,IF($T$2&lt;W40,1,0))</f>
        <v>0</v>
      </c>
      <c r="Y40" s="1076">
        <f t="shared" si="0"/>
        <v>48670</v>
      </c>
      <c r="Z40" s="177" t="s">
        <v>686</v>
      </c>
      <c r="AJ40" s="1090"/>
    </row>
    <row r="41" spans="1:302">
      <c r="A41" s="1076">
        <f>A40+30</f>
        <v>45566</v>
      </c>
      <c r="C41" s="1082">
        <f t="shared" si="18"/>
        <v>45566</v>
      </c>
      <c r="D41" s="1079" t="str">
        <f t="shared" si="19"/>
        <v/>
      </c>
      <c r="E41" s="177" t="str">
        <f t="shared" si="20"/>
        <v/>
      </c>
      <c r="F41" s="177" t="str">
        <f t="shared" si="21"/>
        <v>Original</v>
      </c>
      <c r="G41" s="1076">
        <f t="shared" si="22"/>
        <v>45135</v>
      </c>
      <c r="H41" s="1076">
        <f t="shared" si="23"/>
        <v>45566</v>
      </c>
      <c r="J41" s="177">
        <v>6</v>
      </c>
      <c r="K41" s="177" t="str">
        <f t="shared" si="43"/>
        <v/>
      </c>
      <c r="L41" s="1089" t="str">
        <f t="shared" si="40"/>
        <v/>
      </c>
      <c r="W41" s="1076">
        <f t="shared" si="6"/>
        <v>48944</v>
      </c>
      <c r="X41" s="177">
        <f>IF(SUM($X$2:X40)=1,0,IF($T$2&lt;W41,1,0))</f>
        <v>0</v>
      </c>
      <c r="Y41" s="1076">
        <f t="shared" ref="Y41" si="44">W40</f>
        <v>48670</v>
      </c>
    </row>
    <row r="42" spans="1:302">
      <c r="A42" s="1076">
        <f>A41+31</f>
        <v>45597</v>
      </c>
      <c r="C42" s="1082">
        <f t="shared" si="18"/>
        <v>45597</v>
      </c>
      <c r="D42" s="1079" t="str">
        <f t="shared" si="19"/>
        <v/>
      </c>
      <c r="E42" s="177" t="str">
        <f t="shared" si="20"/>
        <v/>
      </c>
      <c r="F42" s="177" t="str">
        <f t="shared" si="21"/>
        <v>Original</v>
      </c>
      <c r="G42" s="1076">
        <f t="shared" si="22"/>
        <v>45135</v>
      </c>
      <c r="H42" s="1076">
        <f t="shared" si="23"/>
        <v>45597</v>
      </c>
      <c r="Y42" s="1091"/>
    </row>
    <row r="43" spans="1:302">
      <c r="A43" s="1076">
        <f>A42+30</f>
        <v>45627</v>
      </c>
      <c r="C43" s="1082">
        <f t="shared" si="18"/>
        <v>45627</v>
      </c>
      <c r="D43" s="1079" t="str">
        <f t="shared" si="19"/>
        <v/>
      </c>
      <c r="E43" s="177" t="str">
        <f t="shared" si="20"/>
        <v/>
      </c>
      <c r="F43" s="177" t="str">
        <f t="shared" si="21"/>
        <v>Original</v>
      </c>
      <c r="G43" s="1076">
        <f t="shared" si="22"/>
        <v>45135</v>
      </c>
      <c r="H43" s="1076">
        <f t="shared" si="23"/>
        <v>45627</v>
      </c>
    </row>
    <row r="44" spans="1:302">
      <c r="A44" s="1076">
        <f>A43+31</f>
        <v>45658</v>
      </c>
      <c r="C44" s="1082">
        <f t="shared" si="18"/>
        <v>45658</v>
      </c>
      <c r="D44" s="1079" t="str">
        <f t="shared" si="19"/>
        <v/>
      </c>
      <c r="E44" s="177" t="str">
        <f t="shared" si="20"/>
        <v/>
      </c>
      <c r="F44" s="177" t="str">
        <f t="shared" si="21"/>
        <v>Original</v>
      </c>
      <c r="G44" s="1076">
        <f t="shared" si="22"/>
        <v>45135</v>
      </c>
      <c r="H44" s="1076">
        <f t="shared" si="23"/>
        <v>45658</v>
      </c>
      <c r="J44" s="177">
        <v>2</v>
      </c>
      <c r="K44" s="1076">
        <f>VLOOKUP(J44,$E$20:$H$215,4,FALSE)</f>
        <v>45108</v>
      </c>
      <c r="L44" s="177" t="s">
        <v>383</v>
      </c>
      <c r="M44" s="177" t="str">
        <f>VLOOKUP(J44,$E$20:$G$215,2,FALSE)</f>
        <v>Original</v>
      </c>
      <c r="N44" s="1089">
        <f>VLOOKUP(J44,$E$20:$G$215,3,FALSE)</f>
        <v>45135</v>
      </c>
    </row>
    <row r="45" spans="1:302">
      <c r="A45" s="1076">
        <f>A44+31</f>
        <v>45689</v>
      </c>
      <c r="B45" s="177" t="b">
        <f>ISNA(VLOOKUP(A45,$E$4:$E$13,1,FALSE))</f>
        <v>1</v>
      </c>
      <c r="C45" s="1082">
        <f t="shared" si="18"/>
        <v>45689</v>
      </c>
      <c r="D45" s="1079" t="str">
        <f t="shared" si="19"/>
        <v/>
      </c>
      <c r="E45" s="177" t="str">
        <f t="shared" si="20"/>
        <v/>
      </c>
      <c r="F45" s="177" t="str">
        <f t="shared" si="21"/>
        <v>Original</v>
      </c>
      <c r="G45" s="1076">
        <f t="shared" si="22"/>
        <v>45135</v>
      </c>
      <c r="H45" s="1076">
        <f t="shared" si="23"/>
        <v>45689</v>
      </c>
      <c r="J45" s="177">
        <v>1</v>
      </c>
      <c r="K45" s="1076">
        <f>VLOOKUP(J45,$E$20:$H$215,4,FALSE)</f>
        <v>45139</v>
      </c>
      <c r="L45" s="177" t="s">
        <v>609</v>
      </c>
      <c r="M45" s="177" t="str">
        <f>VLOOKUP(J45,$E$20:$G$215,2,FALSE)</f>
        <v>Original</v>
      </c>
      <c r="N45" s="1089">
        <f>VLOOKUP(J45,$E$20:$G$215,3,FALSE)</f>
        <v>45135</v>
      </c>
    </row>
    <row r="46" spans="1:302">
      <c r="A46" s="1076">
        <f>IF(B45=TRUE,(A45+28),(A45+29))</f>
        <v>45717</v>
      </c>
      <c r="C46" s="1082">
        <f t="shared" si="18"/>
        <v>45717</v>
      </c>
      <c r="D46" s="1079" t="str">
        <f t="shared" si="19"/>
        <v/>
      </c>
      <c r="E46" s="177" t="str">
        <f t="shared" si="20"/>
        <v/>
      </c>
      <c r="F46" s="177" t="str">
        <f t="shared" si="21"/>
        <v>Original</v>
      </c>
      <c r="G46" s="1076">
        <f t="shared" si="22"/>
        <v>45135</v>
      </c>
      <c r="H46" s="1076">
        <f t="shared" si="23"/>
        <v>45717</v>
      </c>
    </row>
    <row r="47" spans="1:302">
      <c r="A47" s="1076">
        <f>A46+31</f>
        <v>45748</v>
      </c>
      <c r="C47" s="1082">
        <f t="shared" si="18"/>
        <v>45748</v>
      </c>
      <c r="D47" s="1079" t="str">
        <f t="shared" si="19"/>
        <v/>
      </c>
      <c r="E47" s="177" t="str">
        <f t="shared" si="20"/>
        <v/>
      </c>
      <c r="F47" s="177" t="str">
        <f t="shared" si="21"/>
        <v>Original</v>
      </c>
      <c r="G47" s="1076">
        <f t="shared" si="22"/>
        <v>45135</v>
      </c>
      <c r="H47" s="1076">
        <f t="shared" si="23"/>
        <v>45748</v>
      </c>
    </row>
    <row r="48" spans="1:302">
      <c r="A48" s="1076">
        <f>A47+30</f>
        <v>45778</v>
      </c>
      <c r="C48" s="1082">
        <f t="shared" si="18"/>
        <v>45778</v>
      </c>
      <c r="D48" s="1079" t="str">
        <f t="shared" si="19"/>
        <v/>
      </c>
      <c r="E48" s="177" t="str">
        <f t="shared" si="20"/>
        <v/>
      </c>
      <c r="F48" s="177" t="str">
        <f t="shared" si="21"/>
        <v>Original</v>
      </c>
      <c r="G48" s="1076">
        <f t="shared" si="22"/>
        <v>45135</v>
      </c>
      <c r="H48" s="1076">
        <f t="shared" si="23"/>
        <v>45778</v>
      </c>
      <c r="M48" s="177" t="s">
        <v>663</v>
      </c>
      <c r="N48" s="1079" t="s">
        <v>272</v>
      </c>
      <c r="O48" s="1079" t="s">
        <v>272</v>
      </c>
      <c r="P48" s="1079" t="s">
        <v>272</v>
      </c>
      <c r="Q48" s="1079" t="s">
        <v>665</v>
      </c>
      <c r="R48" s="1079" t="s">
        <v>665</v>
      </c>
      <c r="S48" s="1079" t="s">
        <v>667</v>
      </c>
      <c r="T48" s="1079" t="s">
        <v>667</v>
      </c>
      <c r="U48" s="1079" t="s">
        <v>326</v>
      </c>
      <c r="V48" s="1079" t="s">
        <v>326</v>
      </c>
      <c r="W48" s="1079" t="s">
        <v>326</v>
      </c>
      <c r="X48" s="1079" t="s">
        <v>326</v>
      </c>
      <c r="Y48" s="1079" t="s">
        <v>326</v>
      </c>
      <c r="Z48" s="1079" t="s">
        <v>326</v>
      </c>
      <c r="AA48" s="1079" t="s">
        <v>328</v>
      </c>
      <c r="AB48" s="1079" t="s">
        <v>328</v>
      </c>
      <c r="AC48" s="1079" t="s">
        <v>328</v>
      </c>
      <c r="AD48" s="1079" t="s">
        <v>328</v>
      </c>
      <c r="AE48" s="1079" t="s">
        <v>328</v>
      </c>
      <c r="AF48" s="1079" t="s">
        <v>328</v>
      </c>
      <c r="AG48" s="1079" t="s">
        <v>328</v>
      </c>
      <c r="AH48" s="1079" t="s">
        <v>328</v>
      </c>
      <c r="AI48" s="1079" t="s">
        <v>328</v>
      </c>
      <c r="AJ48" s="1079" t="s">
        <v>328</v>
      </c>
      <c r="AK48" s="1079" t="s">
        <v>808</v>
      </c>
      <c r="AL48" s="1079" t="s">
        <v>808</v>
      </c>
      <c r="AM48" s="1079" t="s">
        <v>328</v>
      </c>
      <c r="AN48" s="1079" t="s">
        <v>328</v>
      </c>
      <c r="AO48" s="1079" t="s">
        <v>328</v>
      </c>
      <c r="AP48" s="1079" t="s">
        <v>328</v>
      </c>
      <c r="AQ48" s="1079" t="s">
        <v>328</v>
      </c>
      <c r="AR48" s="1079" t="s">
        <v>328</v>
      </c>
      <c r="AS48" s="1079" t="s">
        <v>328</v>
      </c>
      <c r="AT48" s="1079" t="s">
        <v>328</v>
      </c>
      <c r="AU48" s="1079" t="s">
        <v>328</v>
      </c>
      <c r="AV48" s="1079" t="s">
        <v>328</v>
      </c>
      <c r="AW48" s="1079" t="s">
        <v>328</v>
      </c>
      <c r="AX48" s="1079" t="s">
        <v>328</v>
      </c>
      <c r="AY48" s="1079" t="s">
        <v>328</v>
      </c>
      <c r="AZ48" s="1079" t="s">
        <v>328</v>
      </c>
      <c r="BA48" s="1079" t="s">
        <v>328</v>
      </c>
      <c r="BB48" s="1079" t="s">
        <v>328</v>
      </c>
      <c r="BC48" s="1079" t="s">
        <v>328</v>
      </c>
      <c r="BD48" s="1079" t="s">
        <v>328</v>
      </c>
      <c r="BE48" s="1079" t="s">
        <v>328</v>
      </c>
      <c r="BF48" s="1079" t="s">
        <v>328</v>
      </c>
      <c r="BG48" s="1079" t="s">
        <v>328</v>
      </c>
      <c r="BH48" s="1079" t="s">
        <v>328</v>
      </c>
      <c r="BI48" s="1079" t="s">
        <v>328</v>
      </c>
      <c r="BJ48" s="1079" t="s">
        <v>328</v>
      </c>
      <c r="BK48" s="1079" t="s">
        <v>328</v>
      </c>
      <c r="BL48" s="1079" t="s">
        <v>328</v>
      </c>
      <c r="BM48" s="1079" t="s">
        <v>328</v>
      </c>
      <c r="BN48" s="1079" t="s">
        <v>328</v>
      </c>
      <c r="BO48" s="1079" t="s">
        <v>328</v>
      </c>
      <c r="BP48" s="1079" t="s">
        <v>328</v>
      </c>
      <c r="BQ48" s="1079" t="s">
        <v>328</v>
      </c>
      <c r="BR48" s="1079" t="s">
        <v>328</v>
      </c>
      <c r="BS48" s="1079" t="s">
        <v>328</v>
      </c>
      <c r="BT48" s="1079" t="s">
        <v>328</v>
      </c>
      <c r="BU48" s="1079" t="s">
        <v>328</v>
      </c>
      <c r="BV48" s="1079" t="s">
        <v>328</v>
      </c>
      <c r="BW48" s="1079" t="s">
        <v>329</v>
      </c>
      <c r="BX48" s="1079" t="s">
        <v>329</v>
      </c>
      <c r="BY48" s="1079" t="s">
        <v>329</v>
      </c>
      <c r="BZ48" s="1079" t="s">
        <v>329</v>
      </c>
      <c r="CA48" s="1079" t="s">
        <v>329</v>
      </c>
      <c r="CB48" s="1079" t="s">
        <v>329</v>
      </c>
      <c r="CC48" s="1079" t="s">
        <v>329</v>
      </c>
      <c r="CD48" s="1079" t="s">
        <v>329</v>
      </c>
      <c r="CE48" s="1079" t="s">
        <v>329</v>
      </c>
      <c r="CF48" s="1079" t="s">
        <v>329</v>
      </c>
      <c r="CG48" s="1079" t="s">
        <v>329</v>
      </c>
      <c r="CH48" s="1079" t="s">
        <v>329</v>
      </c>
      <c r="CI48" s="1079" t="s">
        <v>329</v>
      </c>
      <c r="CJ48" s="1079" t="s">
        <v>329</v>
      </c>
      <c r="CK48" s="1079" t="s">
        <v>329</v>
      </c>
      <c r="CL48" s="1079" t="s">
        <v>329</v>
      </c>
      <c r="CM48" s="1079" t="s">
        <v>329</v>
      </c>
      <c r="CN48" s="1079" t="s">
        <v>329</v>
      </c>
      <c r="CO48" s="1079" t="s">
        <v>329</v>
      </c>
      <c r="CP48" s="1079" t="s">
        <v>329</v>
      </c>
      <c r="CQ48" s="1079" t="s">
        <v>329</v>
      </c>
      <c r="CR48" s="1079" t="s">
        <v>329</v>
      </c>
      <c r="CS48" s="1079" t="s">
        <v>329</v>
      </c>
      <c r="CT48" s="1079" t="s">
        <v>329</v>
      </c>
      <c r="CU48" s="1079" t="s">
        <v>329</v>
      </c>
      <c r="CV48" s="1079" t="s">
        <v>329</v>
      </c>
      <c r="CW48" s="1079" t="s">
        <v>329</v>
      </c>
      <c r="CX48" s="1079" t="s">
        <v>329</v>
      </c>
      <c r="CY48" s="1079" t="s">
        <v>329</v>
      </c>
      <c r="CZ48" s="1079" t="s">
        <v>329</v>
      </c>
      <c r="DA48" s="1079" t="s">
        <v>329</v>
      </c>
      <c r="DB48" s="1079" t="s">
        <v>329</v>
      </c>
      <c r="DC48" s="1079" t="s">
        <v>329</v>
      </c>
      <c r="DD48" s="1079" t="s">
        <v>329</v>
      </c>
      <c r="DE48" s="1079" t="s">
        <v>329</v>
      </c>
      <c r="DF48" s="1079" t="s">
        <v>329</v>
      </c>
      <c r="DG48" s="1079" t="s">
        <v>329</v>
      </c>
      <c r="DH48" s="1079" t="s">
        <v>329</v>
      </c>
      <c r="DI48" s="1079" t="s">
        <v>329</v>
      </c>
      <c r="DJ48" s="1079" t="s">
        <v>329</v>
      </c>
      <c r="DK48" s="1079" t="s">
        <v>329</v>
      </c>
      <c r="DL48" s="1079" t="s">
        <v>329</v>
      </c>
      <c r="DM48" s="1079" t="s">
        <v>329</v>
      </c>
      <c r="DN48" s="1079" t="s">
        <v>329</v>
      </c>
      <c r="DO48" s="1079" t="s">
        <v>329</v>
      </c>
      <c r="DP48" s="1079" t="s">
        <v>329</v>
      </c>
      <c r="DQ48" s="1079" t="s">
        <v>329</v>
      </c>
      <c r="DR48" s="1079" t="s">
        <v>329</v>
      </c>
      <c r="DS48" s="1079" t="s">
        <v>329</v>
      </c>
      <c r="DT48" s="1079" t="s">
        <v>329</v>
      </c>
      <c r="DU48" s="1079" t="s">
        <v>329</v>
      </c>
      <c r="DV48" s="1079" t="s">
        <v>329</v>
      </c>
      <c r="DW48" s="1079" t="s">
        <v>329</v>
      </c>
      <c r="DX48" s="1079" t="s">
        <v>329</v>
      </c>
      <c r="DY48" s="1079" t="s">
        <v>329</v>
      </c>
      <c r="DZ48" s="1079" t="s">
        <v>329</v>
      </c>
      <c r="EA48" s="1079" t="s">
        <v>329</v>
      </c>
      <c r="EB48" s="1079" t="s">
        <v>329</v>
      </c>
      <c r="EC48" s="1079" t="s">
        <v>329</v>
      </c>
      <c r="ED48" s="1079" t="s">
        <v>329</v>
      </c>
      <c r="EE48" s="1079" t="s">
        <v>329</v>
      </c>
      <c r="EF48" s="1079" t="s">
        <v>329</v>
      </c>
      <c r="EG48" s="1079" t="s">
        <v>329</v>
      </c>
      <c r="EH48" s="1079" t="s">
        <v>329</v>
      </c>
      <c r="EI48" s="1079" t="s">
        <v>329</v>
      </c>
      <c r="EJ48" s="1079" t="s">
        <v>329</v>
      </c>
      <c r="EK48" s="1079" t="s">
        <v>329</v>
      </c>
      <c r="EL48" s="1079" t="s">
        <v>329</v>
      </c>
      <c r="EM48" s="1079" t="s">
        <v>329</v>
      </c>
      <c r="EN48" s="1079" t="s">
        <v>329</v>
      </c>
      <c r="EO48" s="1079" t="s">
        <v>329</v>
      </c>
      <c r="EP48" s="1079" t="s">
        <v>329</v>
      </c>
      <c r="EQ48" s="1079" t="s">
        <v>331</v>
      </c>
      <c r="ER48" s="1079" t="s">
        <v>331</v>
      </c>
      <c r="ES48" s="1079" t="s">
        <v>331</v>
      </c>
      <c r="ET48" s="1079" t="s">
        <v>332</v>
      </c>
      <c r="EU48" s="1079" t="s">
        <v>332</v>
      </c>
      <c r="EV48" s="1079" t="s">
        <v>332</v>
      </c>
      <c r="EW48" s="1079" t="s">
        <v>332</v>
      </c>
      <c r="EX48" s="1079" t="s">
        <v>334</v>
      </c>
      <c r="EY48" s="1079" t="s">
        <v>334</v>
      </c>
      <c r="EZ48" s="1079" t="s">
        <v>334</v>
      </c>
      <c r="FA48" s="1079" t="s">
        <v>334</v>
      </c>
      <c r="FB48" s="1079" t="s">
        <v>334</v>
      </c>
      <c r="FC48" s="1079" t="s">
        <v>334</v>
      </c>
      <c r="FD48" s="1079" t="s">
        <v>334</v>
      </c>
      <c r="FE48" s="1079" t="s">
        <v>334</v>
      </c>
      <c r="FF48" s="1079" t="s">
        <v>334</v>
      </c>
      <c r="FG48" s="1079" t="s">
        <v>334</v>
      </c>
      <c r="FH48" s="1079" t="s">
        <v>334</v>
      </c>
      <c r="FI48" s="1079" t="s">
        <v>334</v>
      </c>
      <c r="FJ48" s="1079" t="s">
        <v>334</v>
      </c>
      <c r="FK48" s="1079" t="s">
        <v>334</v>
      </c>
      <c r="FL48" s="1079" t="s">
        <v>334</v>
      </c>
      <c r="FM48" s="1079" t="s">
        <v>334</v>
      </c>
      <c r="FN48" s="1079" t="s">
        <v>334</v>
      </c>
      <c r="FO48" s="1079" t="s">
        <v>334</v>
      </c>
      <c r="FP48" s="1079" t="s">
        <v>334</v>
      </c>
      <c r="FQ48" s="1079" t="s">
        <v>334</v>
      </c>
      <c r="FR48" s="1079" t="s">
        <v>337</v>
      </c>
      <c r="FS48" s="1079" t="s">
        <v>337</v>
      </c>
      <c r="FT48" s="1079" t="s">
        <v>337</v>
      </c>
      <c r="FU48" s="1079" t="s">
        <v>337</v>
      </c>
      <c r="FV48" s="1079" t="s">
        <v>337</v>
      </c>
      <c r="FW48" s="1079" t="s">
        <v>337</v>
      </c>
      <c r="FX48" s="1079" t="s">
        <v>337</v>
      </c>
      <c r="FY48" s="1079" t="s">
        <v>337</v>
      </c>
      <c r="FZ48" s="1079" t="s">
        <v>337</v>
      </c>
      <c r="GA48" s="1079" t="s">
        <v>337</v>
      </c>
      <c r="GB48" s="1079" t="s">
        <v>337</v>
      </c>
      <c r="GC48" s="1079" t="s">
        <v>337</v>
      </c>
      <c r="GD48" s="1079" t="s">
        <v>337</v>
      </c>
      <c r="GE48" s="1079" t="s">
        <v>338</v>
      </c>
      <c r="GF48" s="1079" t="s">
        <v>338</v>
      </c>
      <c r="GG48" s="1079" t="s">
        <v>597</v>
      </c>
      <c r="GH48" s="1079" t="s">
        <v>597</v>
      </c>
      <c r="GI48" s="1079" t="s">
        <v>597</v>
      </c>
      <c r="GJ48" s="1079" t="s">
        <v>597</v>
      </c>
      <c r="GK48" s="1079" t="s">
        <v>597</v>
      </c>
      <c r="GL48" s="1079" t="s">
        <v>597</v>
      </c>
      <c r="GM48" s="1079" t="s">
        <v>597</v>
      </c>
      <c r="GN48" s="177" t="s">
        <v>272</v>
      </c>
      <c r="GO48" s="177" t="s">
        <v>272</v>
      </c>
      <c r="GP48" s="1079" t="s">
        <v>334</v>
      </c>
      <c r="GQ48" s="1079" t="s">
        <v>329</v>
      </c>
      <c r="GR48" s="1079" t="s">
        <v>329</v>
      </c>
      <c r="GS48" s="1079" t="s">
        <v>329</v>
      </c>
      <c r="GT48" s="1079" t="s">
        <v>329</v>
      </c>
      <c r="GU48" s="1079" t="s">
        <v>329</v>
      </c>
      <c r="GV48" s="1079" t="s">
        <v>329</v>
      </c>
      <c r="GW48" s="1079" t="s">
        <v>329</v>
      </c>
      <c r="GX48" s="1079" t="s">
        <v>329</v>
      </c>
      <c r="GY48" s="1079" t="s">
        <v>329</v>
      </c>
      <c r="GZ48" s="1079" t="s">
        <v>329</v>
      </c>
      <c r="HA48" s="1079" t="s">
        <v>329</v>
      </c>
      <c r="HB48" s="1079" t="s">
        <v>329</v>
      </c>
      <c r="HC48" s="1079" t="s">
        <v>329</v>
      </c>
      <c r="HD48" s="1079" t="s">
        <v>329</v>
      </c>
      <c r="HE48" s="1079" t="s">
        <v>329</v>
      </c>
      <c r="HF48" s="1079" t="s">
        <v>329</v>
      </c>
      <c r="HG48" s="1079" t="s">
        <v>329</v>
      </c>
      <c r="HH48" s="1079" t="s">
        <v>329</v>
      </c>
      <c r="HI48" s="1079" t="s">
        <v>329</v>
      </c>
      <c r="HJ48" s="1079" t="s">
        <v>329</v>
      </c>
      <c r="HK48" s="1079" t="s">
        <v>329</v>
      </c>
      <c r="HL48" s="1079" t="s">
        <v>329</v>
      </c>
      <c r="HM48" s="1079" t="s">
        <v>329</v>
      </c>
      <c r="HN48" s="1079" t="s">
        <v>329</v>
      </c>
      <c r="HO48" s="1079" t="s">
        <v>329</v>
      </c>
      <c r="HP48" s="1079" t="s">
        <v>329</v>
      </c>
      <c r="HQ48" s="1079" t="s">
        <v>329</v>
      </c>
      <c r="HR48" s="1079" t="s">
        <v>329</v>
      </c>
      <c r="HS48" s="1079" t="s">
        <v>329</v>
      </c>
      <c r="HT48" s="1079" t="s">
        <v>329</v>
      </c>
      <c r="HU48" s="1079" t="s">
        <v>329</v>
      </c>
      <c r="HV48" s="1079" t="s">
        <v>329</v>
      </c>
      <c r="HW48" s="1079" t="s">
        <v>329</v>
      </c>
      <c r="HX48" s="1079" t="s">
        <v>329</v>
      </c>
      <c r="HY48" s="1079" t="s">
        <v>329</v>
      </c>
      <c r="HZ48" s="1079" t="s">
        <v>329</v>
      </c>
      <c r="IA48" s="1079" t="s">
        <v>329</v>
      </c>
      <c r="IB48" s="1079" t="s">
        <v>329</v>
      </c>
      <c r="IC48" s="1079" t="s">
        <v>329</v>
      </c>
      <c r="ID48" s="1079" t="s">
        <v>329</v>
      </c>
      <c r="IE48" s="1079" t="s">
        <v>329</v>
      </c>
      <c r="IF48" s="1079" t="s">
        <v>329</v>
      </c>
      <c r="IG48" s="1079" t="s">
        <v>334</v>
      </c>
      <c r="IH48" s="1079" t="s">
        <v>334</v>
      </c>
      <c r="II48" s="1079" t="s">
        <v>334</v>
      </c>
      <c r="IJ48" s="1079" t="s">
        <v>334</v>
      </c>
      <c r="IK48" s="1079" t="s">
        <v>334</v>
      </c>
      <c r="IL48" s="1079" t="s">
        <v>334</v>
      </c>
      <c r="IM48" s="1079" t="s">
        <v>334</v>
      </c>
      <c r="IN48" s="1079" t="s">
        <v>334</v>
      </c>
      <c r="IO48" s="1079" t="s">
        <v>334</v>
      </c>
      <c r="IP48" s="1079" t="s">
        <v>334</v>
      </c>
      <c r="IQ48" s="1079" t="s">
        <v>334</v>
      </c>
      <c r="IR48" s="1079" t="s">
        <v>334</v>
      </c>
      <c r="IS48" s="1079" t="s">
        <v>334</v>
      </c>
      <c r="IT48" s="1079" t="s">
        <v>334</v>
      </c>
      <c r="IU48" s="1079" t="s">
        <v>597</v>
      </c>
      <c r="IV48" s="1079" t="s">
        <v>597</v>
      </c>
      <c r="IW48" s="1079" t="s">
        <v>597</v>
      </c>
      <c r="IX48" s="1079" t="s">
        <v>597</v>
      </c>
      <c r="IY48" s="1079" t="s">
        <v>597</v>
      </c>
      <c r="IZ48" s="1079" t="s">
        <v>597</v>
      </c>
      <c r="JA48" s="1079" t="s">
        <v>597</v>
      </c>
      <c r="JB48" s="1079" t="s">
        <v>597</v>
      </c>
      <c r="JC48" s="1079" t="s">
        <v>597</v>
      </c>
      <c r="JD48" s="1079" t="s">
        <v>597</v>
      </c>
      <c r="JE48" s="1079" t="s">
        <v>597</v>
      </c>
      <c r="JF48" s="1079" t="s">
        <v>597</v>
      </c>
      <c r="JG48" s="1079" t="s">
        <v>597</v>
      </c>
      <c r="JH48" s="1079" t="s">
        <v>597</v>
      </c>
      <c r="JI48" s="1079" t="s">
        <v>334</v>
      </c>
      <c r="JJ48" s="1079" t="s">
        <v>332</v>
      </c>
      <c r="JK48" s="1079" t="s">
        <v>329</v>
      </c>
      <c r="JL48" s="1079" t="s">
        <v>334</v>
      </c>
      <c r="JM48" s="1079" t="s">
        <v>334</v>
      </c>
      <c r="JN48" s="1079" t="s">
        <v>334</v>
      </c>
      <c r="JO48" s="1079" t="s">
        <v>337</v>
      </c>
      <c r="JP48" s="1079" t="s">
        <v>337</v>
      </c>
      <c r="JQ48" s="1079" t="s">
        <v>337</v>
      </c>
      <c r="JR48" s="1079" t="s">
        <v>337</v>
      </c>
      <c r="JS48" s="1079" t="s">
        <v>337</v>
      </c>
      <c r="JT48" s="1079" t="s">
        <v>328</v>
      </c>
      <c r="JU48" s="1079" t="s">
        <v>328</v>
      </c>
      <c r="JV48" s="1079" t="s">
        <v>328</v>
      </c>
      <c r="JW48" s="1079" t="s">
        <v>328</v>
      </c>
      <c r="JX48" s="1079" t="s">
        <v>328</v>
      </c>
      <c r="JY48" s="1079" t="s">
        <v>328</v>
      </c>
      <c r="JZ48" s="1079" t="s">
        <v>328</v>
      </c>
      <c r="KA48" s="1079" t="s">
        <v>329</v>
      </c>
      <c r="KB48" s="1079" t="s">
        <v>329</v>
      </c>
      <c r="KC48" s="1079" t="s">
        <v>329</v>
      </c>
      <c r="KD48" s="1079" t="s">
        <v>329</v>
      </c>
      <c r="KE48" s="1079" t="s">
        <v>329</v>
      </c>
      <c r="KF48" s="1079" t="s">
        <v>329</v>
      </c>
      <c r="KG48" s="1079" t="s">
        <v>329</v>
      </c>
      <c r="KH48" s="1079" t="s">
        <v>334</v>
      </c>
      <c r="KI48" s="1079" t="s">
        <v>337</v>
      </c>
      <c r="KJ48" s="1079" t="s">
        <v>337</v>
      </c>
      <c r="KK48" s="1079" t="s">
        <v>337</v>
      </c>
      <c r="KL48" s="1079" t="s">
        <v>334</v>
      </c>
      <c r="KM48" s="1079" t="s">
        <v>334</v>
      </c>
      <c r="KN48" s="1079" t="s">
        <v>334</v>
      </c>
      <c r="KO48" s="1079" t="s">
        <v>334</v>
      </c>
      <c r="KP48" s="1079" t="s">
        <v>334</v>
      </c>
    </row>
    <row r="49" spans="1:302">
      <c r="A49" s="1076">
        <f>A48+31</f>
        <v>45809</v>
      </c>
      <c r="C49" s="1082">
        <f t="shared" si="18"/>
        <v>45809</v>
      </c>
      <c r="D49" s="1079" t="str">
        <f t="shared" si="19"/>
        <v/>
      </c>
      <c r="E49" s="177" t="str">
        <f t="shared" si="20"/>
        <v/>
      </c>
      <c r="F49" s="177" t="str">
        <f t="shared" si="21"/>
        <v>Original</v>
      </c>
      <c r="G49" s="1076">
        <f t="shared" si="22"/>
        <v>45135</v>
      </c>
      <c r="H49" s="1076">
        <f t="shared" si="23"/>
        <v>45809</v>
      </c>
      <c r="N49" s="1079" t="s">
        <v>666</v>
      </c>
      <c r="O49" s="1079" t="s">
        <v>690</v>
      </c>
      <c r="P49" s="1079" t="s">
        <v>855</v>
      </c>
      <c r="Q49" s="1079" t="s">
        <v>691</v>
      </c>
      <c r="R49" s="1079" t="s">
        <v>692</v>
      </c>
      <c r="S49" s="1079" t="s">
        <v>693</v>
      </c>
      <c r="T49" s="1079" t="s">
        <v>694</v>
      </c>
      <c r="U49" s="1079" t="s">
        <v>698</v>
      </c>
      <c r="V49" s="1079" t="s">
        <v>699</v>
      </c>
      <c r="W49" s="1079" t="s">
        <v>700</v>
      </c>
      <c r="X49" s="1079" t="s">
        <v>701</v>
      </c>
      <c r="Y49" s="1079" t="s">
        <v>702</v>
      </c>
      <c r="Z49" s="1079" t="s">
        <v>703</v>
      </c>
      <c r="AA49" s="1079" t="s">
        <v>698</v>
      </c>
      <c r="AB49" s="1079" t="s">
        <v>699</v>
      </c>
      <c r="AC49" s="1079" t="s">
        <v>705</v>
      </c>
      <c r="AD49" s="1079" t="s">
        <v>864</v>
      </c>
      <c r="AE49" s="1079" t="s">
        <v>707</v>
      </c>
      <c r="AF49" s="1079" t="s">
        <v>691</v>
      </c>
      <c r="AG49" s="1079" t="s">
        <v>952</v>
      </c>
      <c r="AH49" s="1079" t="s">
        <v>749</v>
      </c>
      <c r="AI49" s="1079" t="s">
        <v>708</v>
      </c>
      <c r="AJ49" s="1079" t="s">
        <v>709</v>
      </c>
      <c r="AK49" s="1079" t="s">
        <v>769</v>
      </c>
      <c r="AL49" s="1079" t="s">
        <v>809</v>
      </c>
      <c r="AM49" s="1079" t="s">
        <v>693</v>
      </c>
      <c r="AN49" s="1079" t="s">
        <v>714</v>
      </c>
      <c r="AO49" s="1079" t="s">
        <v>715</v>
      </c>
      <c r="AP49" s="1079" t="s">
        <v>751</v>
      </c>
      <c r="AQ49" s="1079" t="s">
        <v>865</v>
      </c>
      <c r="AR49" s="1079" t="s">
        <v>718</v>
      </c>
      <c r="AS49" s="1079" t="s">
        <v>719</v>
      </c>
      <c r="AT49" s="1079" t="s">
        <v>721</v>
      </c>
      <c r="AU49" s="1079" t="s">
        <v>722</v>
      </c>
      <c r="AV49" s="1079" t="s">
        <v>723</v>
      </c>
      <c r="AW49" s="1079" t="s">
        <v>724</v>
      </c>
      <c r="AX49" s="1079" t="s">
        <v>725</v>
      </c>
      <c r="AY49" s="1079" t="s">
        <v>726</v>
      </c>
      <c r="AZ49" s="1079" t="s">
        <v>727</v>
      </c>
      <c r="BA49" s="1079" t="s">
        <v>728</v>
      </c>
      <c r="BB49" s="1079" t="s">
        <v>729</v>
      </c>
      <c r="BC49" s="1079" t="s">
        <v>730</v>
      </c>
      <c r="BD49" s="1079" t="s">
        <v>731</v>
      </c>
      <c r="BE49" s="1079" t="s">
        <v>732</v>
      </c>
      <c r="BF49" s="1079" t="s">
        <v>733</v>
      </c>
      <c r="BG49" s="1079" t="s">
        <v>734</v>
      </c>
      <c r="BH49" s="1079" t="s">
        <v>735</v>
      </c>
      <c r="BI49" s="1079" t="s">
        <v>736</v>
      </c>
      <c r="BJ49" s="1079" t="s">
        <v>737</v>
      </c>
      <c r="BK49" s="1079" t="s">
        <v>738</v>
      </c>
      <c r="BL49" s="1079" t="s">
        <v>739</v>
      </c>
      <c r="BM49" s="1079" t="s">
        <v>740</v>
      </c>
      <c r="BN49" s="1079" t="s">
        <v>741</v>
      </c>
      <c r="BO49" s="1079" t="s">
        <v>742</v>
      </c>
      <c r="BP49" s="1079" t="s">
        <v>743</v>
      </c>
      <c r="BQ49" s="1079" t="s">
        <v>744</v>
      </c>
      <c r="BR49" s="1079" t="s">
        <v>747</v>
      </c>
      <c r="BS49" s="1079" t="s">
        <v>866</v>
      </c>
      <c r="BT49" s="1079" t="s">
        <v>953</v>
      </c>
      <c r="BU49" s="1079" t="s">
        <v>752</v>
      </c>
      <c r="BV49" s="1079" t="s">
        <v>867</v>
      </c>
      <c r="BW49" s="1079" t="s">
        <v>699</v>
      </c>
      <c r="BX49" s="1079" t="s">
        <v>701</v>
      </c>
      <c r="BY49" s="1079" t="s">
        <v>703</v>
      </c>
      <c r="BZ49" s="1079" t="s">
        <v>748</v>
      </c>
      <c r="CA49" s="1079" t="s">
        <v>691</v>
      </c>
      <c r="CB49" s="1079" t="s">
        <v>749</v>
      </c>
      <c r="CC49" s="1079" t="s">
        <v>711</v>
      </c>
      <c r="CD49" s="1079" t="s">
        <v>750</v>
      </c>
      <c r="CE49" s="1079" t="s">
        <v>751</v>
      </c>
      <c r="CF49" s="1079" t="s">
        <v>718</v>
      </c>
      <c r="CG49" s="1079" t="s">
        <v>720</v>
      </c>
      <c r="CH49" s="1079" t="s">
        <v>723</v>
      </c>
      <c r="CI49" s="1079" t="s">
        <v>726</v>
      </c>
      <c r="CJ49" s="1079" t="s">
        <v>729</v>
      </c>
      <c r="CK49" s="1079" t="s">
        <v>733</v>
      </c>
      <c r="CL49" s="1079" t="s">
        <v>736</v>
      </c>
      <c r="CM49" s="1079" t="s">
        <v>739</v>
      </c>
      <c r="CN49" s="1079" t="s">
        <v>742</v>
      </c>
      <c r="CO49" s="1079" t="s">
        <v>747</v>
      </c>
      <c r="CP49" s="1079" t="s">
        <v>752</v>
      </c>
      <c r="CQ49" s="1079" t="s">
        <v>753</v>
      </c>
      <c r="CR49" s="1079" t="s">
        <v>754</v>
      </c>
      <c r="CS49" s="1079" t="s">
        <v>755</v>
      </c>
      <c r="CT49" s="1079" t="s">
        <v>756</v>
      </c>
      <c r="CU49" s="1079" t="s">
        <v>954</v>
      </c>
      <c r="CV49" s="1079" t="s">
        <v>759</v>
      </c>
      <c r="CW49" s="1079" t="s">
        <v>761</v>
      </c>
      <c r="CX49" s="1079" t="s">
        <v>955</v>
      </c>
      <c r="CY49" s="1079" t="s">
        <v>760</v>
      </c>
      <c r="CZ49" s="1079" t="s">
        <v>762</v>
      </c>
      <c r="DA49" s="1079" t="s">
        <v>956</v>
      </c>
      <c r="DB49" s="1079" t="s">
        <v>763</v>
      </c>
      <c r="DC49" s="1079" t="s">
        <v>764</v>
      </c>
      <c r="DD49" s="1079" t="s">
        <v>958</v>
      </c>
      <c r="DE49" s="1079" t="s">
        <v>767</v>
      </c>
      <c r="DF49" s="1079" t="s">
        <v>768</v>
      </c>
      <c r="DG49" s="1079" t="s">
        <v>770</v>
      </c>
      <c r="DH49" s="1079" t="s">
        <v>959</v>
      </c>
      <c r="DI49" s="1079" t="s">
        <v>771</v>
      </c>
      <c r="DJ49" s="1079" t="s">
        <v>772</v>
      </c>
      <c r="DK49" s="1079" t="s">
        <v>773</v>
      </c>
      <c r="DL49" s="1079" t="s">
        <v>774</v>
      </c>
      <c r="DM49" s="1079" t="s">
        <v>775</v>
      </c>
      <c r="DN49" s="1079" t="s">
        <v>776</v>
      </c>
      <c r="DO49" s="1079" t="s">
        <v>777</v>
      </c>
      <c r="DP49" s="1079" t="s">
        <v>778</v>
      </c>
      <c r="DQ49" s="1079" t="s">
        <v>779</v>
      </c>
      <c r="DR49" s="1079" t="s">
        <v>780</v>
      </c>
      <c r="DS49" s="1079" t="s">
        <v>781</v>
      </c>
      <c r="DT49" s="1079" t="s">
        <v>782</v>
      </c>
      <c r="DU49" s="1079" t="s">
        <v>783</v>
      </c>
      <c r="DV49" s="1079" t="s">
        <v>784</v>
      </c>
      <c r="DW49" s="1079" t="s">
        <v>785</v>
      </c>
      <c r="DX49" s="1079" t="s">
        <v>786</v>
      </c>
      <c r="DY49" s="1079" t="s">
        <v>787</v>
      </c>
      <c r="DZ49" s="1079" t="s">
        <v>788</v>
      </c>
      <c r="EA49" s="1079" t="s">
        <v>789</v>
      </c>
      <c r="EB49" s="1079" t="s">
        <v>790</v>
      </c>
      <c r="EC49" s="1079" t="s">
        <v>791</v>
      </c>
      <c r="ED49" s="1079" t="s">
        <v>793</v>
      </c>
      <c r="EE49" s="1079" t="s">
        <v>810</v>
      </c>
      <c r="EF49" s="1079" t="s">
        <v>811</v>
      </c>
      <c r="EG49" s="1079" t="s">
        <v>812</v>
      </c>
      <c r="EH49" s="1079" t="s">
        <v>813</v>
      </c>
      <c r="EI49" s="1079" t="s">
        <v>960</v>
      </c>
      <c r="EJ49" s="1079" t="s">
        <v>961</v>
      </c>
      <c r="EK49" s="1079" t="s">
        <v>884</v>
      </c>
      <c r="EL49" s="1079" t="s">
        <v>962</v>
      </c>
      <c r="EM49" s="1079" t="s">
        <v>963</v>
      </c>
      <c r="EN49" s="1079" t="s">
        <v>964</v>
      </c>
      <c r="EO49" s="1079" t="s">
        <v>965</v>
      </c>
      <c r="EP49" s="1079" t="s">
        <v>966</v>
      </c>
      <c r="EQ49" s="1079" t="s">
        <v>698</v>
      </c>
      <c r="ER49" s="1079" t="s">
        <v>699</v>
      </c>
      <c r="ES49" s="1079" t="s">
        <v>705</v>
      </c>
      <c r="ET49" s="1079" t="s">
        <v>698</v>
      </c>
      <c r="EU49" s="1079" t="s">
        <v>699</v>
      </c>
      <c r="EV49" s="1079" t="s">
        <v>701</v>
      </c>
      <c r="EW49" s="1079" t="s">
        <v>706</v>
      </c>
      <c r="EX49" s="1079" t="s">
        <v>699</v>
      </c>
      <c r="EY49" s="1079" t="s">
        <v>701</v>
      </c>
      <c r="EZ49" s="1079" t="s">
        <v>703</v>
      </c>
      <c r="FA49" s="1079" t="s">
        <v>748</v>
      </c>
      <c r="FB49" s="1079" t="s">
        <v>691</v>
      </c>
      <c r="FC49" s="1079" t="s">
        <v>749</v>
      </c>
      <c r="FD49" s="1079" t="s">
        <v>711</v>
      </c>
      <c r="FE49" s="1079" t="s">
        <v>750</v>
      </c>
      <c r="FF49" s="1079" t="s">
        <v>714</v>
      </c>
      <c r="FG49" s="1079" t="s">
        <v>865</v>
      </c>
      <c r="FH49" s="1079" t="s">
        <v>718</v>
      </c>
      <c r="FI49" s="1079" t="s">
        <v>717</v>
      </c>
      <c r="FJ49" s="1079" t="s">
        <v>721</v>
      </c>
      <c r="FK49" s="1079" t="s">
        <v>723</v>
      </c>
      <c r="FL49" s="1079" t="s">
        <v>724</v>
      </c>
      <c r="FM49" s="1079" t="s">
        <v>726</v>
      </c>
      <c r="FN49" s="1079" t="s">
        <v>729</v>
      </c>
      <c r="FO49" s="1079" t="s">
        <v>730</v>
      </c>
      <c r="FP49" s="1079" t="s">
        <v>731</v>
      </c>
      <c r="FQ49" s="1079" t="s">
        <v>733</v>
      </c>
      <c r="FR49" s="1079" t="s">
        <v>699</v>
      </c>
      <c r="FS49" s="1079" t="s">
        <v>705</v>
      </c>
      <c r="FT49" s="1079" t="s">
        <v>700</v>
      </c>
      <c r="FU49" s="1079" t="s">
        <v>701</v>
      </c>
      <c r="FV49" s="1079" t="s">
        <v>706</v>
      </c>
      <c r="FW49" s="1079" t="s">
        <v>703</v>
      </c>
      <c r="FX49" s="1079" t="s">
        <v>748</v>
      </c>
      <c r="FY49" s="1079" t="s">
        <v>708</v>
      </c>
      <c r="FZ49" s="1079" t="s">
        <v>709</v>
      </c>
      <c r="GA49" s="1079" t="s">
        <v>691</v>
      </c>
      <c r="GB49" s="1079" t="s">
        <v>710</v>
      </c>
      <c r="GC49" s="1079" t="s">
        <v>749</v>
      </c>
      <c r="GD49" s="1079" t="s">
        <v>801</v>
      </c>
      <c r="GE49" s="1079" t="s">
        <v>698</v>
      </c>
      <c r="GF49" s="1079" t="s">
        <v>705</v>
      </c>
      <c r="GG49" s="1079" t="s">
        <v>699</v>
      </c>
      <c r="GH49" s="1079" t="s">
        <v>701</v>
      </c>
      <c r="GI49" s="1079" t="s">
        <v>703</v>
      </c>
      <c r="GJ49" s="1079" t="s">
        <v>748</v>
      </c>
      <c r="GK49" s="1079" t="s">
        <v>691</v>
      </c>
      <c r="GL49" s="1079" t="s">
        <v>749</v>
      </c>
      <c r="GM49" s="1079" t="s">
        <v>711</v>
      </c>
      <c r="GN49" s="1079" t="s">
        <v>841</v>
      </c>
      <c r="GO49" s="1079" t="s">
        <v>842</v>
      </c>
      <c r="GP49" s="1079" t="s">
        <v>713</v>
      </c>
      <c r="GQ49" s="1079" t="s">
        <v>705</v>
      </c>
      <c r="GR49" s="1079" t="s">
        <v>705</v>
      </c>
      <c r="GS49" s="1079" t="s">
        <v>706</v>
      </c>
      <c r="GT49" s="1079" t="s">
        <v>706</v>
      </c>
      <c r="GU49" s="1079" t="s">
        <v>864</v>
      </c>
      <c r="GV49" s="1079" t="s">
        <v>864</v>
      </c>
      <c r="GW49" s="1079" t="s">
        <v>708</v>
      </c>
      <c r="GX49" s="1079" t="s">
        <v>708</v>
      </c>
      <c r="GY49" s="1079" t="s">
        <v>710</v>
      </c>
      <c r="GZ49" s="1079" t="s">
        <v>710</v>
      </c>
      <c r="HA49" s="1079" t="s">
        <v>801</v>
      </c>
      <c r="HB49" s="1079" t="s">
        <v>801</v>
      </c>
      <c r="HC49" s="1079" t="s">
        <v>712</v>
      </c>
      <c r="HD49" s="1079" t="s">
        <v>712</v>
      </c>
      <c r="HE49" s="1079" t="s">
        <v>714</v>
      </c>
      <c r="HF49" s="1079" t="s">
        <v>714</v>
      </c>
      <c r="HG49" s="1079" t="s">
        <v>865</v>
      </c>
      <c r="HH49" s="1079" t="s">
        <v>865</v>
      </c>
      <c r="HI49" s="1079" t="s">
        <v>719</v>
      </c>
      <c r="HJ49" s="1079" t="s">
        <v>719</v>
      </c>
      <c r="HK49" s="1079" t="s">
        <v>721</v>
      </c>
      <c r="HL49" s="1079" t="s">
        <v>721</v>
      </c>
      <c r="HM49" s="1079" t="s">
        <v>724</v>
      </c>
      <c r="HN49" s="1079" t="s">
        <v>724</v>
      </c>
      <c r="HO49" s="1079" t="s">
        <v>727</v>
      </c>
      <c r="HP49" s="1079" t="s">
        <v>727</v>
      </c>
      <c r="HQ49" s="1079" t="s">
        <v>730</v>
      </c>
      <c r="HR49" s="1079" t="s">
        <v>730</v>
      </c>
      <c r="HS49" s="1079" t="s">
        <v>734</v>
      </c>
      <c r="HT49" s="1079" t="s">
        <v>734</v>
      </c>
      <c r="HU49" s="1079" t="s">
        <v>737</v>
      </c>
      <c r="HV49" s="1079" t="s">
        <v>737</v>
      </c>
      <c r="HW49" s="1079" t="s">
        <v>740</v>
      </c>
      <c r="HX49" s="1079" t="s">
        <v>740</v>
      </c>
      <c r="HY49" s="1079" t="s">
        <v>743</v>
      </c>
      <c r="HZ49" s="1079" t="s">
        <v>743</v>
      </c>
      <c r="IA49" s="1079" t="s">
        <v>866</v>
      </c>
      <c r="IB49" s="1079" t="s">
        <v>866</v>
      </c>
      <c r="IC49" s="1079" t="s">
        <v>867</v>
      </c>
      <c r="ID49" s="1079" t="s">
        <v>867</v>
      </c>
      <c r="IE49" s="1079" t="s">
        <v>868</v>
      </c>
      <c r="IF49" s="1079" t="s">
        <v>868</v>
      </c>
      <c r="IG49" s="1079" t="s">
        <v>705</v>
      </c>
      <c r="IH49" s="1079" t="s">
        <v>705</v>
      </c>
      <c r="II49" s="1079" t="s">
        <v>706</v>
      </c>
      <c r="IJ49" s="1079" t="s">
        <v>706</v>
      </c>
      <c r="IK49" s="1079" t="s">
        <v>864</v>
      </c>
      <c r="IL49" s="1079" t="s">
        <v>864</v>
      </c>
      <c r="IM49" s="1079" t="s">
        <v>708</v>
      </c>
      <c r="IN49" s="1079" t="s">
        <v>708</v>
      </c>
      <c r="IO49" s="1079" t="s">
        <v>710</v>
      </c>
      <c r="IP49" s="1079" t="s">
        <v>710</v>
      </c>
      <c r="IQ49" s="1079" t="s">
        <v>801</v>
      </c>
      <c r="IR49" s="1079" t="s">
        <v>801</v>
      </c>
      <c r="IS49" s="1079" t="s">
        <v>712</v>
      </c>
      <c r="IT49" s="1079" t="s">
        <v>712</v>
      </c>
      <c r="IU49" s="1079" t="s">
        <v>705</v>
      </c>
      <c r="IV49" s="1079" t="s">
        <v>705</v>
      </c>
      <c r="IW49" s="1079" t="s">
        <v>706</v>
      </c>
      <c r="IX49" s="1079" t="s">
        <v>706</v>
      </c>
      <c r="IY49" s="1079" t="s">
        <v>864</v>
      </c>
      <c r="IZ49" s="1079" t="s">
        <v>864</v>
      </c>
      <c r="JA49" s="1079" t="s">
        <v>708</v>
      </c>
      <c r="JB49" s="1079" t="s">
        <v>708</v>
      </c>
      <c r="JC49" s="1079" t="s">
        <v>710</v>
      </c>
      <c r="JD49" s="1079" t="s">
        <v>710</v>
      </c>
      <c r="JE49" s="1079" t="s">
        <v>801</v>
      </c>
      <c r="JF49" s="1079" t="s">
        <v>801</v>
      </c>
      <c r="JG49" s="1079" t="s">
        <v>712</v>
      </c>
      <c r="JH49" s="1079" t="s">
        <v>712</v>
      </c>
      <c r="JI49" s="1079" t="s">
        <v>735</v>
      </c>
      <c r="JJ49" s="1079" t="s">
        <v>702</v>
      </c>
      <c r="JK49" s="1079" t="s">
        <v>967</v>
      </c>
      <c r="JL49" s="1079" t="s">
        <v>737</v>
      </c>
      <c r="JM49" s="1079" t="s">
        <v>738</v>
      </c>
      <c r="JN49" s="1079" t="s">
        <v>739</v>
      </c>
      <c r="JO49" s="1079" t="s">
        <v>711</v>
      </c>
      <c r="JP49" s="1079" t="s">
        <v>712</v>
      </c>
      <c r="JQ49" s="1079" t="s">
        <v>713</v>
      </c>
      <c r="JR49" s="1079" t="s">
        <v>751</v>
      </c>
      <c r="JS49" s="1079" t="s">
        <v>865</v>
      </c>
      <c r="JT49" s="1079" t="s">
        <v>701</v>
      </c>
      <c r="JU49" s="1079" t="s">
        <v>706</v>
      </c>
      <c r="JV49" s="1079" t="s">
        <v>702</v>
      </c>
      <c r="JW49" s="1079" t="s">
        <v>801</v>
      </c>
      <c r="JX49" s="1079" t="s">
        <v>712</v>
      </c>
      <c r="JY49" s="1079" t="s">
        <v>713</v>
      </c>
      <c r="JZ49" s="1079" t="s">
        <v>750</v>
      </c>
      <c r="KA49" s="1079" t="s">
        <v>757</v>
      </c>
      <c r="KB49" s="1079" t="s">
        <v>758</v>
      </c>
      <c r="KC49" s="1079" t="s">
        <v>957</v>
      </c>
      <c r="KD49" s="1079" t="s">
        <v>765</v>
      </c>
      <c r="KE49" s="1079" t="s">
        <v>766</v>
      </c>
      <c r="KF49" s="1079" t="s">
        <v>968</v>
      </c>
      <c r="KG49" s="1079" t="s">
        <v>969</v>
      </c>
      <c r="KH49" s="1079" t="s">
        <v>742</v>
      </c>
      <c r="KI49" s="1079" t="s">
        <v>750</v>
      </c>
      <c r="KJ49" s="1079" t="s">
        <v>970</v>
      </c>
      <c r="KK49" s="1079" t="s">
        <v>719</v>
      </c>
      <c r="KL49" s="1079" t="s">
        <v>974</v>
      </c>
      <c r="KM49" s="1079" t="s">
        <v>750</v>
      </c>
      <c r="KN49" s="1079" t="s">
        <v>715</v>
      </c>
      <c r="KO49" s="1079" t="s">
        <v>751</v>
      </c>
      <c r="KP49" s="1079" t="s">
        <v>866</v>
      </c>
    </row>
    <row r="50" spans="1:302" s="1093" customFormat="1" ht="59.25" customHeight="1">
      <c r="A50" s="1092">
        <f>A49+30</f>
        <v>45839</v>
      </c>
      <c r="C50" s="1094">
        <f t="shared" si="18"/>
        <v>45839</v>
      </c>
      <c r="D50" s="1095" t="str">
        <f t="shared" si="19"/>
        <v/>
      </c>
      <c r="E50" s="1093" t="str">
        <f t="shared" si="20"/>
        <v/>
      </c>
      <c r="F50" s="1093" t="str">
        <f t="shared" si="21"/>
        <v>Original</v>
      </c>
      <c r="G50" s="1092">
        <f t="shared" si="22"/>
        <v>45135</v>
      </c>
      <c r="H50" s="1092">
        <f t="shared" si="23"/>
        <v>45839</v>
      </c>
      <c r="N50" s="1095" t="s">
        <v>294</v>
      </c>
      <c r="O50" s="1095" t="str">
        <f>'F1  Cover'!A32</f>
        <v xml:space="preserve">Esc </v>
      </c>
      <c r="P50" s="1095" t="str">
        <f>'F1  Cover'!B38</f>
        <v>Retention @ 10%</v>
      </c>
      <c r="Q50" s="1095" t="str">
        <f>'Pg 1 Payment'!B26</f>
        <v>Deduct: Previous certificate (A)</v>
      </c>
      <c r="R50" s="1095" t="str">
        <f>'Pg 1 Payment'!B26</f>
        <v>Deduct: Previous certificate (A)</v>
      </c>
      <c r="S50" s="1095" t="str">
        <f>'Pg 2 Sum Scheduled'!B29</f>
        <v>Deduct: Previous Certificate Escalatable work (C)</v>
      </c>
      <c r="T50" s="1095" t="str">
        <f>'Pg 2 Sum Scheduled'!B29</f>
        <v>Deduct: Previous Certificate Escalatable work (C)</v>
      </c>
      <c r="U50" s="1095" t="str">
        <f>'C3.2'!B9</f>
        <v>(a)   Initial Assessment</v>
      </c>
      <c r="V50" s="1095" t="str">
        <f>'C3.2'!B10</f>
        <v>(b)   Disbursements</v>
      </c>
      <c r="W50" s="1095" t="str">
        <f>'C3.2'!B12</f>
        <v>(a)   Visual survey</v>
      </c>
      <c r="X50" s="1095" t="str">
        <f>'C3.2'!B13</f>
        <v xml:space="preserve">(b)   Disbursements </v>
      </c>
      <c r="Y50" s="1095" t="str">
        <f>'C3.2'!B15</f>
        <v>(a)   Project assessment report</v>
      </c>
      <c r="Z50" s="1095" t="str">
        <f>'C3.2'!B16</f>
        <v>(b)   Disbursements</v>
      </c>
      <c r="AA50" s="1093" t="str">
        <f>'C3.3'!B9</f>
        <v>(a) Survey Services when procured by service provider</v>
      </c>
      <c r="AB50" s="1093" t="str">
        <f>'C3.3'!B10</f>
        <v>(b) Cost for procuring and managing sub-service providerService Provider under sub-item 3.3.1(a)</v>
      </c>
      <c r="AC50" s="1093" t="str">
        <f>'C3.3'!B11</f>
        <v>(c) Cost when making use of SANRAL’s Property Service Providers</v>
      </c>
      <c r="AD50" s="1093" t="str">
        <f>'C3.3'!B17</f>
        <v>(a) Environmental services during design stage</v>
      </c>
      <c r="AE50" s="1093" t="str">
        <f>'C3.3'!B18</f>
        <v>(b) Cost for procuring and managing sub-service provider under sub-item 3.3.3(a)</v>
      </c>
      <c r="AF50" s="1093" t="str">
        <f>'C3.3'!B22</f>
        <v>(c)  Administration and monitoring of the geotechnical and/or drilling contract by the engineer</v>
      </c>
      <c r="AG50" s="1093" t="str">
        <f>'C3.3'!B24</f>
        <v xml:space="preserve">    (i)   Full time</v>
      </c>
      <c r="AH50" s="1093" t="str">
        <f>'C3.3'!B25</f>
        <v>(ii)  Engineering Geologist for logging of cores and Profiling of test pits</v>
      </c>
      <c r="AI50" s="1093" t="str">
        <f>'C3.3'!B20</f>
        <v>(a) Professional Service for Geotechnical and/or Drilling services investigations</v>
      </c>
      <c r="AJ50" s="1093" t="str">
        <f>'C3.3'!B21</f>
        <v>(b) Handling costs for planning, procuring professional services for geotechnical and/or drilling investigations i.r.o. item 3.3.4(a)</v>
      </c>
      <c r="AK50" s="1093" t="str">
        <f>'C3.4'!C104</f>
        <v>provisional sum (PS)</v>
      </c>
      <c r="AL50" s="1093" t="str">
        <f>'C3.4'!C105</f>
        <v>prime cost (PC)</v>
      </c>
      <c r="AM50" s="1093" t="str">
        <f>'C3.3'!B27</f>
        <v xml:space="preserve">   (iv)  Occupational Health and Safety obligations (continuous compliance and monthly audits)</v>
      </c>
      <c r="AN50" s="1093" t="str">
        <f>'C3.3'!B33</f>
        <v>(b) Pavement test pit, sampling &amp; profiling</v>
      </c>
      <c r="AO50" s="1093" t="str">
        <f>'C3.3'!B34</f>
        <v>(c)   Dynamic Cone Penetration (DCP)</v>
      </c>
      <c r="AP50" s="1093" t="str">
        <f>'C3.3'!B35</f>
        <v>(d)   Cores in asphalt layers (100/150mm dia)</v>
      </c>
      <c r="AQ50" s="1093" t="str">
        <f>'C3.3'!B36</f>
        <v>(e)   Cores in concrete layers (100/150mm dia)</v>
      </c>
      <c r="AR50" s="1093" t="str">
        <f>'C3.3'!B38</f>
        <v xml:space="preserve">    (i) Large bags</v>
      </c>
      <c r="AS50" s="1093" t="str">
        <f>'C3.3'!B39</f>
        <v xml:space="preserve">    (ii) Small bags/cores</v>
      </c>
      <c r="AT50" s="1093" t="str">
        <f>'C3.3'!B42</f>
        <v xml:space="preserve">  (i) In-situ density</v>
      </c>
      <c r="AU50" s="1093" t="str">
        <f>'C3.3'!B43</f>
        <v xml:space="preserve">  (ii)   Moisture content</v>
      </c>
      <c r="AV50" s="1093" t="str">
        <f>'C3.3'!B44</f>
        <v xml:space="preserve">  (iii)  Sieve analysis</v>
      </c>
      <c r="AW50" s="1093" t="str">
        <f>'C3.3'!B45</f>
        <v xml:space="preserve">(iv)   Atterberg limits </v>
      </c>
      <c r="AX50" s="1093" t="str">
        <f>'C3.3'!B46</f>
        <v>(v)   M.D.D + OMC (Mod AASHTO) natural</v>
      </c>
      <c r="AY50" s="1093" t="str">
        <f>'C3.3'!B47</f>
        <v>(vi)   M.D.D + OMC (Mod.AASHTO) stab.</v>
      </c>
      <c r="AZ50" s="1093" t="str">
        <f>'C3.3'!B48</f>
        <v>(vii)  CBR</v>
      </c>
      <c r="BA50" s="1093" t="str">
        <f>'C3.3'!B49</f>
        <v>(viii)  ITS (stabilised) (set of 3)</v>
      </c>
      <c r="BB50" s="1093" t="str">
        <f>'C3.3'!B50</f>
        <v>(ix)  UCS (stabilised) (set of 3)</v>
      </c>
      <c r="BC50" s="1093" t="str">
        <f>'C3.3'!B51</f>
        <v>(x)  PH value</v>
      </c>
      <c r="BD50" s="1093" t="str">
        <f>'C3.3'!B52</f>
        <v>(xi)  Wet/dry durability (150mm) (set of 3)</v>
      </c>
      <c r="BE50" s="1093" t="str">
        <f>'C3.3'!B53</f>
        <v>(xii)  Initial consumption lime/cement (ICL)</v>
      </c>
      <c r="BF50" s="1093" t="str">
        <f>'C3.3'!B54</f>
        <v>(xiii)   Ethylene glycol Durability Index</v>
      </c>
      <c r="BG50" s="1093" t="str">
        <f>'C3.3'!B55</f>
        <v>(xiv)  ACV</v>
      </c>
      <c r="BH50" s="1093" t="str">
        <f>'C3.3'!B56</f>
        <v>(xv)  10% FACT (dry)</v>
      </c>
      <c r="BI50" s="1093" t="str">
        <f>'C3.3'!B57</f>
        <v>(xvi) 10% Fact (wet)</v>
      </c>
      <c r="BJ50" s="1093" t="str">
        <f>'C3.3'!B58</f>
        <v>(xvii)  10% Fact (ethylene glycol)</v>
      </c>
      <c r="BK50" s="1093" t="str">
        <f>'C3.3'!B59</f>
        <v>(xviii) Aggregate grading</v>
      </c>
      <c r="BL50" s="1093" t="str">
        <f>'C3.3'!B60</f>
        <v>(xix) Aggregate Flakiness Index</v>
      </c>
      <c r="BM50" s="1093" t="str">
        <f>'C3.3'!B61</f>
        <v>(xx) Aggregate Average Least Dimension</v>
      </c>
      <c r="BN50" s="1093" t="str">
        <f>'C3.3'!B62</f>
        <v>(xxi) Polished Stone Value</v>
      </c>
      <c r="BO50" s="1093" t="str">
        <f>'C3.3'!B63</f>
        <v>(xxii)  Sand Equivalent</v>
      </c>
      <c r="BP50" s="1093" t="str">
        <f>'C3.3'!B64</f>
        <v>(xxiii) Bitumen content and grading</v>
      </c>
      <c r="BQ50" s="1093" t="str">
        <f>'C3.3'!B65</f>
        <v>(xxiv) Asphalt void content (cores)</v>
      </c>
      <c r="BR50" s="1093" t="str">
        <f>'C3.3'!B66</f>
        <v>(xxv)  Binder recovery (Absom)</v>
      </c>
      <c r="BS50" s="1093" t="str">
        <f>'C3.3'!B67</f>
        <v>(xxvi) Bitumen penetration</v>
      </c>
      <c r="BT50" s="1093" t="str">
        <f>'C3.3'!B68</f>
        <v>(xxvii) Bitumen softening point</v>
      </c>
      <c r="BU50" s="1093" t="str">
        <f>'C3.3'!B69</f>
        <v>(xxviii)  Sand Patch</v>
      </c>
      <c r="BV50" s="1093" t="str">
        <f>'C3.3'!B70</f>
        <v>(b) Laboratory Testing where no schedule is available, or specialised testing</v>
      </c>
      <c r="BW50" s="1093" t="str">
        <f>'C3.4'!$B10</f>
        <v>(i)   Fee (based on Employer’s estimated cost of the works)</v>
      </c>
      <c r="BX50" s="1093" t="str">
        <f>'C3.4'!$B13</f>
        <v>(i)   Fee (based on Employer’s estimated cost of the works)</v>
      </c>
      <c r="BY50" s="1093" t="str">
        <f>'C3.4'!$B16</f>
        <v>(i)   Fee (based on Employer’s estimated cost of the works)</v>
      </c>
      <c r="BZ50" s="1093" t="str">
        <f>'C3.4'!$B19</f>
        <v>(i)   Fee (based on Employer’s estimated cost of the works)</v>
      </c>
      <c r="CA50" s="1093" t="str">
        <f>'C3.4'!$B22</f>
        <v>(i)   Fee (based on Employer’s estimated cost of the works)</v>
      </c>
      <c r="CB50" s="1093" t="str">
        <f>'C3.4'!$B25</f>
        <v>(i)   Fee (based on Employer’s estimated cost of the works)</v>
      </c>
      <c r="CC50" s="1093" t="str">
        <f>'C3.4'!$B28</f>
        <v>(i)   Fee (based on Employer’s estimated cost of the works)</v>
      </c>
      <c r="CD50" s="1093" t="str">
        <f>'C3.4'!$B32</f>
        <v>(i)   Fee (based on Employer’s estimated cost of the works)</v>
      </c>
      <c r="CE50" s="1093" t="str">
        <f>'C3.4'!$B35</f>
        <v>(i)   Fee (based on Employer’s estimated cost of the works)</v>
      </c>
      <c r="CF50" s="1093" t="str">
        <f>'C3.4'!$B38</f>
        <v>(i)   Fee (based on Employer’s estimated cost of the works)</v>
      </c>
      <c r="CG50" s="1093" t="str">
        <f>'C3.4'!$B41</f>
        <v>(i)   Fee (based on Employer’s estimated cost of the works)</v>
      </c>
      <c r="CH50" s="1093" t="str">
        <f>'C3.4'!$B44</f>
        <v>(i)   Fee (based on Employer’s estimated cost of the works)</v>
      </c>
      <c r="CI50" s="1093" t="str">
        <f>'C3.4'!$B47</f>
        <v>(i)   Fee (based on Employer’s estimated cost of the works)</v>
      </c>
      <c r="CJ50" s="1093" t="str">
        <f>'C3.4'!$B50</f>
        <v>(i)   Fee (based on Employer’s estimated cost of the works)</v>
      </c>
      <c r="CK50" s="1093" t="str">
        <f>'C3.4'!$B54</f>
        <v>(i)   Fee (based on Employer’s estimated cost of the works)</v>
      </c>
      <c r="CL50" s="1093" t="str">
        <f>'C3.4'!$B57</f>
        <v>(i)   Fee (based on Employer’s estimated cost of the works)</v>
      </c>
      <c r="CM50" s="1093" t="str">
        <f>'C3.4'!$B60</f>
        <v>(i)   Fee (based on Employer’s estimated cost of the works)</v>
      </c>
      <c r="CN50" s="1093" t="str">
        <f>'C3.4'!$B63</f>
        <v>(i)   Fee (based on Employer’s estimated cost of the works)</v>
      </c>
      <c r="CO50" s="1093" t="str">
        <f>'C3.4'!$B66</f>
        <v>(i)   Fee (based on Employer’s estimated cost of the works)</v>
      </c>
      <c r="CP50" s="1093" t="str">
        <f>'C3.4'!$B69</f>
        <v>(i)   Fee (based on Employer’s estimated cost of the works)</v>
      </c>
      <c r="CQ50" s="1093" t="str">
        <f>'C3.4'!$B72</f>
        <v>(i)   Fee (based on Employer’s estimated cost of the works)</v>
      </c>
      <c r="CR50" s="1093" t="str">
        <f>'C3.4'!$B75</f>
        <v>(a)   Concept design</v>
      </c>
      <c r="CS50" s="1093" t="str">
        <f>'C3.4'!$B76</f>
        <v>(b)   Preliminary design</v>
      </c>
      <c r="CT50" s="1093" t="str">
        <f>'C3.4'!$B77</f>
        <v>(c)   Detailed design</v>
      </c>
      <c r="CU50" s="1093" t="str">
        <f>'C3.4'!$B79</f>
        <v>(a)   Compilation of Property Report for each individual property (or portion thereof) required</v>
      </c>
      <c r="CV50" s="1093" t="str">
        <f>'C3.4'!$B83</f>
        <v>(a) Road Safety Audit</v>
      </c>
      <c r="CW50" s="1093" t="str">
        <f>'C3.4'!$B84</f>
        <v>(b) Handling costs i.r.o. sub item 3.4.6(a)</v>
      </c>
      <c r="CX50" s="1093" t="str">
        <f>'C3.4'!$B86</f>
        <v>(a)  Road Safety Audit</v>
      </c>
      <c r="CY50" s="1093" t="str">
        <f>'C3.4'!$B87</f>
        <v>(b)  Handling costs i.r.o. sub item 3.4.7(a)</v>
      </c>
      <c r="CZ50" s="1093" t="str">
        <f>'C3.4'!$B88</f>
        <v>Occupational Health and Safety requirements</v>
      </c>
      <c r="DA50" s="1093" t="str">
        <f>'C3.4'!$B91</f>
        <v>(i)   Assistant Project Leader (APL)</v>
      </c>
      <c r="DB50" s="1093" t="str">
        <f>'C3.4'!$B92</f>
        <v>(ii)  Assistant Design Specialist(s) (ADS)</v>
      </c>
      <c r="DC50" s="1093" t="str">
        <f>'C3.4'!$B93</f>
        <v>(iii)  Disbursements</v>
      </c>
      <c r="DD50" s="1093" t="str">
        <f>'C3.4'!$B99</f>
        <v>(a)   Review of previous phase / stage</v>
      </c>
      <c r="DE50" s="1093" t="str">
        <f>'C3.4'!$B100</f>
        <v>(b)   Review of tender documentation by original designer</v>
      </c>
      <c r="DF50" s="1093" t="str">
        <f>'C3.4'!$B101</f>
        <v>(c)   Visit to construction site by original designer</v>
      </c>
      <c r="DG50" s="1093" t="str">
        <f>'C3.4'!$B108</f>
        <v>(a)   Establishment of personnel and equipment for test pitting</v>
      </c>
      <c r="DH50" s="1093" t="str">
        <f>'C3.4'!$B109</f>
        <v>(b)   Hire and operation of excavator</v>
      </c>
      <c r="DI50" s="1093" t="str">
        <f>'C3.4'!$B111</f>
        <v>(d)   Test pit excavation by hand</v>
      </c>
      <c r="DJ50" s="1093" t="str">
        <f>'C3.4'!$B112</f>
        <v>(e)   Sampling and profiling of test pits</v>
      </c>
      <c r="DK50" s="1093" t="str">
        <f>'C3.4'!$B113</f>
        <v>(f)    DCP</v>
      </c>
      <c r="DL50" s="1093" t="str">
        <f>'C3.4'!$B115</f>
        <v xml:space="preserve">  (i) Large bags</v>
      </c>
      <c r="DM50" s="1093" t="str">
        <f>'C3.4'!$B116</f>
        <v xml:space="preserve">  (ii) Small bags</v>
      </c>
      <c r="DN50" s="1093" t="str">
        <f>'C3.4'!$B119</f>
        <v>(i) In-situ density</v>
      </c>
      <c r="DO50" s="1093" t="str">
        <f>'C3.4'!$B120</f>
        <v>(ii)   Moisture content</v>
      </c>
      <c r="DP50" s="1093" t="str">
        <f>'C3.4'!$B121</f>
        <v>(iii)  Sieve analysis</v>
      </c>
      <c r="DQ50" s="1093" t="str">
        <f>'C3.4'!$B122</f>
        <v xml:space="preserve">(iv)   Atterberg limits </v>
      </c>
      <c r="DR50" s="1093" t="str">
        <f>'C3.4'!$B123</f>
        <v>(v)   M.D.D + OMC (Mod AASHTO) natural</v>
      </c>
      <c r="DS50" s="1093" t="str">
        <f>'C3.4'!$B124</f>
        <v>(vi)   M.D.D + OMC (Mod.AASHTO) stab.</v>
      </c>
      <c r="DT50" s="1093" t="str">
        <f>'C3.4'!$B125</f>
        <v>(vii)  CBR</v>
      </c>
      <c r="DU50" s="1093" t="str">
        <f>'C3.4'!$B126</f>
        <v>(viii)  ITS (stabilised) (set of 3)</v>
      </c>
      <c r="DV50" s="1093" t="str">
        <f>'C3.4'!$B127</f>
        <v>(ix)  UCS (stabilised) (set of 3)</v>
      </c>
      <c r="DW50" s="1093" t="str">
        <f>'C3.4'!$B128</f>
        <v>(x)  PH value</v>
      </c>
      <c r="DX50" s="1093" t="str">
        <f>'C3.4'!$B129</f>
        <v>(xi)  Wet/dry durability (150mm) (set of 3)</v>
      </c>
      <c r="DY50" s="1093" t="str">
        <f>'C3.4'!$B130</f>
        <v>(xii)  Initial consumption lime/cement (ICL)</v>
      </c>
      <c r="DZ50" s="1093" t="str">
        <f>'C3.4'!$B131</f>
        <v>(xiii)   Ethylene glycol Durability Index</v>
      </c>
      <c r="EA50" s="1093" t="str">
        <f>'C3.4'!$B132</f>
        <v>(xiv)  ACV</v>
      </c>
      <c r="EB50" s="1093" t="str">
        <f>'C3.4'!$B133</f>
        <v>(xv)  10% FACT (dry)</v>
      </c>
      <c r="EC50" s="1093" t="str">
        <f>'C3.4'!$B134</f>
        <v>(xvi) 10% Fact (wet)</v>
      </c>
      <c r="ED50" s="1093" t="str">
        <f>'C3.4'!$B135</f>
        <v>(xvii)  10% Fact (ethylene glycol)</v>
      </c>
      <c r="EE50" s="1093" t="str">
        <f>'C3.4'!$B136</f>
        <v>(xviii) Aggregate grading</v>
      </c>
      <c r="EF50" s="1093" t="str">
        <f>'C3.4'!$B137</f>
        <v>(xix) Aggregate Flakiness Index</v>
      </c>
      <c r="EG50" s="1093" t="str">
        <f>'C3.4'!$B138</f>
        <v>(xx) Aggregate Average Least Dimension</v>
      </c>
      <c r="EH50" s="1093" t="str">
        <f>'C3.4'!$B139</f>
        <v>(xxi) Polished Stone Value</v>
      </c>
      <c r="EI50" s="1093" t="str">
        <f>'C3.4'!$B140</f>
        <v>(xxii)  Sand Equivalent</v>
      </c>
      <c r="EJ50" s="1093" t="str">
        <f>'C3.4'!$B141</f>
        <v>(xxiii) Bitumen content and grading</v>
      </c>
      <c r="EK50" s="1093" t="str">
        <f>'C3.4'!$B142</f>
        <v>(xxiv) Asphalt void content (cores)</v>
      </c>
      <c r="EL50" s="1093" t="str">
        <f>'C3.4'!$B143</f>
        <v>(xxv)  Binder recovery (Absom)</v>
      </c>
      <c r="EM50" s="1093" t="str">
        <f>'C3.4'!$B144</f>
        <v>(xxvi) Bitumen penetration</v>
      </c>
      <c r="EN50" s="1093" t="str">
        <f>'C3.4'!$B145</f>
        <v>(xxvii) Bitumen softening point</v>
      </c>
      <c r="EO50" s="1093" t="str">
        <f>'C3.4'!$B146</f>
        <v>(xxviii)  Sand Patch</v>
      </c>
      <c r="EP50" s="1093" t="str">
        <f>'C3.4'!$B147</f>
        <v>(b)   Laboratory Testing where no schedule is available, or specialised testing</v>
      </c>
      <c r="EQ50" s="1093" t="str">
        <f>'C3.5'!$B9</f>
        <v>(a)  Preparation of tender documentation</v>
      </c>
      <c r="ER50" s="1093" t="str">
        <f>'C3.5'!$B10</f>
        <v>(b)  Disbursements</v>
      </c>
      <c r="ES50" s="1093" t="str">
        <f>'C3.5'!$B11</f>
        <v>(c)  Tender Documents on CD/DVD</v>
      </c>
      <c r="ET50" s="1093" t="str">
        <f>'C3.6'!$B9</f>
        <v>(a)  Service Provider’s cost</v>
      </c>
      <c r="EU50" s="1093" t="str">
        <f>'C3.6'!$B10</f>
        <v>(b)  Provision for pre-recorded video</v>
      </c>
      <c r="EV50" s="1093" t="str">
        <f>'C3.6'!$B13</f>
        <v>(a)   Tender evaluation and report</v>
      </c>
      <c r="EW50" s="1093" t="str">
        <f>'C3.6'!$B14</f>
        <v>(b)   Disbursements</v>
      </c>
      <c r="EX50" s="1093" t="str">
        <f>'C3.7'!$B10</f>
        <v>(i)   Fee (based on Employer’s estimated cost of the works)</v>
      </c>
      <c r="EY50" s="1093" t="str">
        <f>'C3.7'!$B13</f>
        <v>(i)   Fee (based on Employer’s estimated cost of the works)</v>
      </c>
      <c r="EZ50" s="1093" t="str">
        <f>'C3.7'!$B16</f>
        <v>(i)   Fee (based on Employer’s estimated cost of the works)</v>
      </c>
      <c r="FA50" s="1093" t="str">
        <f>'C3.7'!$B19</f>
        <v>(i)   Fee (based on Employer’s estimated cost of the works)</v>
      </c>
      <c r="FB50" s="1093" t="str">
        <f>'C3.7'!$B22</f>
        <v>(i)   Fee (based on Employer’s estimated cost of the works)</v>
      </c>
      <c r="FC50" s="1093" t="str">
        <f>'C3.7'!$B25</f>
        <v>(i)   Fee (based on Employer’s estimated cost of the works)</v>
      </c>
      <c r="FD50" s="1093" t="str">
        <f>'C3.7'!$B28</f>
        <v>(i)   Fee (based on Employer’s estimated cost of the works)</v>
      </c>
      <c r="FE50" s="1093" t="str">
        <f>'C3.7'!$B37</f>
        <v>(a) Continuous compliance and monthly internal audits</v>
      </c>
      <c r="FF50" s="1093" t="str">
        <f>'C3.7'!$B38</f>
        <v>(b) external site audits</v>
      </c>
      <c r="FG50" s="1093" t="str">
        <f>'C3.7'!$B41</f>
        <v>(a) Relocation costs of individual site personnel</v>
      </c>
      <c r="FH50" s="1093" t="str">
        <f>'C3.7'!$B43</f>
        <v>(c) Establishment of office equipment</v>
      </c>
      <c r="FI50" s="1093" t="str">
        <f>'C3.7'!$B45</f>
        <v>(a) Site supervision staff</v>
      </c>
      <c r="FJ50" s="1093" t="str">
        <f>'C3.7'!$B47</f>
        <v>(c) Surveyor and assistants</v>
      </c>
      <c r="FK50" s="1093" t="str">
        <f>'C3.7'!$B49</f>
        <v>(e) Provision and monthly cost of office equipment</v>
      </c>
      <c r="FL50" s="1093" t="str">
        <f>'C3.7'!$B50</f>
        <v>(f) Project Liaison Officer (PLO)</v>
      </c>
      <c r="FM50" s="1093" t="str">
        <f>'C3.7'!$B52</f>
        <v>(h) Accommodation for supervisory staff</v>
      </c>
      <c r="FN50" s="1093" t="str">
        <f>'C3.7'!$B55</f>
        <v>(a)   Employer’s candidate engineers</v>
      </c>
      <c r="FO50" s="1093" t="str">
        <f>'C3.7'!$B56</f>
        <v>(b)   Students (engineering or surveying) receiving experiential training</v>
      </c>
      <c r="FP50" s="1093" t="str">
        <f>'C3.7'!$B57</f>
        <v>(c)   Student stipend</v>
      </c>
      <c r="FQ50" s="1093" t="str">
        <f>'C3.7'!$B59</f>
        <v>(a) Travelling to perform duties</v>
      </c>
      <c r="FR50" s="1093" t="str">
        <f>'C3.8'!$B10</f>
        <v xml:space="preserve">(i) Category A </v>
      </c>
      <c r="FS50" s="1093" t="str">
        <f>'C3.8'!$B11</f>
        <v xml:space="preserve">(ii) Category B </v>
      </c>
      <c r="FT50" s="1093" t="str">
        <f>'C3.8'!$B12</f>
        <v xml:space="preserve">(iii) Category C </v>
      </c>
      <c r="FU50" s="1093" t="str">
        <f>'C3.8'!$B13</f>
        <v xml:space="preserve">(iv) Category D </v>
      </c>
      <c r="FV50" s="1093" t="str">
        <f>'C3.8'!$B14</f>
        <v>(b)  Disbursements</v>
      </c>
      <c r="FW50" s="1093" t="str">
        <f>'C3.8'!$B16</f>
        <v>Additional duties by the Employer</v>
      </c>
      <c r="FX50" s="1093" t="str">
        <f>'C3.8'!$B19</f>
        <v xml:space="preserve">(i) Personnel - Category A </v>
      </c>
      <c r="FY50" s="1093" t="str">
        <f>'C3.8'!$B20</f>
        <v xml:space="preserve">(ii) Personnel - Category B </v>
      </c>
      <c r="FZ50" s="1093" t="str">
        <f>'C3.8'!$B21</f>
        <v xml:space="preserve">(iii) Personnel - Category C </v>
      </c>
      <c r="GA50" s="1093" t="str">
        <f>'C3.8'!$B22</f>
        <v xml:space="preserve">(iv) Personnel - Category D </v>
      </c>
      <c r="GB50" s="1093" t="str">
        <f>'C3.8'!$B23</f>
        <v>(b) Service or advice procured by service provider</v>
      </c>
      <c r="GC50" s="1093" t="str">
        <f>'C3.8'!$B25</f>
        <v>Training of Targeted Enterprise Understudy</v>
      </c>
      <c r="GD50" s="1093" t="str">
        <f>'C3.8'!$B26</f>
        <v>Payment and Monthly Reporting cost</v>
      </c>
      <c r="GE50" s="1093" t="str">
        <f>'C3.9'!$B9</f>
        <v>(a) Provision of a fully operational laboratory</v>
      </c>
      <c r="GF50" s="1093" t="str">
        <f>'C3.9'!$B11</f>
        <v>(c) Off-site materials testing</v>
      </c>
      <c r="GG50" s="1093" t="str">
        <f>'C3.10'!$B10</f>
        <v>(i)   Fee (based on Employer’s estimated cost of the works)</v>
      </c>
      <c r="GH50" s="1093" t="str">
        <f>'C3.10'!$B13</f>
        <v>(i)   Fee (based on Employer’s estimated cost of the works)</v>
      </c>
      <c r="GI50" s="1093" t="str">
        <f>'C3.10'!$B16</f>
        <v>(i)   Fee (based on Employer’s estimated cost of the works)</v>
      </c>
      <c r="GJ50" s="1093" t="str">
        <f>'C3.10'!$B19</f>
        <v>(i)   Fee (based on Employer’s estimated cost of the works)</v>
      </c>
      <c r="GK50" s="1093" t="str">
        <f>'C3.10'!$B22</f>
        <v>(i)   Fee (based on Employer’s estimated cost of the works)</v>
      </c>
      <c r="GL50" s="1093" t="str">
        <f>'C3.10'!$B25</f>
        <v>(i)   Fee (based on Employer’s estimated cost of the works)</v>
      </c>
      <c r="GM50" s="1093" t="str">
        <f>'C3.10'!$B28</f>
        <v>(i)   Fee (based on Employer’s estimated cost of the works)</v>
      </c>
      <c r="GN50" s="1093" t="str">
        <f>'F1  Cover'!A34</f>
        <v>WAF</v>
      </c>
      <c r="GO50" s="1093" t="str">
        <f>'F1  Cover'!A36</f>
        <v>PEN</v>
      </c>
      <c r="GP50" s="1093" t="str">
        <f>'C3.7'!$B30</f>
        <v>(h) Disbursements</v>
      </c>
      <c r="GQ50" s="1093" t="str">
        <f>'C3.4'!$B11</f>
        <v xml:space="preserve">(ii)  Fee adjustment* </v>
      </c>
      <c r="GR50" s="1093" t="str">
        <f>'C3.4'!$B11</f>
        <v xml:space="preserve">(ii)  Fee adjustment* </v>
      </c>
      <c r="GS50" s="1093" t="str">
        <f>'C3.4'!$B14</f>
        <v xml:space="preserve">(ii)  Fee adjustment* </v>
      </c>
      <c r="GT50" s="1093" t="str">
        <f>'C3.4'!$B14</f>
        <v xml:space="preserve">(ii)  Fee adjustment* </v>
      </c>
      <c r="GU50" s="1093" t="str">
        <f>'C3.4'!$B17</f>
        <v xml:space="preserve">(ii)  Fee adjustment* </v>
      </c>
      <c r="GV50" s="1093" t="str">
        <f>'C3.4'!$B17</f>
        <v xml:space="preserve">(ii)  Fee adjustment* </v>
      </c>
      <c r="GW50" s="1093" t="str">
        <f>'C3.4'!$B20</f>
        <v xml:space="preserve">(ii)  Fee adjustment* </v>
      </c>
      <c r="GX50" s="1093" t="str">
        <f>'C3.4'!$B20</f>
        <v xml:space="preserve">(ii)  Fee adjustment* </v>
      </c>
      <c r="GY50" s="1093" t="str">
        <f>'C3.4'!$B23</f>
        <v xml:space="preserve">(ii)  Fee adjustment* </v>
      </c>
      <c r="GZ50" s="1093" t="str">
        <f>'C3.4'!$B23</f>
        <v xml:space="preserve">(ii)  Fee adjustment* </v>
      </c>
      <c r="HA50" s="1093" t="str">
        <f>'C3.4'!$B26</f>
        <v xml:space="preserve">(ii)  Fee adjustment* </v>
      </c>
      <c r="HB50" s="1093" t="str">
        <f>'C3.4'!$B26</f>
        <v xml:space="preserve">(ii)  Fee adjustment* </v>
      </c>
      <c r="HC50" s="1093" t="str">
        <f>'C3.4'!$B29</f>
        <v>(ii)  Fee adjustment*</v>
      </c>
      <c r="HD50" s="1093" t="str">
        <f>'C3.4'!$B29</f>
        <v>(ii)  Fee adjustment*</v>
      </c>
      <c r="HE50" s="1093" t="str">
        <f>'C3.4'!$B33</f>
        <v xml:space="preserve">(ii)  Fee adjustment* </v>
      </c>
      <c r="HF50" s="1093" t="str">
        <f>'C3.4'!$B33</f>
        <v xml:space="preserve">(ii)  Fee adjustment* </v>
      </c>
      <c r="HG50" s="1093" t="str">
        <f>'C3.4'!$B36</f>
        <v xml:space="preserve">(ii)  Fee adjustment* </v>
      </c>
      <c r="HH50" s="1093" t="str">
        <f>'C3.4'!$B36</f>
        <v xml:space="preserve">(ii)  Fee adjustment* </v>
      </c>
      <c r="HI50" s="1093" t="str">
        <f>'C3.4'!$B39</f>
        <v xml:space="preserve">(ii)  Fee adjustment* </v>
      </c>
      <c r="HJ50" s="1093" t="str">
        <f>'C3.4'!$B39</f>
        <v xml:space="preserve">(ii)  Fee adjustment* </v>
      </c>
      <c r="HK50" s="1093" t="str">
        <f>'C3.4'!$B42</f>
        <v xml:space="preserve">(ii)  Fee adjustment* </v>
      </c>
      <c r="HL50" s="1093" t="str">
        <f>'C3.4'!$B42</f>
        <v xml:space="preserve">(ii)  Fee adjustment* </v>
      </c>
      <c r="HM50" s="1093" t="str">
        <f>'C3.4'!$B45</f>
        <v xml:space="preserve">(ii)  Fee adjustment* </v>
      </c>
      <c r="HN50" s="1093" t="str">
        <f>'C3.4'!$B45</f>
        <v xml:space="preserve">(ii)  Fee adjustment* </v>
      </c>
      <c r="HO50" s="1093" t="str">
        <f>'C3.4'!$B48</f>
        <v xml:space="preserve">(ii)  Fee adjustment* </v>
      </c>
      <c r="HP50" s="1093" t="str">
        <f>'C3.4'!$B48</f>
        <v xml:space="preserve">(ii)  Fee adjustment* </v>
      </c>
      <c r="HQ50" s="1093" t="str">
        <f>'C3.4'!$B51</f>
        <v>(ii)  Fee adjustment*</v>
      </c>
      <c r="HR50" s="1093" t="str">
        <f>'C3.4'!$B51</f>
        <v>(ii)  Fee adjustment*</v>
      </c>
      <c r="HS50" s="1093" t="str">
        <f>'C3.4'!$B55</f>
        <v xml:space="preserve">(ii)  Fee adjustment* </v>
      </c>
      <c r="HT50" s="1093" t="str">
        <f>'C3.4'!$B55</f>
        <v xml:space="preserve">(ii)  Fee adjustment* </v>
      </c>
      <c r="HU50" s="1093" t="str">
        <f>'C3.4'!$B58</f>
        <v xml:space="preserve">(ii)  Fee adjustment* </v>
      </c>
      <c r="HV50" s="1093" t="str">
        <f>'C3.4'!$B58</f>
        <v xml:space="preserve">(ii)  Fee adjustment* </v>
      </c>
      <c r="HW50" s="1093" t="str">
        <f>'C3.4'!$B61</f>
        <v xml:space="preserve">(ii)  Fee adjustment* </v>
      </c>
      <c r="HX50" s="1093" t="str">
        <f>'C3.4'!$B61</f>
        <v xml:space="preserve">(ii)  Fee adjustment* </v>
      </c>
      <c r="HY50" s="1093" t="str">
        <f>'C3.4'!$B64</f>
        <v xml:space="preserve">(ii)  Fee adjustment* </v>
      </c>
      <c r="HZ50" s="1093" t="str">
        <f>'C3.4'!$B64</f>
        <v xml:space="preserve">(ii)  Fee adjustment* </v>
      </c>
      <c r="IA50" s="1093" t="str">
        <f>'C3.4'!$B67</f>
        <v xml:space="preserve">(ii)  Fee adjustment* </v>
      </c>
      <c r="IB50" s="1093" t="str">
        <f>'C3.4'!$B67</f>
        <v xml:space="preserve">(ii)  Fee adjustment* </v>
      </c>
      <c r="IC50" s="1093" t="str">
        <f>'C3.4'!$B70</f>
        <v xml:space="preserve">(ii)  Fee adjustment* </v>
      </c>
      <c r="ID50" s="1093" t="str">
        <f>'C3.4'!$B70</f>
        <v xml:space="preserve">(ii)  Fee adjustment* </v>
      </c>
      <c r="IE50" s="1093" t="str">
        <f>'C3.4'!$B73</f>
        <v>(ii)  Fee adjustment*</v>
      </c>
      <c r="IF50" s="1093" t="str">
        <f>'C3.4'!$B73</f>
        <v>(ii)  Fee adjustment*</v>
      </c>
      <c r="IG50" s="1093" t="str">
        <f>'C3.7'!$B11</f>
        <v xml:space="preserve">(ii)  Fee adjustment* </v>
      </c>
      <c r="IH50" s="1093" t="str">
        <f>'C3.7'!$B11</f>
        <v xml:space="preserve">(ii)  Fee adjustment* </v>
      </c>
      <c r="II50" s="1093" t="str">
        <f>'C3.7'!$B14</f>
        <v xml:space="preserve">(ii)  Fee adjustment* </v>
      </c>
      <c r="IJ50" s="1093" t="str">
        <f>'C3.7'!$B14</f>
        <v xml:space="preserve">(ii)  Fee adjustment* </v>
      </c>
      <c r="IK50" s="1093" t="str">
        <f>'C3.7'!$B17</f>
        <v xml:space="preserve">(ii)  Fee adjustment* </v>
      </c>
      <c r="IL50" s="1093" t="str">
        <f>'C3.7'!$B17</f>
        <v xml:space="preserve">(ii)  Fee adjustment* </v>
      </c>
      <c r="IM50" s="1093" t="str">
        <f>'C3.7'!$B20</f>
        <v xml:space="preserve">(ii)  Fee adjustment* </v>
      </c>
      <c r="IN50" s="1093" t="str">
        <f>'C3.7'!$B20</f>
        <v xml:space="preserve">(ii)  Fee adjustment* </v>
      </c>
      <c r="IO50" s="1093" t="str">
        <f>'C3.7'!$B23</f>
        <v xml:space="preserve">(ii)  Fee adjustment* </v>
      </c>
      <c r="IP50" s="1093" t="str">
        <f>'C3.7'!$B23</f>
        <v xml:space="preserve">(ii)  Fee adjustment* </v>
      </c>
      <c r="IQ50" s="1093" t="str">
        <f>'C3.7'!$B26</f>
        <v xml:space="preserve">(ii)  Fee adjustment* </v>
      </c>
      <c r="IR50" s="1093" t="str">
        <f>'C3.7'!$B26</f>
        <v xml:space="preserve">(ii)  Fee adjustment* </v>
      </c>
      <c r="IS50" s="1093" t="str">
        <f>'C3.7'!$B29</f>
        <v>(ii)  Fee adjustment*</v>
      </c>
      <c r="IT50" s="1093" t="str">
        <f>'C3.7'!$B29</f>
        <v>(ii)  Fee adjustment*</v>
      </c>
      <c r="IU50" s="1093" t="str">
        <f>'C3.10'!$B11</f>
        <v xml:space="preserve">(ii)  Fee adjustment* </v>
      </c>
      <c r="IV50" s="1093" t="str">
        <f>'C3.10'!$B11</f>
        <v xml:space="preserve">(ii)  Fee adjustment* </v>
      </c>
      <c r="IW50" s="1093" t="str">
        <f>'C3.10'!$B14</f>
        <v xml:space="preserve">(ii)  Fee adjustment* </v>
      </c>
      <c r="IX50" s="1093" t="str">
        <f>'C3.10'!$B14</f>
        <v xml:space="preserve">(ii)  Fee adjustment* </v>
      </c>
      <c r="IY50" s="1093" t="str">
        <f>'C3.10'!$B17</f>
        <v xml:space="preserve">(ii)  Fee adjustment* </v>
      </c>
      <c r="IZ50" s="1093" t="str">
        <f>'C3.10'!$B17</f>
        <v xml:space="preserve">(ii)  Fee adjustment* </v>
      </c>
      <c r="JA50" s="1093" t="str">
        <f>'C3.10'!$B20</f>
        <v xml:space="preserve">(ii)  Fee adjustment* </v>
      </c>
      <c r="JB50" s="1093" t="str">
        <f>'C3.10'!$B20</f>
        <v xml:space="preserve">(ii)  Fee adjustment* </v>
      </c>
      <c r="JC50" s="1093" t="str">
        <f>'C3.10'!$B23</f>
        <v xml:space="preserve">(ii)  Fee adjustment* </v>
      </c>
      <c r="JD50" s="1093" t="str">
        <f>'C3.10'!$B23</f>
        <v xml:space="preserve">(ii)  Fee adjustment* </v>
      </c>
      <c r="JE50" s="1093" t="str">
        <f>'C3.10'!$B26</f>
        <v xml:space="preserve">(ii)  Fee adjustment* </v>
      </c>
      <c r="JF50" s="1093" t="str">
        <f>'C3.10'!$B26</f>
        <v xml:space="preserve">(ii)  Fee adjustment* </v>
      </c>
      <c r="JG50" s="1093" t="str">
        <f>'C3.10'!$B29</f>
        <v>(ii)  Fee adjustment*</v>
      </c>
      <c r="JH50" s="1093" t="str">
        <f>'C3.10'!$B29</f>
        <v>(ii)  Fee adjustment*</v>
      </c>
      <c r="JI50" s="1093" t="str">
        <f>'C3.7'!$B61</f>
        <v>(c) Toll fees</v>
      </c>
      <c r="JJ50" s="1093" t="str">
        <f>'C3.6'!B15</f>
        <v>Preparation of Works contract documents</v>
      </c>
      <c r="JK50" s="1093" t="str">
        <f>'C3.4'!$B150</f>
        <v>(a)  Services</v>
      </c>
      <c r="JL50" s="1093" t="str">
        <f>'C3.7'!$B63</f>
        <v>(a)  Service Provider’s cost</v>
      </c>
      <c r="JM50" s="1093" t="str">
        <f>'C3.7'!$B64</f>
        <v>(b)  Tender Evaluation</v>
      </c>
      <c r="JN50" s="1093" t="str">
        <f>'C3.7'!$B65</f>
        <v>(c)  Evaluation Report</v>
      </c>
      <c r="JO50" s="1093" t="str">
        <f>'C3.8'!$B28</f>
        <v>(a) Establishment of PLC</v>
      </c>
      <c r="JP50" s="1093" t="str">
        <f>'C3.8'!$B29</f>
        <v>(b)   Liaison/Meetings with the PLC during design phase</v>
      </c>
      <c r="JQ50" s="1093" t="str">
        <f>'C3.8'!$B30</f>
        <v>(c)   PLC stipend</v>
      </c>
      <c r="JR50" s="1093" t="str">
        <f>'C3.8'!$B35</f>
        <v>(a) Market analysis</v>
      </c>
      <c r="JS50" s="1093" t="str">
        <f>'C3.8'!$B36</f>
        <v>(b) Establishment and Maintenance of a Targeted Enterprise database</v>
      </c>
      <c r="JT50" s="1093" t="str">
        <f>'C3.3'!$B$13</f>
        <v>(a) Traffic Monitoring Services when procured by Service Provider</v>
      </c>
      <c r="JU50" s="1093" t="str">
        <f>'C3.3'!$B$14</f>
        <v>(b) Cost for procuring and managing sub-Service Provider under sub-item 3.3.2(a)</v>
      </c>
      <c r="JV50" s="1093" t="str">
        <f>'C3.3'!$B$15</f>
        <v>(c) Cost when making use of SANRAL’s Traffic Monitoring Service Provider (TMSP)</v>
      </c>
      <c r="JW50" s="1093" t="str">
        <f>'C3.3'!$B$26</f>
        <v xml:space="preserve">   (iii)  Accommodation costs</v>
      </c>
      <c r="JX50" s="1096" t="str">
        <f>'C3.3'!B29</f>
        <v>(i)  Geotechnical and Drilling contractor</v>
      </c>
      <c r="JY50" s="1096" t="str">
        <f>'C3.3'!B30</f>
        <v xml:space="preserve">  (ii)  Handling cost for planning, procuring Contracting Services for geotechnical and drilling Works i.r.o item 3.3.4(e)(i)</v>
      </c>
      <c r="JZ50" s="1093" t="str">
        <f>'C3.3'!B32</f>
        <v>(a) Establishment of personnel and equipment for test pitting</v>
      </c>
      <c r="KA50" s="1093" t="str">
        <f>'C3.4'!$B80</f>
        <v>(b)   Conclusion of SPLUMA Agreement with relevant Municipality(ies)</v>
      </c>
      <c r="KB50" s="1093" t="str">
        <f>'C3.4'!$B81</f>
        <v>(c)   Conclusion of addendums to the SPLUMA Agreement(s)</v>
      </c>
      <c r="KC50" s="1093" t="str">
        <f>'C3.4'!$B95</f>
        <v>(i)   Candidate engineers</v>
      </c>
      <c r="KD50" s="1093" t="str">
        <f>'C3.4'!$B96</f>
        <v>(ii)  Students experiential training</v>
      </c>
      <c r="KE50" s="1093" t="str">
        <f>'C3.4'!$B97</f>
        <v>(iii)  Student stipend</v>
      </c>
      <c r="KF50" s="1093" t="str">
        <f>'C3.4'!$B153</f>
        <v>(a)   Regional Gateway Review</v>
      </c>
      <c r="KG50" s="1093" t="str">
        <f>'C3.4'!$B154</f>
        <v>(b)   National Gateway Review</v>
      </c>
      <c r="KH50" s="1093" t="str">
        <f>'C3.7'!$B68</f>
        <v>(b)  Cost for procuring and managing sub-service provider under sub-item 3.7.8(a)</v>
      </c>
      <c r="KI50" s="1093" t="str">
        <f>'C3.8'!$B32</f>
        <v>(e) Training of PLC members</v>
      </c>
      <c r="KJ50" s="1093" t="str">
        <f>'C3.8'!$B37</f>
        <v>(c) Establishment and Maintenance of a Targeted Labour database</v>
      </c>
      <c r="KK50" s="1093" t="str">
        <f>'C3.8'!$B39</f>
        <v>(a) Social Facilitator</v>
      </c>
      <c r="KL50" s="1093" t="str">
        <f>'C3.7'!$B31</f>
        <v>(i)  Administration and Monitoring of the Works Contract for extended Works Contract period from the original Employer’s estimate</v>
      </c>
      <c r="KM50" s="1093" t="str">
        <f>'C3.7'!$B32</f>
        <v>(j)  Administration and Monitoring of the Works Contract for prolonged site stoppages not under the control of the Employer</v>
      </c>
      <c r="KN50" s="1093" t="str">
        <f>'C3.7'!$B34</f>
        <v>(i)   Assistant Contract Engineer</v>
      </c>
      <c r="KO50" s="1093" t="str">
        <f>'C3.7'!$B35</f>
        <v>(ii)  Disbursements</v>
      </c>
      <c r="KP50" s="1093" t="str">
        <f>'C3.7'!$B67</f>
        <v>(a)  Environmental services</v>
      </c>
    </row>
    <row r="51" spans="1:302">
      <c r="A51" s="1076">
        <f>A50+31</f>
        <v>45870</v>
      </c>
      <c r="C51" s="1082">
        <f t="shared" si="18"/>
        <v>45870</v>
      </c>
      <c r="D51" s="1079" t="str">
        <f t="shared" si="19"/>
        <v/>
      </c>
      <c r="E51" s="177" t="str">
        <f t="shared" si="20"/>
        <v/>
      </c>
      <c r="F51" s="177" t="str">
        <f t="shared" si="21"/>
        <v>Original</v>
      </c>
      <c r="G51" s="1076">
        <f t="shared" si="22"/>
        <v>45135</v>
      </c>
      <c r="H51" s="1076">
        <f t="shared" si="23"/>
        <v>45870</v>
      </c>
      <c r="GQ51" s="177" t="s">
        <v>862</v>
      </c>
      <c r="GR51" s="177" t="s">
        <v>863</v>
      </c>
      <c r="GS51" s="177" t="s">
        <v>862</v>
      </c>
      <c r="GT51" s="177" t="s">
        <v>863</v>
      </c>
      <c r="GU51" s="177" t="s">
        <v>862</v>
      </c>
      <c r="GV51" s="177" t="s">
        <v>863</v>
      </c>
      <c r="GW51" s="177" t="s">
        <v>862</v>
      </c>
      <c r="GX51" s="177" t="s">
        <v>863</v>
      </c>
      <c r="GY51" s="177" t="s">
        <v>862</v>
      </c>
      <c r="GZ51" s="177" t="s">
        <v>863</v>
      </c>
      <c r="HA51" s="177" t="s">
        <v>862</v>
      </c>
      <c r="HB51" s="177" t="s">
        <v>863</v>
      </c>
      <c r="HC51" s="177" t="s">
        <v>862</v>
      </c>
      <c r="HD51" s="177" t="s">
        <v>863</v>
      </c>
      <c r="HE51" s="177" t="s">
        <v>862</v>
      </c>
      <c r="HF51" s="177" t="s">
        <v>863</v>
      </c>
      <c r="HG51" s="177" t="s">
        <v>862</v>
      </c>
      <c r="HH51" s="177" t="s">
        <v>863</v>
      </c>
      <c r="HI51" s="177" t="s">
        <v>862</v>
      </c>
      <c r="HJ51" s="177" t="s">
        <v>863</v>
      </c>
      <c r="HK51" s="177" t="s">
        <v>862</v>
      </c>
      <c r="HL51" s="177" t="s">
        <v>863</v>
      </c>
      <c r="HM51" s="177" t="s">
        <v>862</v>
      </c>
      <c r="HN51" s="177" t="s">
        <v>863</v>
      </c>
      <c r="HO51" s="177" t="s">
        <v>862</v>
      </c>
      <c r="HP51" s="177" t="s">
        <v>863</v>
      </c>
      <c r="HQ51" s="177" t="s">
        <v>862</v>
      </c>
      <c r="HR51" s="177" t="s">
        <v>863</v>
      </c>
      <c r="HS51" s="177" t="s">
        <v>862</v>
      </c>
      <c r="HT51" s="177" t="s">
        <v>863</v>
      </c>
      <c r="HU51" s="177" t="s">
        <v>862</v>
      </c>
      <c r="HV51" s="177" t="s">
        <v>863</v>
      </c>
      <c r="HW51" s="177" t="s">
        <v>862</v>
      </c>
      <c r="HX51" s="177" t="s">
        <v>863</v>
      </c>
      <c r="HY51" s="177" t="s">
        <v>862</v>
      </c>
      <c r="HZ51" s="177" t="s">
        <v>863</v>
      </c>
      <c r="IA51" s="177" t="s">
        <v>862</v>
      </c>
      <c r="IB51" s="177" t="s">
        <v>863</v>
      </c>
      <c r="IC51" s="177" t="s">
        <v>862</v>
      </c>
      <c r="ID51" s="177" t="s">
        <v>863</v>
      </c>
      <c r="IE51" s="177" t="s">
        <v>862</v>
      </c>
      <c r="IF51" s="177" t="s">
        <v>863</v>
      </c>
      <c r="IG51" s="177" t="s">
        <v>862</v>
      </c>
      <c r="IH51" s="177" t="s">
        <v>863</v>
      </c>
      <c r="II51" s="177" t="s">
        <v>862</v>
      </c>
      <c r="IJ51" s="177" t="s">
        <v>863</v>
      </c>
      <c r="IK51" s="177" t="s">
        <v>862</v>
      </c>
      <c r="IL51" s="177" t="s">
        <v>863</v>
      </c>
      <c r="IM51" s="177" t="s">
        <v>862</v>
      </c>
      <c r="IN51" s="177" t="s">
        <v>863</v>
      </c>
      <c r="IO51" s="177" t="s">
        <v>862</v>
      </c>
      <c r="IP51" s="177" t="s">
        <v>863</v>
      </c>
      <c r="IQ51" s="177" t="s">
        <v>862</v>
      </c>
      <c r="IR51" s="177" t="s">
        <v>863</v>
      </c>
      <c r="IS51" s="177" t="s">
        <v>862</v>
      </c>
      <c r="IT51" s="177" t="s">
        <v>863</v>
      </c>
      <c r="IU51" s="177" t="s">
        <v>862</v>
      </c>
      <c r="IV51" s="177" t="s">
        <v>863</v>
      </c>
      <c r="IW51" s="177" t="s">
        <v>862</v>
      </c>
      <c r="IX51" s="177" t="s">
        <v>863</v>
      </c>
      <c r="IY51" s="177" t="s">
        <v>862</v>
      </c>
      <c r="IZ51" s="177" t="s">
        <v>863</v>
      </c>
      <c r="JA51" s="177" t="s">
        <v>862</v>
      </c>
      <c r="JB51" s="177" t="s">
        <v>863</v>
      </c>
      <c r="JC51" s="177" t="s">
        <v>862</v>
      </c>
      <c r="JD51" s="177" t="s">
        <v>863</v>
      </c>
      <c r="JE51" s="177" t="s">
        <v>862</v>
      </c>
      <c r="JF51" s="177" t="s">
        <v>863</v>
      </c>
      <c r="JG51" s="177" t="s">
        <v>862</v>
      </c>
      <c r="JH51" s="177" t="s">
        <v>863</v>
      </c>
    </row>
    <row r="52" spans="1:302">
      <c r="A52" s="1076">
        <f>A51+31</f>
        <v>45901</v>
      </c>
      <c r="C52" s="1082">
        <f t="shared" si="18"/>
        <v>45901</v>
      </c>
      <c r="D52" s="1079" t="str">
        <f t="shared" si="19"/>
        <v/>
      </c>
      <c r="E52" s="177" t="str">
        <f t="shared" si="20"/>
        <v/>
      </c>
      <c r="F52" s="177" t="str">
        <f t="shared" si="21"/>
        <v>Original</v>
      </c>
      <c r="G52" s="1076">
        <f t="shared" si="22"/>
        <v>45135</v>
      </c>
      <c r="H52" s="1076">
        <f t="shared" si="23"/>
        <v>45901</v>
      </c>
      <c r="L52" s="1083" t="s">
        <v>660</v>
      </c>
      <c r="M52" s="1079">
        <f>IF(M53="",0,IF(M53=0,0,M53-1))</f>
        <v>0</v>
      </c>
      <c r="N52" s="1097">
        <f>VLOOKUP($M$52,$M$57:$ZZ$207,2,FALSE)</f>
        <v>45135</v>
      </c>
      <c r="O52" s="1098">
        <f>O56</f>
        <v>0</v>
      </c>
      <c r="P52" s="1098">
        <f>P56</f>
        <v>0</v>
      </c>
      <c r="Q52" s="1098">
        <f>VLOOKUP($M$52,$M$57:$ZZ$207,5,FALSE)</f>
        <v>0</v>
      </c>
      <c r="R52" s="1098">
        <f>VLOOKUP($M$52,$M$57:$ZZ$207,6,FALSE)</f>
        <v>0</v>
      </c>
      <c r="S52" s="1098">
        <f>VLOOKUP($M$52,$M$57:$ZZ$207,7,FALSE)</f>
        <v>0</v>
      </c>
      <c r="T52" s="1098">
        <f>VLOOKUP($M$52,$M$57:$ZZ$207,8,FALSE)</f>
        <v>0</v>
      </c>
      <c r="U52" s="1087">
        <f>VLOOKUP($M$52,$M$57:$ZZ$207,9,FALSE)</f>
        <v>0</v>
      </c>
      <c r="V52" s="1087">
        <f>VLOOKUP($M$52,$M$57:$ZZ$207,10,FALSE)</f>
        <v>0</v>
      </c>
      <c r="W52" s="1087">
        <f>VLOOKUP($M$52,$M$57:$ZZ$207,11,FALSE)</f>
        <v>0</v>
      </c>
      <c r="X52" s="1087">
        <f>VLOOKUP($M$52,$M$57:$ZZ$207,12,FALSE)</f>
        <v>0</v>
      </c>
      <c r="Y52" s="1087">
        <f>VLOOKUP($M$52,$M$57:$ZZ$207,13,FALSE)</f>
        <v>0</v>
      </c>
      <c r="Z52" s="1087">
        <f>VLOOKUP($M$52,$M$57:$ZZ$207,14,FALSE)</f>
        <v>0</v>
      </c>
      <c r="AA52" s="1087">
        <f>VLOOKUP($M$52,$M$57:$ZZ$207,15,FALSE)</f>
        <v>0</v>
      </c>
      <c r="AB52" s="1087">
        <f>VLOOKUP($M$52,$M$57:$ZZ$207,16,FALSE)</f>
        <v>0</v>
      </c>
      <c r="AC52" s="1087">
        <f>VLOOKUP($M$52,$M$57:$ZZ$207,17,FALSE)</f>
        <v>0</v>
      </c>
      <c r="AD52" s="1087">
        <f>VLOOKUP($M$52,$M$57:$ZZ$207,18,FALSE)</f>
        <v>0</v>
      </c>
      <c r="AE52" s="1087">
        <f>VLOOKUP($M$52,$M$57:$ZZ$207,19,FALSE)</f>
        <v>0</v>
      </c>
      <c r="AF52" s="1087">
        <f>VLOOKUP($M$52,$M$57:$ZZ$207,20,FALSE)</f>
        <v>0</v>
      </c>
      <c r="AG52" s="1087">
        <f>VLOOKUP($M$52,$M$57:$ZZ$207,21,FALSE)</f>
        <v>0</v>
      </c>
      <c r="AH52" s="1087">
        <f>VLOOKUP($M$52,$M$57:$ZZ$207,22,FALSE)</f>
        <v>0</v>
      </c>
      <c r="AI52" s="1087">
        <f>VLOOKUP($M$52,$M$57:$ZZ$207,23,FALSE)</f>
        <v>0</v>
      </c>
      <c r="AJ52" s="1087">
        <f>VLOOKUP($M$52,$M$57:$ZZ$207,24,FALSE)</f>
        <v>0</v>
      </c>
      <c r="AK52" s="1087">
        <f>VLOOKUP($M$52,$M$57:$ZZ$207,25,FALSE)</f>
        <v>0</v>
      </c>
      <c r="AL52" s="1087">
        <f>VLOOKUP($M$52,$M$57:$ZZ$207,26,FALSE)</f>
        <v>0</v>
      </c>
      <c r="AM52" s="1087">
        <f>VLOOKUP($M$52,$M$57:$ZZ$207,27,FALSE)</f>
        <v>0</v>
      </c>
      <c r="AN52" s="1087">
        <f>VLOOKUP($M$52,$M$57:$ZZ$207,28,FALSE)</f>
        <v>0</v>
      </c>
      <c r="AO52" s="1087">
        <f>VLOOKUP($M$52,$M$57:$ZZ$207,29,FALSE)</f>
        <v>0</v>
      </c>
      <c r="AP52" s="1087">
        <f>VLOOKUP($M$52,$M$57:$ZZ$207,30,FALSE)</f>
        <v>0</v>
      </c>
      <c r="AQ52" s="1087">
        <f>VLOOKUP($M$52,$M$57:$ZZ$207,31,FALSE)</f>
        <v>0</v>
      </c>
      <c r="AR52" s="1087">
        <f>VLOOKUP($M$52,$M$57:$ZZ$207,32,FALSE)</f>
        <v>0</v>
      </c>
      <c r="AS52" s="1087">
        <f>VLOOKUP($M$52,$M$57:$ZZ$207,33,FALSE)</f>
        <v>0</v>
      </c>
      <c r="AT52" s="1087">
        <f>VLOOKUP($M$52,$M$57:$ZZ$207,34,FALSE)</f>
        <v>0</v>
      </c>
      <c r="AU52" s="1087">
        <f>VLOOKUP($M$52,$M$57:$ZZ$207,35,FALSE)</f>
        <v>0</v>
      </c>
      <c r="AV52" s="1087">
        <f>VLOOKUP($M$52,$M$57:$ZZ$207,36,FALSE)</f>
        <v>0</v>
      </c>
      <c r="AW52" s="1087">
        <f>VLOOKUP($M$52,$M$57:$ZZ$207,37,FALSE)</f>
        <v>0</v>
      </c>
      <c r="AX52" s="1087">
        <f>VLOOKUP($M$52,$M$57:$ZZ$207,38,FALSE)</f>
        <v>0</v>
      </c>
      <c r="AY52" s="1087">
        <f>VLOOKUP($M$52,$M$57:$ZZ$207,39,FALSE)</f>
        <v>0</v>
      </c>
      <c r="AZ52" s="1087">
        <f>VLOOKUP($M$52,$M$57:$ZZ$207,40,FALSE)</f>
        <v>0</v>
      </c>
      <c r="BA52" s="1087">
        <f>VLOOKUP($M$52,$M$57:$ZZ$207,41,FALSE)</f>
        <v>0</v>
      </c>
      <c r="BB52" s="1087">
        <f>VLOOKUP($M$52,$M$57:$ZZ$207,42,FALSE)</f>
        <v>0</v>
      </c>
      <c r="BC52" s="1087">
        <f>VLOOKUP($M$52,$M$57:$ZZ$207,43,FALSE)</f>
        <v>0</v>
      </c>
      <c r="BD52" s="1087">
        <f>VLOOKUP($M$52,$M$57:$ZZ$207,44,FALSE)</f>
        <v>0</v>
      </c>
      <c r="BE52" s="1087">
        <f>VLOOKUP($M$52,$M$57:$ZZ$207,45,FALSE)</f>
        <v>0</v>
      </c>
      <c r="BF52" s="1087">
        <f>VLOOKUP($M$52,$M$57:$ZZ$207,46,FALSE)</f>
        <v>0</v>
      </c>
      <c r="BG52" s="1087">
        <f>VLOOKUP($M$52,$M$57:$ZZ$207,47,FALSE)</f>
        <v>0</v>
      </c>
      <c r="BH52" s="1087">
        <f>VLOOKUP($M$52,$M$57:$ZZ$207,48,FALSE)</f>
        <v>0</v>
      </c>
      <c r="BI52" s="1087">
        <f>VLOOKUP($M$52,$M$57:$ZZ$207,49,FALSE)</f>
        <v>0</v>
      </c>
      <c r="BJ52" s="1087">
        <f>VLOOKUP($M$52,$M$57:$ZZ$207,50,FALSE)</f>
        <v>0</v>
      </c>
      <c r="BK52" s="1087">
        <f>VLOOKUP($M$52,$M$57:$ZZ$207,51,FALSE)</f>
        <v>0</v>
      </c>
      <c r="BL52" s="1087">
        <f>VLOOKUP($M$52,$M$57:$ZZ$207,52,FALSE)</f>
        <v>0</v>
      </c>
      <c r="BM52" s="1087">
        <f>VLOOKUP($M$52,$M$57:$ZZ$207,53,FALSE)</f>
        <v>0</v>
      </c>
      <c r="BN52" s="1087">
        <f>VLOOKUP($M$52,$M$57:$ZZ$207,54,FALSE)</f>
        <v>0</v>
      </c>
      <c r="BO52" s="1087">
        <f>VLOOKUP($M$52,$M$57:$ZZ$207,55,FALSE)</f>
        <v>0</v>
      </c>
      <c r="BP52" s="1087">
        <f>VLOOKUP($M$52,$M$57:$ZZ$207,56,FALSE)</f>
        <v>0</v>
      </c>
      <c r="BQ52" s="1087">
        <f>VLOOKUP($M$52,$M$57:$ZZ$207,57,FALSE)</f>
        <v>0</v>
      </c>
      <c r="BR52" s="1087">
        <f>VLOOKUP($M$52,$M$57:$ZZ$207,58,FALSE)</f>
        <v>0</v>
      </c>
      <c r="BS52" s="1087">
        <f>VLOOKUP($M$52,$M$57:$ZZ$207,59,FALSE)</f>
        <v>0</v>
      </c>
      <c r="BT52" s="1087">
        <f>VLOOKUP($M$52,$M$57:$ZZ$207,60,FALSE)</f>
        <v>0</v>
      </c>
      <c r="BU52" s="1087">
        <f>VLOOKUP($M$52,$M$57:$ZZ$207,61,FALSE)</f>
        <v>0</v>
      </c>
      <c r="BV52" s="1087">
        <f>VLOOKUP($M$52,$M$57:$ZZ$207,62,FALSE)</f>
        <v>0</v>
      </c>
      <c r="BW52" s="1087">
        <f>VLOOKUP($M$52,$M$57:$ZZ$207,63,FALSE)</f>
        <v>0</v>
      </c>
      <c r="BX52" s="1087">
        <f>VLOOKUP($M$52,$M$57:$ZZ$207,64,FALSE)</f>
        <v>0</v>
      </c>
      <c r="BY52" s="1087">
        <f>VLOOKUP($M$52,$M$57:$ZZ$207,65,FALSE)</f>
        <v>0</v>
      </c>
      <c r="BZ52" s="1087">
        <f>VLOOKUP($M$52,$M$57:$ZZ$207,66,FALSE)</f>
        <v>0</v>
      </c>
      <c r="CA52" s="1087">
        <f>VLOOKUP($M$52,$M$57:$ZZ$207,67,FALSE)</f>
        <v>0</v>
      </c>
      <c r="CB52" s="1087">
        <f>VLOOKUP($M$52,$M$57:$ZZ$207,68,FALSE)</f>
        <v>0</v>
      </c>
      <c r="CC52" s="1087">
        <f>VLOOKUP($M$52,$M$57:$ZZ$207,69,FALSE)</f>
        <v>0</v>
      </c>
      <c r="CD52" s="1087">
        <f>VLOOKUP($M$52,$M$57:$ZZ$207,70,FALSE)</f>
        <v>0</v>
      </c>
      <c r="CE52" s="1087">
        <f>VLOOKUP($M$52,$M$57:$ZZ$207,71,FALSE)</f>
        <v>0</v>
      </c>
      <c r="CF52" s="1087">
        <f>VLOOKUP($M$52,$M$57:$ZZ$207,72,FALSE)</f>
        <v>0</v>
      </c>
      <c r="CG52" s="1087">
        <f>VLOOKUP($M$52,$M$57:$ZZ$207,73,FALSE)</f>
        <v>0</v>
      </c>
      <c r="CH52" s="1087">
        <f>VLOOKUP($M$52,$M$57:$ZZ$207,74,FALSE)</f>
        <v>0</v>
      </c>
      <c r="CI52" s="1087">
        <f>VLOOKUP($M$52,$M$57:$ZZ$207,75,FALSE)</f>
        <v>0</v>
      </c>
      <c r="CJ52" s="1087">
        <f>VLOOKUP($M$52,$M$57:$ZZ$207,76,FALSE)</f>
        <v>0</v>
      </c>
      <c r="CK52" s="1087">
        <f>VLOOKUP($M$52,$M$57:$ZZ$207,77,FALSE)</f>
        <v>0</v>
      </c>
      <c r="CL52" s="1087">
        <f>VLOOKUP($M$52,$M$57:$ZZ$207,78,FALSE)</f>
        <v>0</v>
      </c>
      <c r="CM52" s="1087">
        <f>VLOOKUP($M$52,$M$57:$ZZ$207,79,FALSE)</f>
        <v>0</v>
      </c>
      <c r="CN52" s="1087">
        <f>VLOOKUP($M$52,$M$57:$ZZ$207,80,FALSE)</f>
        <v>0</v>
      </c>
      <c r="CO52" s="1087">
        <f>VLOOKUP($M$52,$M$57:$ZZ$207,81,FALSE)</f>
        <v>0</v>
      </c>
      <c r="CP52" s="1087">
        <f>VLOOKUP($M$52,$M$57:$ZZ$207,82,FALSE)</f>
        <v>0</v>
      </c>
      <c r="CQ52" s="1087">
        <f>VLOOKUP($M$52,$M$57:$ZZ$207,83,FALSE)</f>
        <v>0</v>
      </c>
      <c r="CR52" s="1087">
        <f>VLOOKUP($M$52,$M$57:$ZZ$207,84,FALSE)</f>
        <v>0</v>
      </c>
      <c r="CS52" s="1087">
        <f>VLOOKUP($M$52,$M$57:$ZZ$207,85,FALSE)</f>
        <v>0</v>
      </c>
      <c r="CT52" s="1087">
        <f>VLOOKUP($M$52,$M$57:$ZZ$207,86,FALSE)</f>
        <v>0</v>
      </c>
      <c r="CU52" s="1087">
        <f>VLOOKUP($M$52,$M$57:$ZZ$207,87,FALSE)</f>
        <v>0</v>
      </c>
      <c r="CV52" s="1087">
        <f>VLOOKUP($M$52,$M$57:$ZZ$207,88,FALSE)</f>
        <v>0</v>
      </c>
      <c r="CW52" s="1087">
        <f>VLOOKUP($M$52,$M$57:$ZZ$207,89,FALSE)</f>
        <v>0</v>
      </c>
      <c r="CX52" s="1087">
        <f>VLOOKUP($M$52,$M$57:$ZZ$207,90,FALSE)</f>
        <v>0</v>
      </c>
      <c r="CY52" s="1087">
        <f>VLOOKUP($M$52,$M$57:$ZZ$207,91,FALSE)</f>
        <v>0</v>
      </c>
      <c r="CZ52" s="1087">
        <f>VLOOKUP($M$52,$M$57:$ZZ$207,92,FALSE)</f>
        <v>0</v>
      </c>
      <c r="DA52" s="1087">
        <f>VLOOKUP($M$52,$M$57:$ZZ$207,93,FALSE)</f>
        <v>0</v>
      </c>
      <c r="DB52" s="1087">
        <f>VLOOKUP($M$52,$M$57:$ZZ$207,94,FALSE)</f>
        <v>0</v>
      </c>
      <c r="DC52" s="1087">
        <f>VLOOKUP($M$52,$M$57:$ZZ$207,95,FALSE)</f>
        <v>0</v>
      </c>
      <c r="DD52" s="1087">
        <f>VLOOKUP($M$52,$M$57:$ZZ$207,96,FALSE)</f>
        <v>0</v>
      </c>
      <c r="DE52" s="1087">
        <f>VLOOKUP($M$52,$M$57:$ZZ$207,97,FALSE)</f>
        <v>0</v>
      </c>
      <c r="DF52" s="1087">
        <f>VLOOKUP($M$52,$M$57:$ZZ$207,98,FALSE)</f>
        <v>0</v>
      </c>
      <c r="DG52" s="1087">
        <f>VLOOKUP($M$52,$M$57:$ZZ$207,99,FALSE)</f>
        <v>0</v>
      </c>
      <c r="DH52" s="1087">
        <f>VLOOKUP($M$52,$M$57:$ZZ$207,100,FALSE)</f>
        <v>0</v>
      </c>
      <c r="DI52" s="1087">
        <f>VLOOKUP($M$52,$M$57:$ZZ$207,101,FALSE)</f>
        <v>0</v>
      </c>
      <c r="DJ52" s="1087">
        <f>VLOOKUP($M$52,$M$57:$ZZ$207,102,FALSE)</f>
        <v>0</v>
      </c>
      <c r="DK52" s="1087">
        <f>VLOOKUP($M$52,$M$57:$ZZ$207,103,FALSE)</f>
        <v>0</v>
      </c>
      <c r="DL52" s="1087">
        <f>VLOOKUP($M$52,$M$57:$ZZ$207,104,FALSE)</f>
        <v>0</v>
      </c>
      <c r="DM52" s="1087">
        <f>VLOOKUP($M$52,$M$57:$ZZ$207,105,FALSE)</f>
        <v>0</v>
      </c>
      <c r="DN52" s="1087">
        <f>VLOOKUP($M$52,$M$57:$ZZ$207,106,FALSE)</f>
        <v>0</v>
      </c>
      <c r="DO52" s="1087">
        <f>VLOOKUP($M$52,$M$57:$ZZ$207,107,FALSE)</f>
        <v>0</v>
      </c>
      <c r="DP52" s="1087">
        <f>VLOOKUP($M$52,$M$57:$ZZ$207,108,FALSE)</f>
        <v>0</v>
      </c>
      <c r="DQ52" s="1087">
        <f>VLOOKUP($M$52,$M$57:$ZZ$207,109,FALSE)</f>
        <v>0</v>
      </c>
      <c r="DR52" s="1087">
        <f>VLOOKUP($M$52,$M$57:$ZZ$207,110,FALSE)</f>
        <v>0</v>
      </c>
      <c r="DS52" s="1087">
        <f>VLOOKUP($M$52,$M$57:$ZZ$207,111,FALSE)</f>
        <v>0</v>
      </c>
      <c r="DT52" s="1087">
        <f>VLOOKUP($M$52,$M$57:$ZZ$207,112,FALSE)</f>
        <v>0</v>
      </c>
      <c r="DU52" s="1087">
        <f>VLOOKUP($M$52,$M$57:$ZZ$207,113,FALSE)</f>
        <v>0</v>
      </c>
      <c r="DV52" s="1087">
        <f>VLOOKUP($M$52,$M$57:$ZZ$207,114,FALSE)</f>
        <v>0</v>
      </c>
      <c r="DW52" s="1087">
        <f>VLOOKUP($M$52,$M$57:$ZZ$207,115,FALSE)</f>
        <v>0</v>
      </c>
      <c r="DX52" s="1087">
        <f>VLOOKUP($M$52,$M$57:$ZZ$207,116,FALSE)</f>
        <v>0</v>
      </c>
      <c r="DY52" s="1087">
        <f>VLOOKUP($M$52,$M$57:$ZZ$207,117,FALSE)</f>
        <v>0</v>
      </c>
      <c r="DZ52" s="1087">
        <f>VLOOKUP($M$52,$M$57:$ZZ$207,118,FALSE)</f>
        <v>0</v>
      </c>
      <c r="EA52" s="1087">
        <f>VLOOKUP($M$52,$M$57:$ZZ$207,119,FALSE)</f>
        <v>0</v>
      </c>
      <c r="EB52" s="1087">
        <f>VLOOKUP($M$52,$M$57:$ZZ$207,120,FALSE)</f>
        <v>0</v>
      </c>
      <c r="EC52" s="1087">
        <f>VLOOKUP($M$52,$M$57:$ZZ$207,121,FALSE)</f>
        <v>0</v>
      </c>
      <c r="ED52" s="1087">
        <f>VLOOKUP($M$52,$M$57:$ZZ$207,122,FALSE)</f>
        <v>0</v>
      </c>
      <c r="EE52" s="1087">
        <f>VLOOKUP($M$52,$M$57:$ZZ$207,123,FALSE)</f>
        <v>0</v>
      </c>
      <c r="EF52" s="1087">
        <f>VLOOKUP($M$52,$M$57:$ZZ$207,124,FALSE)</f>
        <v>0</v>
      </c>
      <c r="EG52" s="1087">
        <f>VLOOKUP($M$52,$M$57:$ZZ$207,125,FALSE)</f>
        <v>0</v>
      </c>
      <c r="EH52" s="1087">
        <f>VLOOKUP($M$52,$M$57:$ZZ$207,126,FALSE)</f>
        <v>0</v>
      </c>
      <c r="EI52" s="1087">
        <f>VLOOKUP($M$52,$M$57:$ZZ$207,127,FALSE)</f>
        <v>0</v>
      </c>
      <c r="EJ52" s="1087">
        <f>VLOOKUP($M$52,$M$57:$ZZ$207,128,FALSE)</f>
        <v>0</v>
      </c>
      <c r="EK52" s="1087">
        <f>VLOOKUP($M$52,$M$57:$ZZ$207,129,FALSE)</f>
        <v>0</v>
      </c>
      <c r="EL52" s="1087">
        <f>VLOOKUP($M$52,$M$57:$ZZ$207,130,FALSE)</f>
        <v>0</v>
      </c>
      <c r="EM52" s="1087">
        <f>VLOOKUP($M$52,$M$57:$ZZ$207,131,FALSE)</f>
        <v>0</v>
      </c>
      <c r="EN52" s="1087">
        <f>VLOOKUP($M$52,$M$57:$ZZ$207,132,FALSE)</f>
        <v>0</v>
      </c>
      <c r="EO52" s="1087">
        <f>VLOOKUP($M$52,$M$57:$ZZ$207,133,FALSE)</f>
        <v>0</v>
      </c>
      <c r="EP52" s="1087">
        <f>VLOOKUP($M$52,$M$57:$ZZ$207,134,FALSE)</f>
        <v>0</v>
      </c>
      <c r="EQ52" s="1087">
        <f>VLOOKUP($M$52,$M$57:$ZZ$207,135,FALSE)</f>
        <v>0</v>
      </c>
      <c r="ER52" s="1087">
        <f>VLOOKUP($M$52,$M$57:$ZZ$207,136,FALSE)</f>
        <v>0</v>
      </c>
      <c r="ES52" s="1087">
        <f>VLOOKUP($M$52,$M$57:$ZZ$207,137,FALSE)</f>
        <v>0</v>
      </c>
      <c r="ET52" s="1087">
        <f>VLOOKUP($M$52,$M$57:$ZZ$207,138,FALSE)</f>
        <v>0</v>
      </c>
      <c r="EU52" s="1087">
        <f>VLOOKUP($M$52,$M$57:$ZZ$207,139,FALSE)</f>
        <v>0</v>
      </c>
      <c r="EV52" s="1087">
        <f>VLOOKUP($M$52,$M$57:$ZZ$207,140,FALSE)</f>
        <v>0</v>
      </c>
      <c r="EW52" s="1087">
        <f>VLOOKUP($M$52,$M$57:$ZZ$207,141,FALSE)</f>
        <v>0</v>
      </c>
      <c r="EX52" s="1087">
        <f>VLOOKUP($M$52,$M$57:$ZZ$207,142,FALSE)</f>
        <v>0</v>
      </c>
      <c r="EY52" s="1087">
        <f>VLOOKUP($M$52,$M$57:$ZZ$207,143,FALSE)</f>
        <v>0</v>
      </c>
      <c r="EZ52" s="1087">
        <f>VLOOKUP($M$52,$M$57:$ZZ$207,144,FALSE)</f>
        <v>0</v>
      </c>
      <c r="FA52" s="1087">
        <f>VLOOKUP($M$52,$M$57:$ZZ$207,145,FALSE)</f>
        <v>0</v>
      </c>
      <c r="FB52" s="1087">
        <f>VLOOKUP($M$52,$M$57:$ZZ$207,146,FALSE)</f>
        <v>0</v>
      </c>
      <c r="FC52" s="1087">
        <f>VLOOKUP($M$52,$M$57:$ZZ$207,147,FALSE)</f>
        <v>0</v>
      </c>
      <c r="FD52" s="1087">
        <f>VLOOKUP($M$52,$M$57:$ZZ$207,148,FALSE)</f>
        <v>0</v>
      </c>
      <c r="FE52" s="1087">
        <f>VLOOKUP($M$52,$M$57:$ZZ$207,149,FALSE)</f>
        <v>0</v>
      </c>
      <c r="FF52" s="1087">
        <f>VLOOKUP($M$52,$M$57:$ZZ$207,150,FALSE)</f>
        <v>0</v>
      </c>
      <c r="FG52" s="1087">
        <f>VLOOKUP($M$52,$M$57:$ZZ$207,151,FALSE)</f>
        <v>0</v>
      </c>
      <c r="FH52" s="1087">
        <f>VLOOKUP($M$52,$M$57:$ZZ$207,152,FALSE)</f>
        <v>0</v>
      </c>
      <c r="FI52" s="1087">
        <f>VLOOKUP($M$52,$M$57:$ZZ$207,153,FALSE)</f>
        <v>0</v>
      </c>
      <c r="FJ52" s="1087">
        <f>VLOOKUP($M$52,$M$57:$ZZ$207,154,FALSE)</f>
        <v>0</v>
      </c>
      <c r="FK52" s="1087">
        <f>VLOOKUP($M$52,$M$57:$ZZ$207,155,FALSE)</f>
        <v>0</v>
      </c>
      <c r="FL52" s="1087">
        <f>VLOOKUP($M$52,$M$57:$ZZ$207,156,FALSE)</f>
        <v>0</v>
      </c>
      <c r="FM52" s="1087">
        <f>VLOOKUP($M$52,$M$57:$ZZ$207,157,FALSE)</f>
        <v>0</v>
      </c>
      <c r="FN52" s="1087">
        <f>VLOOKUP($M$52,$M$57:$ZZ$207,158,FALSE)</f>
        <v>0</v>
      </c>
      <c r="FO52" s="1087">
        <f>VLOOKUP($M$52,$M$57:$ZZ$207,159,FALSE)</f>
        <v>0</v>
      </c>
      <c r="FP52" s="1087">
        <f>VLOOKUP($M$52,$M$57:$ZZ$207,160,FALSE)</f>
        <v>0</v>
      </c>
      <c r="FQ52" s="1087">
        <f>VLOOKUP($M$52,$M$57:$ZZ$207,161,FALSE)</f>
        <v>0</v>
      </c>
      <c r="FR52" s="1087">
        <f>VLOOKUP($M$52,$M$57:$ZZ$207,162,FALSE)</f>
        <v>0</v>
      </c>
      <c r="FS52" s="1087">
        <f>VLOOKUP($M$52,$M$57:$ZZ$207,163,FALSE)</f>
        <v>0</v>
      </c>
      <c r="FT52" s="1087">
        <f>VLOOKUP($M$52,$M$57:$ZZ$207,164,FALSE)</f>
        <v>0</v>
      </c>
      <c r="FU52" s="1087">
        <f>VLOOKUP($M$52,$M$57:$ZZ$207,165,FALSE)</f>
        <v>0</v>
      </c>
      <c r="FV52" s="1087">
        <f>VLOOKUP($M$52,$M$57:$ZZ$207,166,FALSE)</f>
        <v>0</v>
      </c>
      <c r="FW52" s="1087">
        <f>VLOOKUP($M$52,$M$57:$ZZ$207,167,FALSE)</f>
        <v>0</v>
      </c>
      <c r="FX52" s="1087">
        <f>VLOOKUP($M$52,$M$57:$ZZ$207,168,FALSE)</f>
        <v>0</v>
      </c>
      <c r="FY52" s="1087">
        <f>VLOOKUP($M$52,$M$57:$ZZ$207,169,FALSE)</f>
        <v>0</v>
      </c>
      <c r="FZ52" s="1087">
        <f>VLOOKUP($M$52,$M$57:$ZZ$207,170,FALSE)</f>
        <v>0</v>
      </c>
      <c r="GA52" s="1087">
        <f>VLOOKUP($M$52,$M$57:$ZZ$207,171,FALSE)</f>
        <v>0</v>
      </c>
      <c r="GB52" s="1087">
        <f>VLOOKUP($M$52,$M$57:$ZZ$207,172,FALSE)</f>
        <v>0</v>
      </c>
      <c r="GC52" s="1087">
        <f>VLOOKUP($M$52,$M$57:$ZZ$207,173,FALSE)</f>
        <v>0</v>
      </c>
      <c r="GD52" s="1087">
        <f>VLOOKUP($M$52,$M$57:$ZZ$207,174,FALSE)</f>
        <v>0</v>
      </c>
      <c r="GE52" s="1087">
        <f>VLOOKUP($M$52,$M$57:$ZZ$207,175,FALSE)</f>
        <v>0</v>
      </c>
      <c r="GF52" s="1087">
        <f>VLOOKUP($M$52,$M$57:$ZZ$207,176,FALSE)</f>
        <v>0</v>
      </c>
      <c r="GG52" s="1087">
        <f>VLOOKUP($M$52,$M$57:$ZZ$207,177,FALSE)</f>
        <v>0</v>
      </c>
      <c r="GH52" s="1087">
        <f>VLOOKUP($M$52,$M$57:$ZZ$207,178,FALSE)</f>
        <v>0</v>
      </c>
      <c r="GI52" s="1087">
        <f>VLOOKUP($M$52,$M$57:$ZZ$207,179,FALSE)</f>
        <v>0</v>
      </c>
      <c r="GJ52" s="1087">
        <f>VLOOKUP($M$52,$M$57:$ZZ$207,180,FALSE)</f>
        <v>0</v>
      </c>
      <c r="GK52" s="1087">
        <f>VLOOKUP($M$52,$M$57:$ZZ$207,181,FALSE)</f>
        <v>0</v>
      </c>
      <c r="GL52" s="1087">
        <f>VLOOKUP($M$52,$M$57:$ZZ$207,182,FALSE)</f>
        <v>0</v>
      </c>
      <c r="GM52" s="1087">
        <f>VLOOKUP($M$52,$M$57:$ZZ$207,183,FALSE)</f>
        <v>0</v>
      </c>
      <c r="GN52" s="1087">
        <f>GN56</f>
        <v>0</v>
      </c>
      <c r="GO52" s="1087">
        <f>GO56</f>
        <v>0</v>
      </c>
      <c r="GP52" s="1087">
        <f>VLOOKUP($M$52,$M$57:$ZZ$207,186,FALSE)</f>
        <v>0</v>
      </c>
      <c r="GQ52" s="1087">
        <f>VLOOKUP($M$52,$M$57:$ZZ$207,187,FALSE)</f>
        <v>0</v>
      </c>
      <c r="GR52" s="1087">
        <f>VLOOKUP($M$52,$M$57:$ZZ$207,188,FALSE)</f>
        <v>0</v>
      </c>
      <c r="GS52" s="1087">
        <f>VLOOKUP($M$52,$M$57:$ZZ$207,189,FALSE)</f>
        <v>0</v>
      </c>
      <c r="GT52" s="1087">
        <f>VLOOKUP($M$52,$M$57:$ZZ$207,190,FALSE)</f>
        <v>0</v>
      </c>
      <c r="GU52" s="1087">
        <f>VLOOKUP($M$52,$M$57:$ZZ$207,191,FALSE)</f>
        <v>0</v>
      </c>
      <c r="GV52" s="1087">
        <f>VLOOKUP($M$52,$M$57:$ZZ$207,192,FALSE)</f>
        <v>0</v>
      </c>
      <c r="GW52" s="1087">
        <f>VLOOKUP($M$52,$M$57:$ZZ$207,193,FALSE)</f>
        <v>0</v>
      </c>
      <c r="GX52" s="1087">
        <f>VLOOKUP($M$52,$M$57:$ZZ$207,194,FALSE)</f>
        <v>0</v>
      </c>
      <c r="GY52" s="1087">
        <f>VLOOKUP($M$52,$M$57:$ZZ$207,195,FALSE)</f>
        <v>0</v>
      </c>
      <c r="GZ52" s="1087">
        <f>VLOOKUP($M$52,$M$57:$ZZ$207,196,FALSE)</f>
        <v>0</v>
      </c>
      <c r="HA52" s="1087">
        <f>VLOOKUP($M$52,$M$57:$ZZ$207,197,FALSE)</f>
        <v>0</v>
      </c>
      <c r="HB52" s="1087">
        <f>VLOOKUP($M$52,$M$57:$ZZ$207,198,FALSE)</f>
        <v>0</v>
      </c>
      <c r="HC52" s="1087">
        <f>VLOOKUP($M$52,$M$57:$ZZ$207,199,FALSE)</f>
        <v>0</v>
      </c>
      <c r="HD52" s="1087">
        <f>VLOOKUP($M$52,$M$57:$ZZ$207,200,FALSE)</f>
        <v>0</v>
      </c>
      <c r="HE52" s="1087">
        <f>VLOOKUP($M$52,$M$57:$ZZ$207,201,FALSE)</f>
        <v>0</v>
      </c>
      <c r="HF52" s="1087">
        <f>VLOOKUP($M$52,$M$57:$ZZ$207,202,FALSE)</f>
        <v>0</v>
      </c>
      <c r="HG52" s="1087">
        <f>VLOOKUP($M$52,$M$57:$ZZ$207,203,FALSE)</f>
        <v>0</v>
      </c>
      <c r="HH52" s="1087">
        <f>VLOOKUP($M$52,$M$57:$ZZ$207,204,FALSE)</f>
        <v>0</v>
      </c>
      <c r="HI52" s="1087">
        <f>VLOOKUP($M$52,$M$57:$ZZ$207,205,FALSE)</f>
        <v>0</v>
      </c>
      <c r="HJ52" s="1087">
        <f>VLOOKUP($M$52,$M$57:$ZZ$207,206,FALSE)</f>
        <v>0</v>
      </c>
      <c r="HK52" s="1087">
        <f>VLOOKUP($M$52,$M$57:$ZZ$207,207,FALSE)</f>
        <v>0</v>
      </c>
      <c r="HL52" s="1087">
        <f>VLOOKUP($M$52,$M$57:$ZZ$207,208,FALSE)</f>
        <v>0</v>
      </c>
      <c r="HM52" s="1087">
        <f>VLOOKUP($M$52,$M$57:$ZZ$207,209,FALSE)</f>
        <v>0</v>
      </c>
      <c r="HN52" s="1087">
        <f>VLOOKUP($M$52,$M$57:$ZZ$207,210,FALSE)</f>
        <v>0</v>
      </c>
      <c r="HO52" s="1087">
        <f>VLOOKUP($M$52,$M$57:$ZZ$207,211,FALSE)</f>
        <v>0</v>
      </c>
      <c r="HP52" s="1087">
        <f>VLOOKUP($M$52,$M$57:$ZZ$207,212,FALSE)</f>
        <v>0</v>
      </c>
      <c r="HQ52" s="1087">
        <f>VLOOKUP($M$52,$M$57:$ZZ$207,213,FALSE)</f>
        <v>0</v>
      </c>
      <c r="HR52" s="1087">
        <f>VLOOKUP($M$52,$M$57:$ZZ$207,214,FALSE)</f>
        <v>0</v>
      </c>
      <c r="HS52" s="1087">
        <f>VLOOKUP($M$52,$M$57:$ZZ$207,215,FALSE)</f>
        <v>0</v>
      </c>
      <c r="HT52" s="1087">
        <f>VLOOKUP($M$52,$M$57:$ZZ$207,216,FALSE)</f>
        <v>0</v>
      </c>
      <c r="HU52" s="1087">
        <f>VLOOKUP($M$52,$M$57:$ZZ$207,217,FALSE)</f>
        <v>0</v>
      </c>
      <c r="HV52" s="1087">
        <f>VLOOKUP($M$52,$M$57:$ZZ$207,218,FALSE)</f>
        <v>0</v>
      </c>
      <c r="HW52" s="1087">
        <f>VLOOKUP($M$52,$M$57:$ZZ$207,219,FALSE)</f>
        <v>0</v>
      </c>
      <c r="HX52" s="1087">
        <f>VLOOKUP($M$52,$M$57:$ZZ$207,220,FALSE)</f>
        <v>0</v>
      </c>
      <c r="HY52" s="1087">
        <f>VLOOKUP($M$52,$M$57:$ZZ$207,221,FALSE)</f>
        <v>0</v>
      </c>
      <c r="HZ52" s="1087">
        <f>VLOOKUP($M$52,$M$57:$ZZ$207,222,FALSE)</f>
        <v>0</v>
      </c>
      <c r="IA52" s="1087">
        <f>VLOOKUP($M$52,$M$57:$ZZ$207,223,FALSE)</f>
        <v>0</v>
      </c>
      <c r="IB52" s="1087">
        <f>VLOOKUP($M$52,$M$57:$ZZ$207,224,FALSE)</f>
        <v>0</v>
      </c>
      <c r="IC52" s="1087">
        <f>VLOOKUP($M$52,$M$57:$ZZ$207,225,FALSE)</f>
        <v>0</v>
      </c>
      <c r="ID52" s="1087">
        <f>VLOOKUP($M$52,$M$57:$ZZ$207,226,FALSE)</f>
        <v>0</v>
      </c>
      <c r="IE52" s="1087">
        <f>VLOOKUP($M$52,$M$57:$ZZ$207,227,FALSE)</f>
        <v>0</v>
      </c>
      <c r="IF52" s="1087">
        <f>VLOOKUP($M$52,$M$57:$ZZ$207,228,FALSE)</f>
        <v>0</v>
      </c>
      <c r="IG52" s="1087">
        <f>VLOOKUP($M$52,$M$57:$ZZ$207,229,FALSE)</f>
        <v>0</v>
      </c>
      <c r="IH52" s="1087">
        <f>VLOOKUP($M$52,$M$57:$ZZ$207,230,FALSE)</f>
        <v>0</v>
      </c>
      <c r="II52" s="1087">
        <f>VLOOKUP($M$52,$M$57:$ZZ$207,231,FALSE)</f>
        <v>0</v>
      </c>
      <c r="IJ52" s="1087">
        <f>VLOOKUP($M$52,$M$57:$ZZ$207,232,FALSE)</f>
        <v>0</v>
      </c>
      <c r="IK52" s="1087">
        <f>VLOOKUP($M$52,$M$57:$ZZ$207,233,FALSE)</f>
        <v>0</v>
      </c>
      <c r="IL52" s="1087">
        <f>VLOOKUP($M$52,$M$57:$ZZ$207,234,FALSE)</f>
        <v>0</v>
      </c>
      <c r="IM52" s="1087">
        <f>VLOOKUP($M$52,$M$57:$ZZ$207,235,FALSE)</f>
        <v>0</v>
      </c>
      <c r="IN52" s="1087">
        <f>VLOOKUP($M$52,$M$57:$ZZ$207,236,FALSE)</f>
        <v>0</v>
      </c>
      <c r="IO52" s="1087">
        <f>VLOOKUP($M$52,$M$57:$ZZ$207,237,FALSE)</f>
        <v>0</v>
      </c>
      <c r="IP52" s="1087">
        <f>VLOOKUP($M$52,$M$57:$ZZ$207,238,FALSE)</f>
        <v>0</v>
      </c>
      <c r="IQ52" s="1087">
        <f>VLOOKUP($M$52,$M$57:$ZZ$207,239,FALSE)</f>
        <v>0</v>
      </c>
      <c r="IR52" s="1087">
        <f>VLOOKUP($M$52,$M$57:$ZZ$207,240,FALSE)</f>
        <v>0</v>
      </c>
      <c r="IS52" s="1087">
        <f>VLOOKUP($M$52,$M$57:$ZZ$207,241,FALSE)</f>
        <v>0</v>
      </c>
      <c r="IT52" s="1087">
        <f>VLOOKUP($M$52,$M$57:$ZZ$207,242,FALSE)</f>
        <v>0</v>
      </c>
      <c r="IU52" s="1087">
        <f>VLOOKUP($M$52,$M$57:$ZZ$207,243,FALSE)</f>
        <v>0</v>
      </c>
      <c r="IV52" s="1087">
        <f>VLOOKUP($M$52,$M$57:$ZZ$207,244,FALSE)</f>
        <v>0</v>
      </c>
      <c r="IW52" s="1087">
        <f>VLOOKUP($M$52,$M$57:$ZZ$207,245,FALSE)</f>
        <v>0</v>
      </c>
      <c r="IX52" s="1087">
        <f>VLOOKUP($M$52,$M$57:$ZZ$207,246,FALSE)</f>
        <v>0</v>
      </c>
      <c r="IY52" s="1087">
        <f>VLOOKUP($M$52,$M$57:$ZZ$207,247,FALSE)</f>
        <v>0</v>
      </c>
      <c r="IZ52" s="1087">
        <f>VLOOKUP($M$52,$M$57:$ZZ$207,248,FALSE)</f>
        <v>0</v>
      </c>
      <c r="JA52" s="1087">
        <f>VLOOKUP($M$52,$M$57:$ZZ$207,249,FALSE)</f>
        <v>0</v>
      </c>
      <c r="JB52" s="1087">
        <f>VLOOKUP($M$52,$M$57:$ZZ$207,250,FALSE)</f>
        <v>0</v>
      </c>
      <c r="JC52" s="1087">
        <f>VLOOKUP($M$52,$M$57:$ZZ$207,251,FALSE)</f>
        <v>0</v>
      </c>
      <c r="JD52" s="1087">
        <f>VLOOKUP($M$52,$M$57:$ZZ$207,252,FALSE)</f>
        <v>0</v>
      </c>
      <c r="JE52" s="1087">
        <f>VLOOKUP($M$52,$M$57:$ZZ$207,253,FALSE)</f>
        <v>0</v>
      </c>
      <c r="JF52" s="1087">
        <f>VLOOKUP($M$52,$M$57:$ZZ$207,254,FALSE)</f>
        <v>0</v>
      </c>
      <c r="JG52" s="1087">
        <f>VLOOKUP($M$52,$M$57:$ZZ$207,255,FALSE)</f>
        <v>0</v>
      </c>
      <c r="JH52" s="1087">
        <f>VLOOKUP($M$52,$M$57:$ZZ$207,256,FALSE)</f>
        <v>0</v>
      </c>
      <c r="JI52" s="1087">
        <f>VLOOKUP($M$52,$M$57:$ZZ$207,257,FALSE)</f>
        <v>0</v>
      </c>
      <c r="JJ52" s="1087">
        <f>VLOOKUP($M$52,$M$57:$ZZ$207,258,FALSE)</f>
        <v>0</v>
      </c>
      <c r="JK52" s="1087">
        <f>VLOOKUP($M$52,$M$57:$ZZ$207,259,FALSE)</f>
        <v>0</v>
      </c>
      <c r="JL52" s="1087">
        <f>VLOOKUP($M$52,$M$57:$ZZ$207,260,FALSE)</f>
        <v>0</v>
      </c>
      <c r="JM52" s="1087">
        <f>VLOOKUP($M$52,$M$57:$ZZ$207,261,FALSE)</f>
        <v>0</v>
      </c>
      <c r="JN52" s="1087">
        <f>VLOOKUP($M$52,$M$57:$ZZ$207,262,FALSE)</f>
        <v>0</v>
      </c>
      <c r="JO52" s="1087">
        <f>VLOOKUP($M$52,$M$57:$ZZ$207,263,FALSE)</f>
        <v>0</v>
      </c>
      <c r="JP52" s="1087">
        <f>VLOOKUP($M$52,$M$57:$ZZ$207,264,FALSE)</f>
        <v>0</v>
      </c>
      <c r="JQ52" s="1087">
        <f>VLOOKUP($M$52,$M$57:$ZZ$207,265,FALSE)</f>
        <v>0</v>
      </c>
      <c r="JR52" s="1087">
        <f>VLOOKUP($M$52,$M$57:$ZZ$207,266,FALSE)</f>
        <v>0</v>
      </c>
      <c r="JS52" s="1087">
        <f>VLOOKUP($M$52,$M$57:$ZZ$207,267,FALSE)</f>
        <v>0</v>
      </c>
      <c r="JT52" s="1087">
        <f>VLOOKUP($M$52,$M$57:$ZZ$207,268,FALSE)</f>
        <v>0</v>
      </c>
      <c r="JU52" s="1087">
        <f>VLOOKUP($M$52,$M$57:$ZZ$207,269,FALSE)</f>
        <v>0</v>
      </c>
      <c r="JV52" s="1087">
        <f>VLOOKUP($M$52,$M$57:$ZZ$207,270,FALSE)</f>
        <v>0</v>
      </c>
      <c r="JW52" s="1087">
        <f>VLOOKUP($M$52,$M$57:$ZZ$207,271,FALSE)</f>
        <v>0</v>
      </c>
      <c r="JX52" s="1087">
        <f>VLOOKUP($M$52,$M$57:$ZZ$207,272,FALSE)</f>
        <v>0</v>
      </c>
      <c r="JY52" s="1087">
        <f>VLOOKUP($M$52,$M$57:$ZZ$207,273,FALSE)</f>
        <v>0</v>
      </c>
      <c r="JZ52" s="1087">
        <f>VLOOKUP($M$52,$M$57:$ZZ$207,274,FALSE)</f>
        <v>0</v>
      </c>
      <c r="KA52" s="1087">
        <f>VLOOKUP($M$52,$M$57:$ZZ$207,275,FALSE)</f>
        <v>0</v>
      </c>
      <c r="KB52" s="1087">
        <f>VLOOKUP($M$52,$M$57:$ZZ$207,276,FALSE)</f>
        <v>0</v>
      </c>
      <c r="KC52" s="1087">
        <f>VLOOKUP($M$52,$M$57:$ZZ$207,277,FALSE)</f>
        <v>0</v>
      </c>
      <c r="KD52" s="1087">
        <f>VLOOKUP($M$52,$M$57:$ZZ$207,278,FALSE)</f>
        <v>0</v>
      </c>
      <c r="KE52" s="1087">
        <f>VLOOKUP($M$52,$M$57:$ZZ$207,279,FALSE)</f>
        <v>0</v>
      </c>
      <c r="KF52" s="1087">
        <f>VLOOKUP($M$52,$M$57:$ZZ$207,280,FALSE)</f>
        <v>0</v>
      </c>
      <c r="KG52" s="1087">
        <f>VLOOKUP($M$52,$M$57:$ZZ$207,281,FALSE)</f>
        <v>0</v>
      </c>
      <c r="KH52" s="1087">
        <f>VLOOKUP($M$52,$M$57:$ZZ$207,282,FALSE)</f>
        <v>0</v>
      </c>
      <c r="KI52" s="1087">
        <f>VLOOKUP($M$52,$M$57:$ZZ$207,283,FALSE)</f>
        <v>0</v>
      </c>
      <c r="KJ52" s="1087">
        <f>VLOOKUP($M$52,$M$57:$ZZ$207,284,FALSE)</f>
        <v>0</v>
      </c>
      <c r="KK52" s="1087">
        <f>VLOOKUP($M$52,$M$57:$ZZ$207,285,FALSE)</f>
        <v>0</v>
      </c>
      <c r="KL52" s="1087">
        <f>VLOOKUP($M$52,$M$57:$ZZ$207,286,FALSE)</f>
        <v>0</v>
      </c>
      <c r="KM52" s="1087">
        <f>VLOOKUP($M$52,$M$57:$ZZ$207,287,FALSE)</f>
        <v>0</v>
      </c>
      <c r="KN52" s="1087">
        <f>VLOOKUP($M$52,$M$57:$ZZ$207,288,FALSE)</f>
        <v>0</v>
      </c>
      <c r="KO52" s="1087">
        <f>VLOOKUP($M$52,$M$57:$ZZ$207,289,FALSE)</f>
        <v>0</v>
      </c>
      <c r="KP52" s="1087">
        <f>VLOOKUP($M$52,$M$57:$ZZ$207,290,FALSE)</f>
        <v>0</v>
      </c>
    </row>
    <row r="53" spans="1:302">
      <c r="A53" s="1076">
        <f>A52+30</f>
        <v>45931</v>
      </c>
      <c r="C53" s="1082">
        <f t="shared" si="18"/>
        <v>45931</v>
      </c>
      <c r="D53" s="1079" t="str">
        <f t="shared" si="19"/>
        <v/>
      </c>
      <c r="E53" s="177" t="str">
        <f t="shared" si="20"/>
        <v/>
      </c>
      <c r="F53" s="177" t="str">
        <f t="shared" si="21"/>
        <v>Original</v>
      </c>
      <c r="G53" s="1076">
        <f t="shared" si="22"/>
        <v>45135</v>
      </c>
      <c r="H53" s="1076">
        <f t="shared" si="23"/>
        <v>45931</v>
      </c>
      <c r="L53" s="1083" t="s">
        <v>661</v>
      </c>
      <c r="M53" s="1099">
        <f>'F1  Cover'!K8</f>
        <v>1</v>
      </c>
      <c r="N53" s="1097">
        <f>'F1  Cover'!L8</f>
        <v>45169</v>
      </c>
      <c r="O53" s="961">
        <f>'F1  Cover'!K32</f>
        <v>0</v>
      </c>
      <c r="P53" s="961">
        <f>'F1  Cover'!K38</f>
        <v>0</v>
      </c>
      <c r="Q53" s="961">
        <f>'Pg 1 Payment'!H24</f>
        <v>0</v>
      </c>
      <c r="R53" s="961">
        <f>'Pg 1 Payment'!J24</f>
        <v>0</v>
      </c>
      <c r="S53" s="1100">
        <f>'Pg 2 Sum Scheduled'!H28</f>
        <v>0</v>
      </c>
      <c r="T53" s="1100">
        <f>'Pg 2 Sum Scheduled'!I28</f>
        <v>0</v>
      </c>
      <c r="U53" s="1101">
        <f>'C3.2'!H9</f>
        <v>0</v>
      </c>
      <c r="V53" s="1101">
        <f>'C3.2'!H10</f>
        <v>0</v>
      </c>
      <c r="W53" s="1101">
        <f>'C3.2'!H12</f>
        <v>0</v>
      </c>
      <c r="X53" s="1101">
        <f>'C3.2'!H13</f>
        <v>0</v>
      </c>
      <c r="Y53" s="1101">
        <f>'C3.2'!H15</f>
        <v>0</v>
      </c>
      <c r="Z53" s="1101">
        <f>'C3.2'!H16</f>
        <v>0</v>
      </c>
      <c r="AA53" s="1101">
        <f>'C3.3'!H9</f>
        <v>0</v>
      </c>
      <c r="AB53" s="1101">
        <f>'C3.3'!H10</f>
        <v>0</v>
      </c>
      <c r="AC53" s="1101">
        <f>'C3.3'!H10</f>
        <v>0</v>
      </c>
      <c r="AD53" s="1101">
        <f>'C3.3'!H17</f>
        <v>0</v>
      </c>
      <c r="AE53" s="1101">
        <f>'C3.3'!H18</f>
        <v>0</v>
      </c>
      <c r="AF53" s="1101">
        <f>'C3.3'!H22</f>
        <v>0</v>
      </c>
      <c r="AG53" s="1101">
        <f>'C3.3'!H24</f>
        <v>0</v>
      </c>
      <c r="AH53" s="1101">
        <f>'C3.3'!H25</f>
        <v>0</v>
      </c>
      <c r="AI53" s="1101">
        <f>'C3.3'!H20</f>
        <v>0</v>
      </c>
      <c r="AJ53" s="1101">
        <f>'C3.3'!H21</f>
        <v>0</v>
      </c>
      <c r="AK53" s="1101">
        <f>'C3.4'!H104</f>
        <v>0</v>
      </c>
      <c r="AL53" s="1101">
        <f>'C3.4'!H105</f>
        <v>0</v>
      </c>
      <c r="AM53" s="1101">
        <f>'C3.3'!H27</f>
        <v>0</v>
      </c>
      <c r="AN53" s="1101">
        <f>'C3.3'!H33</f>
        <v>0</v>
      </c>
      <c r="AO53" s="1101">
        <f>'C3.3'!H34</f>
        <v>0</v>
      </c>
      <c r="AP53" s="1101">
        <f>'C3.3'!H35</f>
        <v>0</v>
      </c>
      <c r="AQ53" s="1101">
        <f>'C3.3'!H36</f>
        <v>0</v>
      </c>
      <c r="AR53" s="1101">
        <f>'C3.3'!H38</f>
        <v>0</v>
      </c>
      <c r="AS53" s="1101">
        <f>'C3.3'!H39</f>
        <v>0</v>
      </c>
      <c r="AT53" s="1101">
        <f>'C3.3'!$H42</f>
        <v>0</v>
      </c>
      <c r="AU53" s="1101">
        <f>'C3.3'!$H43</f>
        <v>0</v>
      </c>
      <c r="AV53" s="1101">
        <f>'C3.3'!$H44</f>
        <v>0</v>
      </c>
      <c r="AW53" s="1101">
        <f>'C3.3'!$H45</f>
        <v>0</v>
      </c>
      <c r="AX53" s="1101">
        <f>'C3.3'!$H46</f>
        <v>0</v>
      </c>
      <c r="AY53" s="1101">
        <f>'C3.3'!$H47</f>
        <v>0</v>
      </c>
      <c r="AZ53" s="1101">
        <f>'C3.3'!$H48</f>
        <v>0</v>
      </c>
      <c r="BA53" s="1101">
        <f>'C3.3'!$H49</f>
        <v>0</v>
      </c>
      <c r="BB53" s="1101">
        <f>'C3.3'!$H50</f>
        <v>0</v>
      </c>
      <c r="BC53" s="1101">
        <f>'C3.3'!$H51</f>
        <v>0</v>
      </c>
      <c r="BD53" s="1101">
        <f>'C3.3'!$H52</f>
        <v>0</v>
      </c>
      <c r="BE53" s="1101">
        <f>'C3.3'!$H53</f>
        <v>0</v>
      </c>
      <c r="BF53" s="1101">
        <f>'C3.3'!$H54</f>
        <v>0</v>
      </c>
      <c r="BG53" s="1101">
        <f>'C3.3'!$H55</f>
        <v>0</v>
      </c>
      <c r="BH53" s="1101">
        <f>'C3.3'!$H56</f>
        <v>0</v>
      </c>
      <c r="BI53" s="1101">
        <f>'C3.3'!$H57</f>
        <v>0</v>
      </c>
      <c r="BJ53" s="1101">
        <f>'C3.3'!$H58</f>
        <v>0</v>
      </c>
      <c r="BK53" s="1101">
        <f>'C3.3'!$H59</f>
        <v>0</v>
      </c>
      <c r="BL53" s="1101">
        <f>'C3.3'!$H60</f>
        <v>0</v>
      </c>
      <c r="BM53" s="1101">
        <f>'C3.3'!$H61</f>
        <v>0</v>
      </c>
      <c r="BN53" s="1101">
        <f>'C3.3'!$H62</f>
        <v>0</v>
      </c>
      <c r="BO53" s="1101">
        <f>'C3.3'!$H63</f>
        <v>0</v>
      </c>
      <c r="BP53" s="1101">
        <f>'C3.3'!$H64</f>
        <v>0</v>
      </c>
      <c r="BQ53" s="1101">
        <f>'C3.3'!$H65</f>
        <v>0</v>
      </c>
      <c r="BR53" s="1101">
        <f>'C3.3'!$H66</f>
        <v>0</v>
      </c>
      <c r="BS53" s="1101">
        <f>'C3.3'!$H67</f>
        <v>0</v>
      </c>
      <c r="BT53" s="1101">
        <f>'C3.3'!$H68</f>
        <v>0</v>
      </c>
      <c r="BU53" s="1101">
        <f>'C3.3'!$H69</f>
        <v>0</v>
      </c>
      <c r="BV53" s="1101">
        <f>'C3.3'!$H70</f>
        <v>0</v>
      </c>
      <c r="BW53" s="1101">
        <f>'C3.4'!$H10</f>
        <v>0</v>
      </c>
      <c r="BX53" s="1101">
        <f>'C3.4'!$H13</f>
        <v>0</v>
      </c>
      <c r="BY53" s="1101">
        <f>'C3.4'!$H16</f>
        <v>0</v>
      </c>
      <c r="BZ53" s="1101">
        <f>'C3.4'!$H19</f>
        <v>0</v>
      </c>
      <c r="CA53" s="1101">
        <f>'C3.4'!$H22</f>
        <v>0</v>
      </c>
      <c r="CB53" s="1101">
        <f>'C3.4'!$H25</f>
        <v>0</v>
      </c>
      <c r="CC53" s="1101">
        <f>'C3.4'!$H28</f>
        <v>0</v>
      </c>
      <c r="CD53" s="1101">
        <f>'C3.4'!$H32</f>
        <v>0</v>
      </c>
      <c r="CE53" s="1101">
        <f>'C3.4'!$H35</f>
        <v>0</v>
      </c>
      <c r="CF53" s="1101">
        <f>'C3.4'!$H38</f>
        <v>0</v>
      </c>
      <c r="CG53" s="1101">
        <f>'C3.4'!$H41</f>
        <v>0</v>
      </c>
      <c r="CH53" s="1101">
        <f>'C3.4'!$H44</f>
        <v>0</v>
      </c>
      <c r="CI53" s="1101">
        <f>'C3.4'!$H47</f>
        <v>0</v>
      </c>
      <c r="CJ53" s="1101">
        <f>'C3.4'!$H50</f>
        <v>0</v>
      </c>
      <c r="CK53" s="1101">
        <f>'C3.4'!$H54</f>
        <v>0</v>
      </c>
      <c r="CL53" s="1101">
        <f>'C3.4'!$H57</f>
        <v>0</v>
      </c>
      <c r="CM53" s="1101">
        <f>'C3.4'!$H60</f>
        <v>0</v>
      </c>
      <c r="CN53" s="1101">
        <f>'C3.4'!$H63</f>
        <v>0</v>
      </c>
      <c r="CO53" s="1101">
        <f>'C3.4'!$H66</f>
        <v>0</v>
      </c>
      <c r="CP53" s="1101">
        <f>'C3.4'!$H69</f>
        <v>0</v>
      </c>
      <c r="CQ53" s="1101">
        <f>'C3.4'!$H72</f>
        <v>0</v>
      </c>
      <c r="CR53" s="1101">
        <f>'C3.4'!$H75</f>
        <v>0</v>
      </c>
      <c r="CS53" s="1101">
        <f>'C3.4'!$H76</f>
        <v>0</v>
      </c>
      <c r="CT53" s="1101">
        <f>'C3.4'!$H77</f>
        <v>0</v>
      </c>
      <c r="CU53" s="1101">
        <f>'C3.4'!$H79</f>
        <v>0</v>
      </c>
      <c r="CV53" s="1101">
        <f>'C3.4'!$H83</f>
        <v>0</v>
      </c>
      <c r="CW53" s="1101">
        <f>'C3.4'!$H84</f>
        <v>0</v>
      </c>
      <c r="CX53" s="1101">
        <f>'C3.4'!$H86</f>
        <v>0</v>
      </c>
      <c r="CY53" s="1101">
        <f>'C3.4'!$H87</f>
        <v>0</v>
      </c>
      <c r="CZ53" s="1101">
        <f>'C3.4'!$H88</f>
        <v>0</v>
      </c>
      <c r="DA53" s="1101">
        <f>'C3.4'!$H91</f>
        <v>0</v>
      </c>
      <c r="DB53" s="1101">
        <f>'C3.4'!$H92</f>
        <v>0</v>
      </c>
      <c r="DC53" s="1101">
        <f>'C3.4'!$H93</f>
        <v>0</v>
      </c>
      <c r="DD53" s="1101">
        <f>'C3.4'!$H99</f>
        <v>0</v>
      </c>
      <c r="DE53" s="1101">
        <f>'C3.4'!$H100</f>
        <v>0</v>
      </c>
      <c r="DF53" s="1101">
        <f>'C3.4'!$H101</f>
        <v>0</v>
      </c>
      <c r="DG53" s="1101">
        <f>'C3.4'!$H108</f>
        <v>0</v>
      </c>
      <c r="DH53" s="1101">
        <f>'C3.4'!$H109</f>
        <v>0</v>
      </c>
      <c r="DI53" s="1101">
        <f>'C3.4'!$H111</f>
        <v>0</v>
      </c>
      <c r="DJ53" s="1101">
        <f>'C3.4'!$H112</f>
        <v>0</v>
      </c>
      <c r="DK53" s="1101">
        <f>'C3.4'!$H113</f>
        <v>0</v>
      </c>
      <c r="DL53" s="1101">
        <f>'C3.4'!$H115</f>
        <v>0</v>
      </c>
      <c r="DM53" s="1101">
        <f>'C3.4'!$H116</f>
        <v>0</v>
      </c>
      <c r="DN53" s="1101">
        <f>'C3.4'!$H119</f>
        <v>0</v>
      </c>
      <c r="DO53" s="1101">
        <f>'C3.4'!$H120</f>
        <v>0</v>
      </c>
      <c r="DP53" s="1101">
        <f>'C3.4'!$H121</f>
        <v>0</v>
      </c>
      <c r="DQ53" s="1101">
        <f>'C3.4'!$H122</f>
        <v>0</v>
      </c>
      <c r="DR53" s="1101">
        <f>'C3.4'!$H123</f>
        <v>0</v>
      </c>
      <c r="DS53" s="1101">
        <f>'C3.4'!$H124</f>
        <v>0</v>
      </c>
      <c r="DT53" s="1101">
        <f>'C3.4'!$H125</f>
        <v>0</v>
      </c>
      <c r="DU53" s="1101">
        <f>'C3.4'!$H126</f>
        <v>0</v>
      </c>
      <c r="DV53" s="1101">
        <f>'C3.4'!$H127</f>
        <v>0</v>
      </c>
      <c r="DW53" s="1101">
        <f>'C3.4'!$H128</f>
        <v>0</v>
      </c>
      <c r="DX53" s="1101">
        <f>'C3.4'!$H129</f>
        <v>0</v>
      </c>
      <c r="DY53" s="1101">
        <f>'C3.4'!$H130</f>
        <v>0</v>
      </c>
      <c r="DZ53" s="1101">
        <f>'C3.4'!$H131</f>
        <v>0</v>
      </c>
      <c r="EA53" s="1101">
        <f>'C3.4'!$H132</f>
        <v>0</v>
      </c>
      <c r="EB53" s="1101">
        <f>'C3.4'!$H133</f>
        <v>0</v>
      </c>
      <c r="EC53" s="1101">
        <f>'C3.4'!$H134</f>
        <v>0</v>
      </c>
      <c r="ED53" s="1101">
        <f>'C3.4'!$H135</f>
        <v>0</v>
      </c>
      <c r="EE53" s="1101">
        <f>'C3.4'!$H136</f>
        <v>0</v>
      </c>
      <c r="EF53" s="1101">
        <f>'C3.4'!$H137</f>
        <v>0</v>
      </c>
      <c r="EG53" s="1101">
        <f>'C3.4'!$H138</f>
        <v>0</v>
      </c>
      <c r="EH53" s="1101">
        <f>'C3.4'!$H139</f>
        <v>0</v>
      </c>
      <c r="EI53" s="1101">
        <f>'C3.4'!$H140</f>
        <v>0</v>
      </c>
      <c r="EJ53" s="1101">
        <f>'C3.4'!$H141</f>
        <v>0</v>
      </c>
      <c r="EK53" s="1101">
        <f>'C3.4'!$H142</f>
        <v>0</v>
      </c>
      <c r="EL53" s="1101">
        <f>'C3.4'!$H143</f>
        <v>0</v>
      </c>
      <c r="EM53" s="1101">
        <f>'C3.4'!$H144</f>
        <v>0</v>
      </c>
      <c r="EN53" s="1101">
        <f>'C3.4'!$H145</f>
        <v>0</v>
      </c>
      <c r="EO53" s="1101">
        <f>'C3.4'!$H146</f>
        <v>0</v>
      </c>
      <c r="EP53" s="1101">
        <f>'C3.4'!$H147</f>
        <v>0</v>
      </c>
      <c r="EQ53" s="1101">
        <f>'C3.5'!$H9</f>
        <v>0</v>
      </c>
      <c r="ER53" s="1101">
        <f>'C3.5'!$H10</f>
        <v>0</v>
      </c>
      <c r="ES53" s="1101">
        <f>'C3.5'!$H11</f>
        <v>0</v>
      </c>
      <c r="ET53" s="1101">
        <f>'C3.6'!$H9</f>
        <v>0</v>
      </c>
      <c r="EU53" s="1101">
        <f>'C3.6'!$H10</f>
        <v>0</v>
      </c>
      <c r="EV53" s="1101">
        <f>'C3.6'!$H13</f>
        <v>0</v>
      </c>
      <c r="EW53" s="1101">
        <f>'C3.6'!$H14</f>
        <v>0</v>
      </c>
      <c r="EX53" s="1101">
        <f>'C3.7'!$H10</f>
        <v>0</v>
      </c>
      <c r="EY53" s="1101">
        <f>'C3.7'!$H13</f>
        <v>0</v>
      </c>
      <c r="EZ53" s="1101">
        <f>'C3.7'!$H16</f>
        <v>0</v>
      </c>
      <c r="FA53" s="1101">
        <f>'C3.7'!$H19</f>
        <v>0</v>
      </c>
      <c r="FB53" s="1101">
        <f>'C3.7'!$H22</f>
        <v>0</v>
      </c>
      <c r="FC53" s="1101">
        <f>'C3.7'!$H25</f>
        <v>0</v>
      </c>
      <c r="FD53" s="1101">
        <f>'C3.7'!$H28</f>
        <v>0</v>
      </c>
      <c r="FE53" s="1101">
        <f>'C3.7'!$H37</f>
        <v>0</v>
      </c>
      <c r="FF53" s="1101">
        <f>'C3.7'!$H38</f>
        <v>0</v>
      </c>
      <c r="FG53" s="1101">
        <f>'C3.7'!$H41</f>
        <v>0</v>
      </c>
      <c r="FH53" s="1101">
        <f>'C3.7'!$H43</f>
        <v>0</v>
      </c>
      <c r="FI53" s="1101">
        <f>'C3.7'!$H45</f>
        <v>0</v>
      </c>
      <c r="FJ53" s="1101">
        <f>'C3.7'!$H47</f>
        <v>0</v>
      </c>
      <c r="FK53" s="1101">
        <f>'C3.7'!$H49</f>
        <v>0</v>
      </c>
      <c r="FL53" s="1101">
        <f>'C3.7'!$H50</f>
        <v>0</v>
      </c>
      <c r="FM53" s="1101">
        <f>'C3.7'!$H52</f>
        <v>0</v>
      </c>
      <c r="FN53" s="1101">
        <f>'C3.7'!$H55</f>
        <v>0</v>
      </c>
      <c r="FO53" s="1101">
        <f>'C3.7'!$H56</f>
        <v>0</v>
      </c>
      <c r="FP53" s="1101">
        <f>'C3.7'!$H57</f>
        <v>0</v>
      </c>
      <c r="FQ53" s="1101">
        <f>'C3.7'!$H59</f>
        <v>0</v>
      </c>
      <c r="FR53" s="1101">
        <f>'C3.8'!$H10</f>
        <v>0</v>
      </c>
      <c r="FS53" s="1101">
        <f>'C3.8'!$H11</f>
        <v>0</v>
      </c>
      <c r="FT53" s="1101">
        <f>'C3.8'!$H12</f>
        <v>0</v>
      </c>
      <c r="FU53" s="1101">
        <f>'C3.8'!$H13</f>
        <v>0</v>
      </c>
      <c r="FV53" s="1101">
        <f>'C3.8'!$H14</f>
        <v>0</v>
      </c>
      <c r="FW53" s="1101">
        <f>'C3.8'!$H16</f>
        <v>0</v>
      </c>
      <c r="FX53" s="1101">
        <f>'C3.8'!$H19</f>
        <v>0</v>
      </c>
      <c r="FY53" s="1101">
        <f>'C3.8'!$H20</f>
        <v>0</v>
      </c>
      <c r="FZ53" s="1101">
        <f>'C3.8'!$H21</f>
        <v>0</v>
      </c>
      <c r="GA53" s="1101">
        <f>'C3.8'!$H22</f>
        <v>0</v>
      </c>
      <c r="GB53" s="1101">
        <f>'C3.8'!$H23</f>
        <v>0</v>
      </c>
      <c r="GC53" s="1101">
        <f>'C3.8'!$H25</f>
        <v>0</v>
      </c>
      <c r="GD53" s="1101">
        <f>'C3.8'!$H26</f>
        <v>0</v>
      </c>
      <c r="GE53" s="1101">
        <f>'C3.9'!$H9</f>
        <v>0</v>
      </c>
      <c r="GF53" s="1101">
        <f>'C3.9'!$H11</f>
        <v>0</v>
      </c>
      <c r="GG53" s="1101">
        <f>'C3.10'!$H10</f>
        <v>0</v>
      </c>
      <c r="GH53" s="1101">
        <f>'C3.10'!$H13</f>
        <v>0</v>
      </c>
      <c r="GI53" s="1101">
        <f>'C3.10'!$H16</f>
        <v>0</v>
      </c>
      <c r="GJ53" s="1101">
        <f>'C3.10'!$H19</f>
        <v>0</v>
      </c>
      <c r="GK53" s="1101">
        <f>'C3.10'!$H22</f>
        <v>0</v>
      </c>
      <c r="GL53" s="1101">
        <f>'C3.10'!$H25</f>
        <v>0</v>
      </c>
      <c r="GM53" s="1101">
        <f>'C3.10'!$H28</f>
        <v>0</v>
      </c>
      <c r="GN53" s="1101">
        <f>'F1  Cover'!K34</f>
        <v>0</v>
      </c>
      <c r="GO53" s="1101">
        <f>'F1  Cover'!K36</f>
        <v>0</v>
      </c>
      <c r="GP53" s="1101">
        <f>'C3.7'!$H30</f>
        <v>0</v>
      </c>
      <c r="GQ53" s="1101">
        <f>'C3.4'!$H11</f>
        <v>0</v>
      </c>
      <c r="GR53" s="1101">
        <f>'C3.4'!$N11</f>
        <v>0</v>
      </c>
      <c r="GS53" s="1101">
        <f>'C3.4'!$H14</f>
        <v>0</v>
      </c>
      <c r="GT53" s="1101">
        <f>'C3.4'!$N14</f>
        <v>0</v>
      </c>
      <c r="GU53" s="1101">
        <f>'C3.4'!$H17</f>
        <v>0</v>
      </c>
      <c r="GV53" s="1101">
        <f>'C3.4'!$N17</f>
        <v>0</v>
      </c>
      <c r="GW53" s="1101">
        <f>'C3.4'!$H20</f>
        <v>0</v>
      </c>
      <c r="GX53" s="1101">
        <f>'C3.4'!$N20</f>
        <v>0</v>
      </c>
      <c r="GY53" s="1101">
        <f>'C3.4'!$H23</f>
        <v>0</v>
      </c>
      <c r="GZ53" s="1101">
        <f>'C3.4'!$N23</f>
        <v>0</v>
      </c>
      <c r="HA53" s="1101">
        <f>'C3.4'!$H26</f>
        <v>0</v>
      </c>
      <c r="HB53" s="1101">
        <f>'C3.4'!$N26</f>
        <v>0</v>
      </c>
      <c r="HC53" s="1101">
        <f>'C3.4'!$H29</f>
        <v>0</v>
      </c>
      <c r="HD53" s="1101">
        <f>'C3.4'!$N29</f>
        <v>0</v>
      </c>
      <c r="HE53" s="1101">
        <f>'C3.4'!$H33</f>
        <v>0</v>
      </c>
      <c r="HF53" s="1101">
        <f>'C3.4'!$N33</f>
        <v>0</v>
      </c>
      <c r="HG53" s="1101">
        <f>'C3.4'!$H36</f>
        <v>0</v>
      </c>
      <c r="HH53" s="1101">
        <f>'C3.4'!$N36</f>
        <v>0</v>
      </c>
      <c r="HI53" s="1101">
        <f>'C3.4'!$H39</f>
        <v>0</v>
      </c>
      <c r="HJ53" s="1101">
        <f>'C3.4'!$N39</f>
        <v>0</v>
      </c>
      <c r="HK53" s="1101">
        <f>'C3.4'!$H42</f>
        <v>0</v>
      </c>
      <c r="HL53" s="1101">
        <f>'C3.4'!$N42</f>
        <v>0</v>
      </c>
      <c r="HM53" s="1101">
        <f>'C3.4'!$H45</f>
        <v>0</v>
      </c>
      <c r="HN53" s="1101">
        <f>'C3.4'!$N45</f>
        <v>0</v>
      </c>
      <c r="HO53" s="1101">
        <f>'C3.4'!$H48</f>
        <v>0</v>
      </c>
      <c r="HP53" s="1101">
        <f>'C3.4'!$N48</f>
        <v>0</v>
      </c>
      <c r="HQ53" s="1101">
        <f>'C3.4'!$H51</f>
        <v>0</v>
      </c>
      <c r="HR53" s="1101">
        <f>'C3.4'!$N51</f>
        <v>0</v>
      </c>
      <c r="HS53" s="1101">
        <f>'C3.4'!$H55</f>
        <v>0</v>
      </c>
      <c r="HT53" s="1101">
        <f>'C3.4'!$N55</f>
        <v>0</v>
      </c>
      <c r="HU53" s="1101">
        <f>'C3.4'!$H58</f>
        <v>0</v>
      </c>
      <c r="HV53" s="1101">
        <f>'C3.4'!$N58</f>
        <v>0</v>
      </c>
      <c r="HW53" s="1101">
        <f>'C3.4'!$H61</f>
        <v>0</v>
      </c>
      <c r="HX53" s="1101">
        <f>'C3.4'!$N61</f>
        <v>0</v>
      </c>
      <c r="HY53" s="1101">
        <f>'C3.4'!$H64</f>
        <v>0</v>
      </c>
      <c r="HZ53" s="1101">
        <f>'C3.4'!$N64</f>
        <v>0</v>
      </c>
      <c r="IA53" s="1101">
        <f>'C3.4'!$H67</f>
        <v>0</v>
      </c>
      <c r="IB53" s="1101">
        <f>'C3.4'!$N67</f>
        <v>0</v>
      </c>
      <c r="IC53" s="1101">
        <f>'C3.4'!$H70</f>
        <v>0</v>
      </c>
      <c r="ID53" s="1101">
        <f>'C3.4'!$N70</f>
        <v>0</v>
      </c>
      <c r="IE53" s="1101">
        <f>'C3.4'!$H73</f>
        <v>0</v>
      </c>
      <c r="IF53" s="1101">
        <f>'C3.4'!$N73</f>
        <v>0</v>
      </c>
      <c r="IG53" s="1101">
        <f>'C3.7'!$H11</f>
        <v>0</v>
      </c>
      <c r="IH53" s="1101">
        <f>'C3.7'!$N11</f>
        <v>0</v>
      </c>
      <c r="II53" s="1101">
        <f>'C3.7'!$H14</f>
        <v>0</v>
      </c>
      <c r="IJ53" s="1101">
        <f>'C3.7'!$N14</f>
        <v>0</v>
      </c>
      <c r="IK53" s="1101">
        <f>'C3.7'!$H17</f>
        <v>0</v>
      </c>
      <c r="IL53" s="1101">
        <f>'C3.7'!$N17</f>
        <v>0</v>
      </c>
      <c r="IM53" s="1101">
        <f>'C3.7'!$H20</f>
        <v>0</v>
      </c>
      <c r="IN53" s="1101">
        <f>'C3.7'!$N20</f>
        <v>0</v>
      </c>
      <c r="IO53" s="1101">
        <f>'C3.7'!$H23</f>
        <v>0</v>
      </c>
      <c r="IP53" s="1101">
        <f>'C3.7'!$N23</f>
        <v>0</v>
      </c>
      <c r="IQ53" s="1101">
        <f>'C3.7'!$H26</f>
        <v>0</v>
      </c>
      <c r="IR53" s="1101">
        <f>'C3.7'!$N26</f>
        <v>0</v>
      </c>
      <c r="IS53" s="1101">
        <f>'C3.7'!$H29</f>
        <v>0</v>
      </c>
      <c r="IT53" s="1101">
        <f>'C3.7'!$N29</f>
        <v>0</v>
      </c>
      <c r="IU53" s="1101">
        <f>'C3.10'!$H11</f>
        <v>0</v>
      </c>
      <c r="IV53" s="1101">
        <f>'C3.10'!$N11</f>
        <v>0</v>
      </c>
      <c r="IW53" s="1101">
        <f>'C3.10'!$H14</f>
        <v>0</v>
      </c>
      <c r="IX53" s="1101">
        <f>'C3.10'!$N14</f>
        <v>0</v>
      </c>
      <c r="IY53" s="1101">
        <f>'C3.10'!$H17</f>
        <v>0</v>
      </c>
      <c r="IZ53" s="1101">
        <f>'C3.10'!$N17</f>
        <v>0</v>
      </c>
      <c r="JA53" s="1101">
        <f>'C3.10'!$H20</f>
        <v>0</v>
      </c>
      <c r="JB53" s="1101">
        <f>'C3.10'!$N20</f>
        <v>0</v>
      </c>
      <c r="JC53" s="1101">
        <f>'C3.10'!$H23</f>
        <v>0</v>
      </c>
      <c r="JD53" s="1101">
        <f>'C3.10'!$N23</f>
        <v>0</v>
      </c>
      <c r="JE53" s="1101">
        <f>'C3.10'!$H26</f>
        <v>0</v>
      </c>
      <c r="JF53" s="1101">
        <f>'C3.10'!$N26</f>
        <v>0</v>
      </c>
      <c r="JG53" s="1101">
        <f>'C3.10'!$H29</f>
        <v>0</v>
      </c>
      <c r="JH53" s="1101">
        <f>'C3.10'!$N29</f>
        <v>0</v>
      </c>
      <c r="JI53" s="1101">
        <f>'C3.7'!$H61</f>
        <v>0</v>
      </c>
      <c r="JJ53" s="1101">
        <f>'C3.6'!H15</f>
        <v>0</v>
      </c>
      <c r="JK53" s="1101">
        <f>'C3.4'!$H150</f>
        <v>0</v>
      </c>
      <c r="JL53" s="1101">
        <f>'C3.7'!$H63</f>
        <v>0</v>
      </c>
      <c r="JM53" s="1101">
        <f>'C3.7'!$H64</f>
        <v>0</v>
      </c>
      <c r="JN53" s="1101">
        <f>'C3.7'!$H65</f>
        <v>0</v>
      </c>
      <c r="JO53" s="1101">
        <f>'C3.8'!$H28</f>
        <v>0</v>
      </c>
      <c r="JP53" s="1101">
        <f>'C3.8'!$H29</f>
        <v>0</v>
      </c>
      <c r="JQ53" s="1101">
        <f>'C3.8'!$H30</f>
        <v>0</v>
      </c>
      <c r="JR53" s="1101">
        <f>'C3.8'!$H35</f>
        <v>0</v>
      </c>
      <c r="JS53" s="1101">
        <f>'C3.8'!$H36</f>
        <v>0</v>
      </c>
      <c r="JT53" s="1101">
        <f>'C3.3'!$H$13</f>
        <v>0</v>
      </c>
      <c r="JU53" s="1101">
        <f>'C3.3'!$H$14</f>
        <v>0</v>
      </c>
      <c r="JV53" s="1101">
        <f>'C3.3'!$H$15</f>
        <v>0</v>
      </c>
      <c r="JW53" s="1101">
        <f>'C3.3'!$H$26</f>
        <v>0</v>
      </c>
      <c r="JX53" s="1101">
        <f>'C3.3'!H29</f>
        <v>0</v>
      </c>
      <c r="JY53" s="1101">
        <f>'C3.3'!H30</f>
        <v>0</v>
      </c>
      <c r="JZ53" s="1101">
        <f>'C3.3'!H32</f>
        <v>0</v>
      </c>
      <c r="KA53" s="1101">
        <f>'C3.4'!$H80</f>
        <v>0</v>
      </c>
      <c r="KB53" s="1101">
        <f>'C3.4'!$H81</f>
        <v>0</v>
      </c>
      <c r="KC53" s="1101">
        <f>'C3.4'!$H95</f>
        <v>0</v>
      </c>
      <c r="KD53" s="1101">
        <f>'C3.4'!$H96</f>
        <v>0</v>
      </c>
      <c r="KE53" s="1101">
        <f>'C3.4'!$H97</f>
        <v>0</v>
      </c>
      <c r="KF53" s="1101">
        <f>'C3.4'!$H153</f>
        <v>0</v>
      </c>
      <c r="KG53" s="1101">
        <f>'C3.4'!$H153</f>
        <v>0</v>
      </c>
      <c r="KH53" s="1101">
        <f>'C3.7'!$H68</f>
        <v>0</v>
      </c>
      <c r="KI53" s="1101">
        <f>'C3.8'!$H36</f>
        <v>0</v>
      </c>
      <c r="KJ53" s="1101">
        <f>'C3.8'!$H37</f>
        <v>0</v>
      </c>
      <c r="KK53" s="1101">
        <f>'C3.8'!$H39</f>
        <v>0</v>
      </c>
      <c r="KL53" s="1101">
        <f>'C3.7'!$H31</f>
        <v>0</v>
      </c>
      <c r="KM53" s="1101">
        <f>'C3.7'!$H32</f>
        <v>0</v>
      </c>
      <c r="KN53" s="1101">
        <f>'C3.7'!$H34</f>
        <v>0</v>
      </c>
      <c r="KO53" s="1101">
        <f>'C3.7'!$H35</f>
        <v>0</v>
      </c>
      <c r="KP53" s="1101">
        <f>'C3.7'!$H67</f>
        <v>0</v>
      </c>
    </row>
    <row r="54" spans="1:302">
      <c r="A54" s="1076">
        <f>A53+31</f>
        <v>45962</v>
      </c>
      <c r="C54" s="1082">
        <f t="shared" si="18"/>
        <v>45962</v>
      </c>
      <c r="D54" s="1079" t="str">
        <f t="shared" si="19"/>
        <v/>
      </c>
      <c r="E54" s="177" t="str">
        <f t="shared" si="20"/>
        <v/>
      </c>
      <c r="F54" s="177" t="str">
        <f t="shared" si="21"/>
        <v>Original</v>
      </c>
      <c r="G54" s="1076">
        <f t="shared" si="22"/>
        <v>45135</v>
      </c>
      <c r="H54" s="1076">
        <f t="shared" si="23"/>
        <v>45962</v>
      </c>
      <c r="L54" s="1083" t="s">
        <v>668</v>
      </c>
      <c r="M54" s="1099">
        <f>M53+1</f>
        <v>2</v>
      </c>
    </row>
    <row r="55" spans="1:302">
      <c r="A55" s="1076">
        <f>A54+30</f>
        <v>45992</v>
      </c>
      <c r="C55" s="1082">
        <f t="shared" si="18"/>
        <v>45992</v>
      </c>
      <c r="D55" s="1079" t="str">
        <f t="shared" si="19"/>
        <v/>
      </c>
      <c r="E55" s="177" t="str">
        <f t="shared" si="20"/>
        <v/>
      </c>
      <c r="F55" s="177" t="str">
        <f t="shared" si="21"/>
        <v>Original</v>
      </c>
      <c r="G55" s="1076">
        <f t="shared" si="22"/>
        <v>45135</v>
      </c>
      <c r="H55" s="1076">
        <f t="shared" si="23"/>
        <v>45992</v>
      </c>
    </row>
    <row r="56" spans="1:302">
      <c r="A56" s="1076">
        <f>A55+31</f>
        <v>46023</v>
      </c>
      <c r="C56" s="1082">
        <f t="shared" si="18"/>
        <v>46023</v>
      </c>
      <c r="D56" s="1079" t="str">
        <f t="shared" si="19"/>
        <v/>
      </c>
      <c r="E56" s="177" t="str">
        <f t="shared" si="20"/>
        <v/>
      </c>
      <c r="F56" s="177" t="str">
        <f t="shared" si="21"/>
        <v>Original</v>
      </c>
      <c r="G56" s="1076">
        <f t="shared" si="22"/>
        <v>45135</v>
      </c>
      <c r="H56" s="1076">
        <f t="shared" si="23"/>
        <v>46023</v>
      </c>
      <c r="M56" s="177" t="s">
        <v>662</v>
      </c>
      <c r="N56" s="177" t="s">
        <v>294</v>
      </c>
      <c r="O56" s="1098">
        <f>SUM(O57:O207)</f>
        <v>0</v>
      </c>
      <c r="P56" s="1098">
        <f>SUM(P57:P207)</f>
        <v>0</v>
      </c>
      <c r="GN56" s="1098">
        <f>SUM(GN57:GN207)</f>
        <v>0</v>
      </c>
      <c r="GO56" s="1098">
        <f>SUM(GO57:GO207)</f>
        <v>0</v>
      </c>
    </row>
    <row r="57" spans="1:302">
      <c r="A57" s="1076">
        <f>A56+31</f>
        <v>46054</v>
      </c>
      <c r="B57" s="177" t="b">
        <f>ISNA(VLOOKUP(A57,$E$4:$E$13,1,FALSE))</f>
        <v>1</v>
      </c>
      <c r="C57" s="1082">
        <f t="shared" si="18"/>
        <v>46054</v>
      </c>
      <c r="D57" s="1079" t="str">
        <f t="shared" si="19"/>
        <v/>
      </c>
      <c r="E57" s="177" t="str">
        <f t="shared" si="20"/>
        <v/>
      </c>
      <c r="F57" s="177" t="str">
        <f t="shared" si="21"/>
        <v>Original</v>
      </c>
      <c r="G57" s="1076">
        <f t="shared" si="22"/>
        <v>45135</v>
      </c>
      <c r="H57" s="1076">
        <f t="shared" si="23"/>
        <v>46054</v>
      </c>
      <c r="M57" s="1079">
        <v>0</v>
      </c>
      <c r="N57" s="1097">
        <f>$K$1023</f>
        <v>45135</v>
      </c>
      <c r="O57" s="1098">
        <v>0</v>
      </c>
      <c r="P57" s="1098">
        <v>0</v>
      </c>
      <c r="Q57" s="1098">
        <v>0</v>
      </c>
      <c r="R57" s="1098">
        <v>0</v>
      </c>
      <c r="S57" s="1098">
        <v>0</v>
      </c>
      <c r="T57" s="1098">
        <v>0</v>
      </c>
      <c r="U57" s="1087">
        <v>0</v>
      </c>
      <c r="V57" s="1087">
        <v>0</v>
      </c>
      <c r="W57" s="1087">
        <v>0</v>
      </c>
      <c r="X57" s="1087">
        <v>0</v>
      </c>
      <c r="Y57" s="1087">
        <v>0</v>
      </c>
      <c r="Z57" s="1087">
        <v>0</v>
      </c>
      <c r="AA57" s="1087">
        <v>0</v>
      </c>
      <c r="AB57" s="1087">
        <v>0</v>
      </c>
      <c r="AC57" s="1087">
        <v>0</v>
      </c>
      <c r="AD57" s="1087">
        <v>0</v>
      </c>
      <c r="AE57" s="1087">
        <v>0</v>
      </c>
      <c r="AF57" s="1087">
        <v>0</v>
      </c>
      <c r="AG57" s="1087">
        <v>0</v>
      </c>
      <c r="AH57" s="1087">
        <v>0</v>
      </c>
      <c r="AI57" s="1087">
        <v>0</v>
      </c>
      <c r="AJ57" s="1087">
        <v>0</v>
      </c>
      <c r="AK57" s="1087">
        <v>0</v>
      </c>
      <c r="AL57" s="1087">
        <v>0</v>
      </c>
      <c r="AM57" s="1087">
        <v>0</v>
      </c>
      <c r="AN57" s="1087">
        <v>0</v>
      </c>
      <c r="AO57" s="1087">
        <v>0</v>
      </c>
      <c r="AP57" s="1087">
        <v>0</v>
      </c>
      <c r="AQ57" s="1087">
        <v>0</v>
      </c>
      <c r="AR57" s="1087">
        <v>0</v>
      </c>
      <c r="AS57" s="1087">
        <v>0</v>
      </c>
      <c r="AT57" s="1087">
        <v>0</v>
      </c>
      <c r="AU57" s="1087">
        <v>0</v>
      </c>
      <c r="AV57" s="1087">
        <v>0</v>
      </c>
      <c r="AW57" s="1087">
        <v>0</v>
      </c>
      <c r="AX57" s="1087">
        <v>0</v>
      </c>
      <c r="AY57" s="1087">
        <v>0</v>
      </c>
      <c r="AZ57" s="1087">
        <v>0</v>
      </c>
      <c r="BA57" s="1087">
        <v>0</v>
      </c>
      <c r="BB57" s="1087">
        <v>0</v>
      </c>
      <c r="BC57" s="1087">
        <v>0</v>
      </c>
      <c r="BD57" s="1087">
        <v>0</v>
      </c>
      <c r="BE57" s="1087">
        <v>0</v>
      </c>
      <c r="BF57" s="1087">
        <v>0</v>
      </c>
      <c r="BG57" s="1087">
        <v>0</v>
      </c>
      <c r="BH57" s="1087">
        <v>0</v>
      </c>
      <c r="BI57" s="1087">
        <v>0</v>
      </c>
      <c r="BJ57" s="1087">
        <v>0</v>
      </c>
      <c r="BK57" s="1087">
        <v>0</v>
      </c>
      <c r="BL57" s="1087">
        <v>0</v>
      </c>
      <c r="BM57" s="1087">
        <v>0</v>
      </c>
      <c r="BN57" s="1087">
        <v>0</v>
      </c>
      <c r="BO57" s="1087">
        <v>0</v>
      </c>
      <c r="BP57" s="1087">
        <v>0</v>
      </c>
      <c r="BQ57" s="1087">
        <v>0</v>
      </c>
      <c r="BR57" s="1087">
        <v>0</v>
      </c>
      <c r="BS57" s="1087">
        <v>0</v>
      </c>
      <c r="BT57" s="1087">
        <v>0</v>
      </c>
      <c r="BU57" s="1087">
        <v>0</v>
      </c>
      <c r="BV57" s="1087">
        <v>0</v>
      </c>
      <c r="BW57" s="1087">
        <v>0</v>
      </c>
      <c r="BX57" s="1087">
        <v>0</v>
      </c>
      <c r="BY57" s="1087">
        <v>0</v>
      </c>
      <c r="BZ57" s="1087">
        <v>0</v>
      </c>
      <c r="CA57" s="1087">
        <v>0</v>
      </c>
      <c r="CB57" s="1087">
        <v>0</v>
      </c>
      <c r="CC57" s="1087">
        <v>0</v>
      </c>
      <c r="CD57" s="1087">
        <v>0</v>
      </c>
      <c r="CE57" s="1087">
        <v>0</v>
      </c>
      <c r="CF57" s="1087">
        <v>0</v>
      </c>
      <c r="CG57" s="1087">
        <v>0</v>
      </c>
      <c r="CH57" s="1087">
        <v>0</v>
      </c>
      <c r="CI57" s="1087">
        <v>0</v>
      </c>
      <c r="CJ57" s="1087">
        <v>0</v>
      </c>
      <c r="CK57" s="1087">
        <v>0</v>
      </c>
      <c r="CL57" s="1087">
        <v>0</v>
      </c>
      <c r="CM57" s="1087">
        <v>0</v>
      </c>
      <c r="CN57" s="1087">
        <v>0</v>
      </c>
      <c r="CO57" s="1087">
        <v>0</v>
      </c>
      <c r="CP57" s="1087">
        <v>0</v>
      </c>
      <c r="CQ57" s="1087">
        <v>0</v>
      </c>
      <c r="CR57" s="1087">
        <v>0</v>
      </c>
      <c r="CS57" s="1087">
        <v>0</v>
      </c>
      <c r="CT57" s="1087">
        <v>0</v>
      </c>
      <c r="CU57" s="1087">
        <v>0</v>
      </c>
      <c r="CV57" s="1087">
        <v>0</v>
      </c>
      <c r="CW57" s="1087">
        <v>0</v>
      </c>
      <c r="CX57" s="1087">
        <v>0</v>
      </c>
      <c r="CY57" s="1087">
        <v>0</v>
      </c>
      <c r="CZ57" s="1087">
        <v>0</v>
      </c>
      <c r="DA57" s="1087">
        <v>0</v>
      </c>
      <c r="DB57" s="1087">
        <v>0</v>
      </c>
      <c r="DC57" s="1087">
        <v>0</v>
      </c>
      <c r="DD57" s="1087">
        <v>0</v>
      </c>
      <c r="DE57" s="1087">
        <v>0</v>
      </c>
      <c r="DF57" s="1087">
        <v>0</v>
      </c>
      <c r="DG57" s="1087">
        <v>0</v>
      </c>
      <c r="DH57" s="1087">
        <v>0</v>
      </c>
      <c r="DI57" s="1087">
        <v>0</v>
      </c>
      <c r="DJ57" s="1087">
        <v>0</v>
      </c>
      <c r="DK57" s="1087">
        <v>0</v>
      </c>
      <c r="DL57" s="1087">
        <v>0</v>
      </c>
      <c r="DM57" s="1087">
        <v>0</v>
      </c>
      <c r="DN57" s="1087">
        <v>0</v>
      </c>
      <c r="DO57" s="1087">
        <v>0</v>
      </c>
      <c r="DP57" s="1087">
        <v>0</v>
      </c>
      <c r="DQ57" s="1087">
        <v>0</v>
      </c>
      <c r="DR57" s="1087">
        <v>0</v>
      </c>
      <c r="DS57" s="1087">
        <v>0</v>
      </c>
      <c r="DT57" s="1087">
        <v>0</v>
      </c>
      <c r="DU57" s="1087">
        <v>0</v>
      </c>
      <c r="DV57" s="1087">
        <v>0</v>
      </c>
      <c r="DW57" s="1087">
        <v>0</v>
      </c>
      <c r="DX57" s="1087">
        <v>0</v>
      </c>
      <c r="DY57" s="1087">
        <v>0</v>
      </c>
      <c r="DZ57" s="1087">
        <v>0</v>
      </c>
      <c r="EA57" s="1087">
        <v>0</v>
      </c>
      <c r="EB57" s="1087">
        <v>0</v>
      </c>
      <c r="EC57" s="1087">
        <v>0</v>
      </c>
      <c r="ED57" s="1087">
        <v>0</v>
      </c>
      <c r="EE57" s="1087">
        <v>0</v>
      </c>
      <c r="EF57" s="1087">
        <v>0</v>
      </c>
      <c r="EG57" s="1087">
        <v>0</v>
      </c>
      <c r="EH57" s="1087">
        <v>0</v>
      </c>
      <c r="EI57" s="1087">
        <v>0</v>
      </c>
      <c r="EJ57" s="1087">
        <v>0</v>
      </c>
      <c r="EK57" s="1087">
        <v>0</v>
      </c>
      <c r="EL57" s="1087">
        <v>0</v>
      </c>
      <c r="EM57" s="1087">
        <v>0</v>
      </c>
      <c r="EN57" s="1087">
        <v>0</v>
      </c>
      <c r="EO57" s="1087">
        <v>0</v>
      </c>
      <c r="EP57" s="1087">
        <v>0</v>
      </c>
      <c r="EQ57" s="1087">
        <v>0</v>
      </c>
      <c r="ER57" s="1087">
        <v>0</v>
      </c>
      <c r="ES57" s="1087">
        <v>0</v>
      </c>
      <c r="ET57" s="1087">
        <v>0</v>
      </c>
      <c r="EU57" s="1087">
        <v>0</v>
      </c>
      <c r="EV57" s="1087">
        <v>0</v>
      </c>
      <c r="EW57" s="1087">
        <v>0</v>
      </c>
      <c r="EX57" s="1087">
        <v>0</v>
      </c>
      <c r="EY57" s="1087">
        <v>0</v>
      </c>
      <c r="EZ57" s="1087">
        <v>0</v>
      </c>
      <c r="FA57" s="1087">
        <v>0</v>
      </c>
      <c r="FB57" s="1087">
        <v>0</v>
      </c>
      <c r="FC57" s="1087">
        <v>0</v>
      </c>
      <c r="FD57" s="1087">
        <v>0</v>
      </c>
      <c r="FE57" s="1087">
        <v>0</v>
      </c>
      <c r="FF57" s="1087">
        <v>0</v>
      </c>
      <c r="FG57" s="1087">
        <v>0</v>
      </c>
      <c r="FH57" s="1087">
        <v>0</v>
      </c>
      <c r="FI57" s="1087">
        <v>0</v>
      </c>
      <c r="FJ57" s="1087">
        <v>0</v>
      </c>
      <c r="FK57" s="1087">
        <v>0</v>
      </c>
      <c r="FL57" s="1087">
        <v>0</v>
      </c>
      <c r="FM57" s="1087">
        <v>0</v>
      </c>
      <c r="FN57" s="1087">
        <v>0</v>
      </c>
      <c r="FO57" s="1087">
        <v>0</v>
      </c>
      <c r="FP57" s="1087">
        <v>0</v>
      </c>
      <c r="FQ57" s="1087">
        <v>0</v>
      </c>
      <c r="FR57" s="1087">
        <v>0</v>
      </c>
      <c r="FS57" s="1087">
        <v>0</v>
      </c>
      <c r="FT57" s="1087">
        <v>0</v>
      </c>
      <c r="FU57" s="1087">
        <v>0</v>
      </c>
      <c r="FV57" s="1087">
        <v>0</v>
      </c>
      <c r="FW57" s="1087">
        <v>0</v>
      </c>
      <c r="FX57" s="1087">
        <v>0</v>
      </c>
      <c r="FY57" s="1087">
        <v>0</v>
      </c>
      <c r="FZ57" s="1087">
        <v>0</v>
      </c>
      <c r="GA57" s="1087">
        <v>0</v>
      </c>
      <c r="GB57" s="1087">
        <v>0</v>
      </c>
      <c r="GC57" s="1087">
        <v>0</v>
      </c>
      <c r="GD57" s="1087">
        <v>0</v>
      </c>
      <c r="GE57" s="1087">
        <v>0</v>
      </c>
      <c r="GF57" s="1087">
        <v>0</v>
      </c>
      <c r="GG57" s="1087">
        <v>0</v>
      </c>
      <c r="GH57" s="1087">
        <v>0</v>
      </c>
      <c r="GI57" s="1087">
        <v>0</v>
      </c>
      <c r="GJ57" s="1087">
        <v>0</v>
      </c>
      <c r="GK57" s="1087">
        <v>0</v>
      </c>
      <c r="GL57" s="1087">
        <v>0</v>
      </c>
      <c r="GM57" s="1087">
        <v>0</v>
      </c>
      <c r="GN57" s="1087">
        <v>0</v>
      </c>
      <c r="GO57" s="1087">
        <v>0</v>
      </c>
      <c r="GP57" s="1087">
        <v>0</v>
      </c>
      <c r="GQ57" s="1087">
        <v>0</v>
      </c>
      <c r="GR57" s="1087">
        <v>0</v>
      </c>
      <c r="GS57" s="1087">
        <v>0</v>
      </c>
      <c r="GT57" s="1087">
        <v>0</v>
      </c>
      <c r="GU57" s="1087">
        <v>0</v>
      </c>
      <c r="GV57" s="1087">
        <v>0</v>
      </c>
      <c r="GW57" s="1087">
        <v>0</v>
      </c>
      <c r="GX57" s="1087">
        <v>0</v>
      </c>
      <c r="GY57" s="1087">
        <v>0</v>
      </c>
      <c r="GZ57" s="1087">
        <v>0</v>
      </c>
      <c r="HA57" s="1087">
        <v>0</v>
      </c>
      <c r="HB57" s="1087">
        <v>0</v>
      </c>
      <c r="HC57" s="1087">
        <v>0</v>
      </c>
      <c r="HD57" s="1087">
        <v>0</v>
      </c>
      <c r="HE57" s="1087">
        <v>0</v>
      </c>
      <c r="HF57" s="1087">
        <v>0</v>
      </c>
      <c r="HG57" s="1087">
        <v>0</v>
      </c>
      <c r="HH57" s="1087">
        <v>0</v>
      </c>
      <c r="HI57" s="1087">
        <v>0</v>
      </c>
      <c r="HJ57" s="1087">
        <v>0</v>
      </c>
      <c r="HK57" s="1087">
        <v>0</v>
      </c>
      <c r="HL57" s="1087">
        <v>0</v>
      </c>
      <c r="HM57" s="1087">
        <v>0</v>
      </c>
      <c r="HN57" s="1087">
        <v>0</v>
      </c>
      <c r="HO57" s="1087">
        <v>0</v>
      </c>
      <c r="HP57" s="1087">
        <v>0</v>
      </c>
      <c r="HQ57" s="1087">
        <v>0</v>
      </c>
      <c r="HR57" s="1087">
        <v>0</v>
      </c>
      <c r="HS57" s="1087">
        <v>0</v>
      </c>
      <c r="HT57" s="1087">
        <v>0</v>
      </c>
      <c r="HU57" s="1087">
        <v>0</v>
      </c>
      <c r="HV57" s="1087">
        <v>0</v>
      </c>
      <c r="HW57" s="1087">
        <v>0</v>
      </c>
      <c r="HX57" s="1087">
        <v>0</v>
      </c>
      <c r="HY57" s="1087">
        <v>0</v>
      </c>
      <c r="HZ57" s="1087">
        <v>0</v>
      </c>
      <c r="IA57" s="1087">
        <v>0</v>
      </c>
      <c r="IB57" s="1087">
        <v>0</v>
      </c>
      <c r="IC57" s="1087">
        <v>0</v>
      </c>
      <c r="ID57" s="1087">
        <v>0</v>
      </c>
      <c r="IE57" s="1087">
        <v>0</v>
      </c>
      <c r="IF57" s="1087">
        <v>0</v>
      </c>
      <c r="IG57" s="1087">
        <v>0</v>
      </c>
      <c r="IH57" s="1087">
        <v>0</v>
      </c>
      <c r="II57" s="1087">
        <v>0</v>
      </c>
      <c r="IJ57" s="1087">
        <v>0</v>
      </c>
      <c r="IK57" s="1087">
        <v>0</v>
      </c>
      <c r="IL57" s="1087">
        <v>0</v>
      </c>
      <c r="IM57" s="1087">
        <v>0</v>
      </c>
      <c r="IN57" s="1087">
        <v>0</v>
      </c>
      <c r="IO57" s="1087">
        <v>0</v>
      </c>
      <c r="IP57" s="1087">
        <v>0</v>
      </c>
      <c r="IQ57" s="1087">
        <v>0</v>
      </c>
      <c r="IR57" s="1087">
        <v>0</v>
      </c>
      <c r="IS57" s="1087">
        <v>0</v>
      </c>
      <c r="IT57" s="1087">
        <v>0</v>
      </c>
      <c r="IU57" s="1087">
        <v>0</v>
      </c>
      <c r="IV57" s="1087">
        <v>0</v>
      </c>
      <c r="IW57" s="1087">
        <v>0</v>
      </c>
      <c r="IX57" s="1087">
        <v>0</v>
      </c>
      <c r="IY57" s="1087">
        <v>0</v>
      </c>
      <c r="IZ57" s="1087">
        <v>0</v>
      </c>
      <c r="JA57" s="1087">
        <v>0</v>
      </c>
      <c r="JB57" s="1087">
        <v>0</v>
      </c>
      <c r="JC57" s="1087">
        <v>0</v>
      </c>
      <c r="JD57" s="1087">
        <v>0</v>
      </c>
      <c r="JE57" s="1087">
        <v>0</v>
      </c>
      <c r="JF57" s="1087">
        <v>0</v>
      </c>
      <c r="JG57" s="1087">
        <v>0</v>
      </c>
      <c r="JH57" s="1087">
        <v>0</v>
      </c>
      <c r="JI57" s="1087">
        <v>0</v>
      </c>
      <c r="JJ57" s="1087">
        <v>0</v>
      </c>
      <c r="JK57" s="1087">
        <v>0</v>
      </c>
      <c r="JL57" s="1087">
        <v>0</v>
      </c>
      <c r="JM57" s="1087">
        <v>0</v>
      </c>
      <c r="JN57" s="1087">
        <v>0</v>
      </c>
      <c r="JO57" s="1087">
        <v>0</v>
      </c>
      <c r="JP57" s="1087">
        <v>0</v>
      </c>
      <c r="JQ57" s="1087">
        <v>0</v>
      </c>
      <c r="JR57" s="1087">
        <v>0</v>
      </c>
      <c r="JS57" s="1087">
        <v>0</v>
      </c>
      <c r="JT57" s="1087">
        <v>0</v>
      </c>
      <c r="JU57" s="1087">
        <v>0</v>
      </c>
      <c r="JV57" s="1087">
        <v>0</v>
      </c>
      <c r="JW57" s="1087">
        <v>0</v>
      </c>
      <c r="JX57" s="1087">
        <v>0</v>
      </c>
      <c r="JY57" s="1087">
        <v>0</v>
      </c>
      <c r="JZ57" s="1087">
        <v>0</v>
      </c>
      <c r="KA57" s="1087">
        <v>0</v>
      </c>
      <c r="KB57" s="1087">
        <v>0</v>
      </c>
      <c r="KC57" s="1087">
        <v>0</v>
      </c>
      <c r="KD57" s="1087">
        <v>0</v>
      </c>
      <c r="KE57" s="1087">
        <v>0</v>
      </c>
      <c r="KF57" s="1087">
        <v>0</v>
      </c>
      <c r="KG57" s="1087">
        <v>0</v>
      </c>
      <c r="KH57" s="1087">
        <v>0</v>
      </c>
      <c r="KI57" s="1087">
        <v>0</v>
      </c>
      <c r="KJ57" s="1087">
        <v>0</v>
      </c>
      <c r="KK57" s="1087">
        <v>0</v>
      </c>
    </row>
    <row r="58" spans="1:302">
      <c r="A58" s="1076">
        <f>IF(B57=TRUE,(A57+28),(A57+29))</f>
        <v>46082</v>
      </c>
      <c r="C58" s="1082">
        <f t="shared" si="18"/>
        <v>46082</v>
      </c>
      <c r="D58" s="1079" t="str">
        <f t="shared" si="19"/>
        <v/>
      </c>
      <c r="E58" s="177" t="str">
        <f t="shared" si="20"/>
        <v/>
      </c>
      <c r="F58" s="177" t="str">
        <f t="shared" si="21"/>
        <v>Original</v>
      </c>
      <c r="G58" s="1076">
        <f t="shared" si="22"/>
        <v>45135</v>
      </c>
      <c r="H58" s="1076">
        <f t="shared" si="23"/>
        <v>46082</v>
      </c>
      <c r="M58" s="1079">
        <v>1</v>
      </c>
      <c r="N58" s="1097"/>
      <c r="O58" s="1098"/>
      <c r="P58" s="1098"/>
      <c r="Q58" s="1098"/>
      <c r="R58" s="1098"/>
      <c r="S58" s="1098"/>
      <c r="T58" s="1098"/>
      <c r="U58" s="1087"/>
    </row>
    <row r="59" spans="1:302">
      <c r="A59" s="1076">
        <f>A58+31</f>
        <v>46113</v>
      </c>
      <c r="C59" s="1082">
        <f t="shared" si="18"/>
        <v>46113</v>
      </c>
      <c r="D59" s="1079" t="str">
        <f t="shared" si="19"/>
        <v/>
      </c>
      <c r="E59" s="177" t="str">
        <f t="shared" si="20"/>
        <v/>
      </c>
      <c r="F59" s="177" t="str">
        <f t="shared" si="21"/>
        <v>Original</v>
      </c>
      <c r="G59" s="1076">
        <f t="shared" si="22"/>
        <v>45135</v>
      </c>
      <c r="H59" s="1076">
        <f t="shared" si="23"/>
        <v>46113</v>
      </c>
      <c r="M59" s="1079">
        <v>2</v>
      </c>
      <c r="N59" s="1097"/>
      <c r="O59" s="1098"/>
      <c r="P59" s="1098"/>
      <c r="Q59" s="1098"/>
      <c r="R59" s="1098"/>
      <c r="S59" s="1098"/>
      <c r="T59" s="1098"/>
      <c r="U59" s="1087"/>
    </row>
    <row r="60" spans="1:302">
      <c r="A60" s="1076">
        <f>A59+30</f>
        <v>46143</v>
      </c>
      <c r="C60" s="1082">
        <f t="shared" si="18"/>
        <v>46143</v>
      </c>
      <c r="D60" s="1079" t="str">
        <f t="shared" si="19"/>
        <v/>
      </c>
      <c r="E60" s="177" t="str">
        <f t="shared" si="20"/>
        <v/>
      </c>
      <c r="F60" s="177" t="str">
        <f t="shared" si="21"/>
        <v>Original</v>
      </c>
      <c r="G60" s="1076">
        <f t="shared" si="22"/>
        <v>45135</v>
      </c>
      <c r="H60" s="1076">
        <f t="shared" si="23"/>
        <v>46143</v>
      </c>
      <c r="M60" s="1079">
        <v>3</v>
      </c>
      <c r="N60" s="1097"/>
      <c r="O60" s="1098"/>
      <c r="P60" s="1098"/>
      <c r="Q60" s="1098"/>
      <c r="R60" s="1098"/>
      <c r="S60" s="1098"/>
      <c r="T60" s="1098"/>
      <c r="U60" s="1087"/>
    </row>
    <row r="61" spans="1:302">
      <c r="A61" s="1076">
        <f>A60+31</f>
        <v>46174</v>
      </c>
      <c r="C61" s="1082">
        <f t="shared" si="18"/>
        <v>46174</v>
      </c>
      <c r="D61" s="1079" t="str">
        <f t="shared" si="19"/>
        <v/>
      </c>
      <c r="E61" s="177" t="str">
        <f t="shared" si="20"/>
        <v/>
      </c>
      <c r="F61" s="177" t="str">
        <f t="shared" si="21"/>
        <v>Original</v>
      </c>
      <c r="G61" s="1076">
        <f t="shared" si="22"/>
        <v>45135</v>
      </c>
      <c r="H61" s="1076">
        <f t="shared" si="23"/>
        <v>46174</v>
      </c>
      <c r="M61" s="1079">
        <v>4</v>
      </c>
      <c r="N61" s="1097"/>
      <c r="O61" s="1098"/>
      <c r="P61" s="1098"/>
      <c r="Q61" s="1098"/>
      <c r="R61" s="1098"/>
      <c r="S61" s="1098"/>
      <c r="T61" s="1098"/>
      <c r="U61" s="1087"/>
    </row>
    <row r="62" spans="1:302">
      <c r="A62" s="1076">
        <f>A61+30</f>
        <v>46204</v>
      </c>
      <c r="C62" s="1082">
        <f t="shared" si="18"/>
        <v>46204</v>
      </c>
      <c r="D62" s="1079" t="str">
        <f t="shared" si="19"/>
        <v/>
      </c>
      <c r="E62" s="177" t="str">
        <f t="shared" si="20"/>
        <v/>
      </c>
      <c r="F62" s="177" t="str">
        <f t="shared" si="21"/>
        <v>Original</v>
      </c>
      <c r="G62" s="1076">
        <f t="shared" si="22"/>
        <v>45135</v>
      </c>
      <c r="H62" s="1076">
        <f t="shared" si="23"/>
        <v>46204</v>
      </c>
      <c r="M62" s="1079">
        <v>5</v>
      </c>
      <c r="N62" s="1097"/>
      <c r="O62" s="1098"/>
      <c r="P62" s="1098"/>
      <c r="Q62" s="1098"/>
      <c r="R62" s="1098"/>
      <c r="S62" s="1098"/>
      <c r="T62" s="1098"/>
    </row>
    <row r="63" spans="1:302">
      <c r="A63" s="1076">
        <f>A62+31</f>
        <v>46235</v>
      </c>
      <c r="C63" s="1082">
        <f t="shared" si="18"/>
        <v>46235</v>
      </c>
      <c r="D63" s="1079" t="str">
        <f t="shared" si="19"/>
        <v/>
      </c>
      <c r="E63" s="177" t="str">
        <f t="shared" si="20"/>
        <v/>
      </c>
      <c r="F63" s="177" t="str">
        <f t="shared" si="21"/>
        <v>Original</v>
      </c>
      <c r="G63" s="1076">
        <f t="shared" si="22"/>
        <v>45135</v>
      </c>
      <c r="H63" s="1076">
        <f t="shared" si="23"/>
        <v>46235</v>
      </c>
      <c r="M63" s="1079">
        <v>6</v>
      </c>
      <c r="N63" s="1097"/>
      <c r="O63" s="1098"/>
      <c r="P63" s="1098"/>
      <c r="Q63" s="1098"/>
      <c r="R63" s="1098"/>
      <c r="S63" s="1098"/>
      <c r="T63" s="1098"/>
    </row>
    <row r="64" spans="1:302">
      <c r="A64" s="1076">
        <f>A63+31</f>
        <v>46266</v>
      </c>
      <c r="C64" s="1082">
        <f t="shared" si="18"/>
        <v>46266</v>
      </c>
      <c r="D64" s="1079" t="str">
        <f t="shared" si="19"/>
        <v/>
      </c>
      <c r="E64" s="177" t="str">
        <f t="shared" si="20"/>
        <v/>
      </c>
      <c r="F64" s="177" t="str">
        <f t="shared" si="21"/>
        <v>Original</v>
      </c>
      <c r="G64" s="1076">
        <f t="shared" si="22"/>
        <v>45135</v>
      </c>
      <c r="H64" s="1076">
        <f t="shared" si="23"/>
        <v>46266</v>
      </c>
      <c r="M64" s="1079">
        <v>7</v>
      </c>
      <c r="N64" s="1097"/>
      <c r="O64" s="1098"/>
      <c r="P64" s="1098"/>
      <c r="Q64" s="1098"/>
      <c r="R64" s="1098"/>
      <c r="S64" s="1098"/>
      <c r="T64" s="1098"/>
    </row>
    <row r="65" spans="1:20">
      <c r="A65" s="1076">
        <f>A64+30</f>
        <v>46296</v>
      </c>
      <c r="C65" s="1082">
        <f t="shared" si="18"/>
        <v>46296</v>
      </c>
      <c r="D65" s="1079" t="str">
        <f t="shared" si="19"/>
        <v/>
      </c>
      <c r="E65" s="177" t="str">
        <f t="shared" si="20"/>
        <v/>
      </c>
      <c r="F65" s="177" t="str">
        <f t="shared" si="21"/>
        <v>Original</v>
      </c>
      <c r="G65" s="1076">
        <f t="shared" si="22"/>
        <v>45135</v>
      </c>
      <c r="H65" s="1076">
        <f t="shared" si="23"/>
        <v>46296</v>
      </c>
      <c r="M65" s="1079">
        <v>8</v>
      </c>
      <c r="N65" s="1097"/>
      <c r="O65" s="1098"/>
      <c r="P65" s="1098"/>
      <c r="Q65" s="1098"/>
      <c r="R65" s="1098"/>
      <c r="S65" s="1098"/>
      <c r="T65" s="1098"/>
    </row>
    <row r="66" spans="1:20">
      <c r="A66" s="1076">
        <f>A65+31</f>
        <v>46327</v>
      </c>
      <c r="C66" s="1082">
        <f t="shared" si="18"/>
        <v>46327</v>
      </c>
      <c r="D66" s="1079" t="str">
        <f t="shared" si="19"/>
        <v/>
      </c>
      <c r="E66" s="177" t="str">
        <f t="shared" si="20"/>
        <v/>
      </c>
      <c r="F66" s="177" t="str">
        <f t="shared" si="21"/>
        <v>Original</v>
      </c>
      <c r="G66" s="1076">
        <f t="shared" si="22"/>
        <v>45135</v>
      </c>
      <c r="H66" s="1076">
        <f t="shared" si="23"/>
        <v>46327</v>
      </c>
      <c r="M66" s="1079">
        <v>9</v>
      </c>
      <c r="N66" s="1097"/>
      <c r="O66" s="1098"/>
      <c r="P66" s="1098"/>
      <c r="Q66" s="1098"/>
      <c r="R66" s="1098"/>
      <c r="S66" s="1098"/>
      <c r="T66" s="1098"/>
    </row>
    <row r="67" spans="1:20">
      <c r="A67" s="1076">
        <f>A66+30</f>
        <v>46357</v>
      </c>
      <c r="C67" s="1082">
        <f t="shared" si="18"/>
        <v>46357</v>
      </c>
      <c r="D67" s="1079" t="str">
        <f t="shared" si="19"/>
        <v/>
      </c>
      <c r="E67" s="177" t="str">
        <f t="shared" si="20"/>
        <v/>
      </c>
      <c r="F67" s="177" t="str">
        <f t="shared" si="21"/>
        <v>Original</v>
      </c>
      <c r="G67" s="1076">
        <f t="shared" si="22"/>
        <v>45135</v>
      </c>
      <c r="H67" s="1076">
        <f t="shared" si="23"/>
        <v>46357</v>
      </c>
      <c r="M67" s="1079">
        <v>10</v>
      </c>
      <c r="N67" s="1097"/>
      <c r="O67" s="1098"/>
      <c r="P67" s="1098"/>
      <c r="Q67" s="1098"/>
      <c r="R67" s="1098"/>
      <c r="S67" s="1098"/>
      <c r="T67" s="1098"/>
    </row>
    <row r="68" spans="1:20">
      <c r="A68" s="1076">
        <f>A67+31</f>
        <v>46388</v>
      </c>
      <c r="C68" s="1082">
        <f t="shared" si="18"/>
        <v>46388</v>
      </c>
      <c r="D68" s="1079" t="str">
        <f t="shared" si="19"/>
        <v/>
      </c>
      <c r="E68" s="177" t="str">
        <f t="shared" si="20"/>
        <v/>
      </c>
      <c r="F68" s="177" t="str">
        <f t="shared" si="21"/>
        <v>Original</v>
      </c>
      <c r="G68" s="1076">
        <f t="shared" si="22"/>
        <v>45135</v>
      </c>
      <c r="H68" s="1076">
        <f t="shared" si="23"/>
        <v>46388</v>
      </c>
      <c r="M68" s="1079">
        <v>11</v>
      </c>
      <c r="N68" s="1097"/>
      <c r="O68" s="1098"/>
      <c r="P68" s="1098"/>
      <c r="Q68" s="1098"/>
      <c r="R68" s="1098"/>
      <c r="S68" s="1098"/>
      <c r="T68" s="1098"/>
    </row>
    <row r="69" spans="1:20">
      <c r="A69" s="1076">
        <f>A68+31</f>
        <v>46419</v>
      </c>
      <c r="B69" s="177" t="b">
        <f>ISNA(VLOOKUP(A69,$E$4:$E$13,1,FALSE))</f>
        <v>1</v>
      </c>
      <c r="C69" s="1082">
        <f t="shared" si="18"/>
        <v>46419</v>
      </c>
      <c r="D69" s="1079" t="str">
        <f t="shared" si="19"/>
        <v/>
      </c>
      <c r="E69" s="177" t="str">
        <f t="shared" si="20"/>
        <v/>
      </c>
      <c r="F69" s="177" t="str">
        <f t="shared" si="21"/>
        <v>Original</v>
      </c>
      <c r="G69" s="1076">
        <f t="shared" si="22"/>
        <v>45135</v>
      </c>
      <c r="H69" s="1076">
        <f t="shared" si="23"/>
        <v>46419</v>
      </c>
      <c r="M69" s="1079">
        <v>12</v>
      </c>
      <c r="N69" s="1097"/>
      <c r="O69" s="1098"/>
      <c r="P69" s="1098"/>
      <c r="Q69" s="1098"/>
      <c r="R69" s="1098"/>
      <c r="S69" s="1098"/>
      <c r="T69" s="1098"/>
    </row>
    <row r="70" spans="1:20">
      <c r="A70" s="1076">
        <f>IF(B69=TRUE,(A69+28),(A69+29))</f>
        <v>46447</v>
      </c>
      <c r="C70" s="1082">
        <f t="shared" si="18"/>
        <v>46447</v>
      </c>
      <c r="D70" s="1079" t="str">
        <f t="shared" si="19"/>
        <v/>
      </c>
      <c r="E70" s="177" t="str">
        <f t="shared" si="20"/>
        <v/>
      </c>
      <c r="F70" s="177" t="str">
        <f t="shared" si="21"/>
        <v>Original</v>
      </c>
      <c r="G70" s="1076">
        <f t="shared" si="22"/>
        <v>45135</v>
      </c>
      <c r="H70" s="1076">
        <f t="shared" si="23"/>
        <v>46447</v>
      </c>
      <c r="M70" s="1079">
        <v>13</v>
      </c>
      <c r="N70" s="1097"/>
      <c r="O70" s="1098"/>
      <c r="P70" s="1098"/>
      <c r="Q70" s="1098"/>
      <c r="R70" s="1098"/>
      <c r="S70" s="1098"/>
      <c r="T70" s="1098"/>
    </row>
    <row r="71" spans="1:20">
      <c r="A71" s="1076">
        <f>A70+31</f>
        <v>46478</v>
      </c>
      <c r="C71" s="1082">
        <f t="shared" si="18"/>
        <v>46478</v>
      </c>
      <c r="D71" s="1079" t="str">
        <f t="shared" si="19"/>
        <v/>
      </c>
      <c r="E71" s="177" t="str">
        <f t="shared" si="20"/>
        <v/>
      </c>
      <c r="F71" s="177" t="str">
        <f t="shared" si="21"/>
        <v>Original</v>
      </c>
      <c r="G71" s="1076">
        <f t="shared" si="22"/>
        <v>45135</v>
      </c>
      <c r="H71" s="1076">
        <f t="shared" si="23"/>
        <v>46478</v>
      </c>
      <c r="M71" s="1079">
        <v>14</v>
      </c>
      <c r="N71" s="1097"/>
      <c r="O71" s="1098"/>
      <c r="P71" s="1098"/>
      <c r="Q71" s="1098"/>
      <c r="R71" s="1098"/>
      <c r="S71" s="1098"/>
      <c r="T71" s="1098"/>
    </row>
    <row r="72" spans="1:20">
      <c r="A72" s="1076">
        <f>A71+30</f>
        <v>46508</v>
      </c>
      <c r="C72" s="1082">
        <f t="shared" si="18"/>
        <v>46508</v>
      </c>
      <c r="D72" s="1079" t="str">
        <f t="shared" si="19"/>
        <v/>
      </c>
      <c r="E72" s="177" t="str">
        <f t="shared" si="20"/>
        <v/>
      </c>
      <c r="F72" s="177" t="str">
        <f t="shared" si="21"/>
        <v>Original</v>
      </c>
      <c r="G72" s="1076">
        <f t="shared" si="22"/>
        <v>45135</v>
      </c>
      <c r="H72" s="1076">
        <f t="shared" si="23"/>
        <v>46508</v>
      </c>
      <c r="M72" s="1079">
        <v>15</v>
      </c>
      <c r="N72" s="1097"/>
      <c r="O72" s="1098"/>
      <c r="P72" s="1098"/>
      <c r="Q72" s="1098"/>
      <c r="R72" s="1098"/>
      <c r="S72" s="1098"/>
      <c r="T72" s="1098"/>
    </row>
    <row r="73" spans="1:20">
      <c r="A73" s="1076">
        <f>A72+31</f>
        <v>46539</v>
      </c>
      <c r="C73" s="1082">
        <f t="shared" si="18"/>
        <v>46539</v>
      </c>
      <c r="D73" s="1079" t="str">
        <f t="shared" si="19"/>
        <v/>
      </c>
      <c r="E73" s="177" t="str">
        <f t="shared" si="20"/>
        <v/>
      </c>
      <c r="F73" s="177" t="str">
        <f t="shared" si="21"/>
        <v>Original</v>
      </c>
      <c r="G73" s="1076">
        <f t="shared" si="22"/>
        <v>45135</v>
      </c>
      <c r="H73" s="1076">
        <f t="shared" si="23"/>
        <v>46539</v>
      </c>
      <c r="M73" s="1079">
        <v>16</v>
      </c>
      <c r="N73" s="1097"/>
      <c r="O73" s="1098"/>
      <c r="P73" s="1098"/>
      <c r="Q73" s="1098"/>
      <c r="R73" s="1098"/>
      <c r="S73" s="1098"/>
      <c r="T73" s="1098"/>
    </row>
    <row r="74" spans="1:20">
      <c r="A74" s="1076">
        <f>A73+30</f>
        <v>46569</v>
      </c>
      <c r="C74" s="1082">
        <f t="shared" si="18"/>
        <v>46569</v>
      </c>
      <c r="D74" s="1079" t="str">
        <f t="shared" si="19"/>
        <v/>
      </c>
      <c r="E74" s="177" t="str">
        <f t="shared" si="20"/>
        <v/>
      </c>
      <c r="F74" s="177" t="str">
        <f t="shared" si="21"/>
        <v>Original</v>
      </c>
      <c r="G74" s="1076">
        <f t="shared" si="22"/>
        <v>45135</v>
      </c>
      <c r="H74" s="1076">
        <f t="shared" si="23"/>
        <v>46569</v>
      </c>
      <c r="M74" s="1079">
        <v>17</v>
      </c>
      <c r="N74" s="1097"/>
      <c r="O74" s="1098"/>
      <c r="P74" s="1098"/>
      <c r="Q74" s="1098"/>
      <c r="R74" s="1098"/>
      <c r="S74" s="1098"/>
      <c r="T74" s="1098"/>
    </row>
    <row r="75" spans="1:20">
      <c r="A75" s="1076">
        <f>A74+31</f>
        <v>46600</v>
      </c>
      <c r="C75" s="1082">
        <f t="shared" si="18"/>
        <v>46600</v>
      </c>
      <c r="D75" s="1079" t="str">
        <f t="shared" si="19"/>
        <v/>
      </c>
      <c r="E75" s="177" t="str">
        <f t="shared" si="20"/>
        <v/>
      </c>
      <c r="F75" s="177" t="str">
        <f t="shared" si="21"/>
        <v>Original</v>
      </c>
      <c r="G75" s="1076">
        <f t="shared" si="22"/>
        <v>45135</v>
      </c>
      <c r="H75" s="1076">
        <f t="shared" si="23"/>
        <v>46600</v>
      </c>
      <c r="M75" s="1079">
        <v>18</v>
      </c>
      <c r="N75" s="1097"/>
      <c r="O75" s="1098"/>
      <c r="P75" s="1098"/>
      <c r="Q75" s="1098"/>
      <c r="R75" s="1098"/>
      <c r="S75" s="1098"/>
      <c r="T75" s="1098"/>
    </row>
    <row r="76" spans="1:20">
      <c r="A76" s="1076">
        <f>A75+31</f>
        <v>46631</v>
      </c>
      <c r="C76" s="1082">
        <f t="shared" si="18"/>
        <v>46631</v>
      </c>
      <c r="D76" s="1079" t="str">
        <f t="shared" si="19"/>
        <v/>
      </c>
      <c r="E76" s="177" t="str">
        <f t="shared" si="20"/>
        <v/>
      </c>
      <c r="F76" s="177" t="str">
        <f t="shared" si="21"/>
        <v>Original</v>
      </c>
      <c r="G76" s="1076">
        <f t="shared" si="22"/>
        <v>45135</v>
      </c>
      <c r="H76" s="1076">
        <f t="shared" si="23"/>
        <v>46631</v>
      </c>
      <c r="M76" s="1079">
        <v>19</v>
      </c>
      <c r="N76" s="1097"/>
      <c r="O76" s="1098"/>
      <c r="P76" s="1098"/>
      <c r="Q76" s="1098"/>
      <c r="R76" s="1098"/>
      <c r="S76" s="1098"/>
      <c r="T76" s="1098"/>
    </row>
    <row r="77" spans="1:20">
      <c r="A77" s="1076">
        <f>A76+30</f>
        <v>46661</v>
      </c>
      <c r="C77" s="1082">
        <f t="shared" si="18"/>
        <v>46661</v>
      </c>
      <c r="D77" s="1079" t="str">
        <f t="shared" si="19"/>
        <v/>
      </c>
      <c r="E77" s="177" t="str">
        <f t="shared" si="20"/>
        <v/>
      </c>
      <c r="F77" s="177" t="str">
        <f t="shared" si="21"/>
        <v>Original</v>
      </c>
      <c r="G77" s="1076">
        <f t="shared" si="22"/>
        <v>45135</v>
      </c>
      <c r="H77" s="1076">
        <f t="shared" si="23"/>
        <v>46661</v>
      </c>
      <c r="M77" s="1079">
        <v>20</v>
      </c>
      <c r="N77" s="1097"/>
      <c r="O77" s="1098"/>
      <c r="P77" s="1098"/>
      <c r="Q77" s="1098"/>
      <c r="R77" s="1098"/>
      <c r="S77" s="1098"/>
      <c r="T77" s="1098"/>
    </row>
    <row r="78" spans="1:20">
      <c r="A78" s="1076">
        <f>A77+31</f>
        <v>46692</v>
      </c>
      <c r="C78" s="1082">
        <f t="shared" si="18"/>
        <v>46692</v>
      </c>
      <c r="D78" s="1079" t="str">
        <f t="shared" si="19"/>
        <v/>
      </c>
      <c r="E78" s="177" t="str">
        <f t="shared" si="20"/>
        <v/>
      </c>
      <c r="F78" s="177" t="str">
        <f t="shared" si="21"/>
        <v>Original</v>
      </c>
      <c r="G78" s="1076">
        <f t="shared" si="22"/>
        <v>45135</v>
      </c>
      <c r="H78" s="1076">
        <f t="shared" si="23"/>
        <v>46692</v>
      </c>
      <c r="M78" s="1079">
        <v>21</v>
      </c>
      <c r="N78" s="1097"/>
      <c r="O78" s="1098"/>
      <c r="P78" s="1098"/>
      <c r="Q78" s="1098"/>
      <c r="R78" s="1098"/>
      <c r="S78" s="1098"/>
      <c r="T78" s="1098"/>
    </row>
    <row r="79" spans="1:20">
      <c r="A79" s="1076">
        <f>A78+30</f>
        <v>46722</v>
      </c>
      <c r="C79" s="1082">
        <f t="shared" si="18"/>
        <v>46722</v>
      </c>
      <c r="D79" s="1079" t="str">
        <f t="shared" si="19"/>
        <v/>
      </c>
      <c r="E79" s="177" t="str">
        <f t="shared" si="20"/>
        <v/>
      </c>
      <c r="F79" s="177" t="str">
        <f t="shared" si="21"/>
        <v>Original</v>
      </c>
      <c r="G79" s="1076">
        <f t="shared" si="22"/>
        <v>45135</v>
      </c>
      <c r="H79" s="1076">
        <f t="shared" si="23"/>
        <v>46722</v>
      </c>
      <c r="M79" s="1079">
        <v>22</v>
      </c>
      <c r="N79" s="1097"/>
      <c r="O79" s="1098"/>
      <c r="P79" s="1098"/>
      <c r="Q79" s="1098"/>
      <c r="R79" s="1098"/>
      <c r="S79" s="1098"/>
      <c r="T79" s="1098"/>
    </row>
    <row r="80" spans="1:20">
      <c r="A80" s="1076">
        <f>A79+31</f>
        <v>46753</v>
      </c>
      <c r="C80" s="1082">
        <f t="shared" si="18"/>
        <v>46753</v>
      </c>
      <c r="D80" s="1079" t="str">
        <f t="shared" si="19"/>
        <v/>
      </c>
      <c r="E80" s="177" t="str">
        <f t="shared" si="20"/>
        <v/>
      </c>
      <c r="F80" s="177" t="str">
        <f t="shared" si="21"/>
        <v>Original</v>
      </c>
      <c r="G80" s="1076">
        <f t="shared" si="22"/>
        <v>45135</v>
      </c>
      <c r="H80" s="1076">
        <f t="shared" si="23"/>
        <v>46753</v>
      </c>
      <c r="M80" s="1079">
        <v>23</v>
      </c>
      <c r="N80" s="1097"/>
      <c r="O80" s="1098"/>
      <c r="P80" s="1098"/>
      <c r="Q80" s="1098"/>
      <c r="R80" s="1098"/>
      <c r="S80" s="1098"/>
      <c r="T80" s="1098"/>
    </row>
    <row r="81" spans="1:20">
      <c r="A81" s="1076">
        <f>A80+31</f>
        <v>46784</v>
      </c>
      <c r="B81" s="177" t="b">
        <f>ISNA(VLOOKUP(A81,$E$4:$E$13,1,FALSE))</f>
        <v>0</v>
      </c>
      <c r="C81" s="1082">
        <f t="shared" si="18"/>
        <v>46784</v>
      </c>
      <c r="D81" s="1079" t="str">
        <f t="shared" si="19"/>
        <v/>
      </c>
      <c r="E81" s="177" t="str">
        <f t="shared" si="20"/>
        <v/>
      </c>
      <c r="F81" s="177" t="str">
        <f t="shared" si="21"/>
        <v>Original</v>
      </c>
      <c r="G81" s="1076">
        <f t="shared" si="22"/>
        <v>45135</v>
      </c>
      <c r="H81" s="1076">
        <f t="shared" si="23"/>
        <v>46784</v>
      </c>
      <c r="M81" s="1079">
        <v>24</v>
      </c>
      <c r="N81" s="1097"/>
      <c r="O81" s="1098"/>
      <c r="P81" s="1098"/>
      <c r="Q81" s="1098"/>
      <c r="R81" s="1098"/>
      <c r="S81" s="1098"/>
      <c r="T81" s="1098"/>
    </row>
    <row r="82" spans="1:20">
      <c r="A82" s="1076">
        <f>IF(B81=TRUE,(A81+28),(A81+29))</f>
        <v>46813</v>
      </c>
      <c r="C82" s="1082">
        <f t="shared" si="18"/>
        <v>46813</v>
      </c>
      <c r="D82" s="1079" t="str">
        <f t="shared" si="19"/>
        <v/>
      </c>
      <c r="E82" s="177" t="str">
        <f t="shared" si="20"/>
        <v/>
      </c>
      <c r="F82" s="177" t="str">
        <f t="shared" si="21"/>
        <v>Original</v>
      </c>
      <c r="G82" s="1076">
        <f t="shared" si="22"/>
        <v>45135</v>
      </c>
      <c r="H82" s="1076">
        <f t="shared" si="23"/>
        <v>46813</v>
      </c>
      <c r="M82" s="1079">
        <v>25</v>
      </c>
      <c r="N82" s="1097"/>
      <c r="O82" s="1098"/>
      <c r="P82" s="1098"/>
      <c r="Q82" s="1098"/>
      <c r="R82" s="1098"/>
      <c r="S82" s="1098"/>
      <c r="T82" s="1098"/>
    </row>
    <row r="83" spans="1:20">
      <c r="A83" s="1076">
        <f>A82+31</f>
        <v>46844</v>
      </c>
      <c r="C83" s="1082">
        <f t="shared" si="18"/>
        <v>46844</v>
      </c>
      <c r="D83" s="1079" t="str">
        <f t="shared" si="19"/>
        <v/>
      </c>
      <c r="E83" s="177" t="str">
        <f t="shared" si="20"/>
        <v/>
      </c>
      <c r="F83" s="177" t="str">
        <f t="shared" si="21"/>
        <v>Original</v>
      </c>
      <c r="G83" s="1076">
        <f t="shared" si="22"/>
        <v>45135</v>
      </c>
      <c r="H83" s="1076">
        <f t="shared" si="23"/>
        <v>46844</v>
      </c>
      <c r="M83" s="1079">
        <v>26</v>
      </c>
      <c r="N83" s="1097"/>
      <c r="O83" s="1098"/>
      <c r="P83" s="1098"/>
      <c r="Q83" s="1098"/>
      <c r="R83" s="1098"/>
      <c r="S83" s="1098"/>
      <c r="T83" s="1098"/>
    </row>
    <row r="84" spans="1:20">
      <c r="A84" s="1076">
        <f>A83+30</f>
        <v>46874</v>
      </c>
      <c r="C84" s="1082">
        <f t="shared" si="18"/>
        <v>46874</v>
      </c>
      <c r="D84" s="1079" t="str">
        <f t="shared" si="19"/>
        <v/>
      </c>
      <c r="E84" s="177" t="str">
        <f t="shared" si="20"/>
        <v/>
      </c>
      <c r="F84" s="177" t="str">
        <f t="shared" si="21"/>
        <v>Original</v>
      </c>
      <c r="G84" s="1076">
        <f t="shared" si="22"/>
        <v>45135</v>
      </c>
      <c r="H84" s="1076">
        <f t="shared" si="23"/>
        <v>46874</v>
      </c>
      <c r="M84" s="1079">
        <v>27</v>
      </c>
      <c r="N84" s="1097"/>
      <c r="O84" s="1098"/>
      <c r="P84" s="1098"/>
      <c r="Q84" s="1098"/>
      <c r="R84" s="1098"/>
      <c r="S84" s="1098"/>
      <c r="T84" s="1098"/>
    </row>
    <row r="85" spans="1:20">
      <c r="A85" s="1076">
        <f>A84+31</f>
        <v>46905</v>
      </c>
      <c r="C85" s="1082">
        <f t="shared" ref="C85:C148" si="45">A85</f>
        <v>46905</v>
      </c>
      <c r="D85" s="1079" t="str">
        <f t="shared" ref="D85:D148" si="46">IF(($P$23-C85)&lt;0,"",($P$23-C85))</f>
        <v/>
      </c>
      <c r="E85" s="177" t="str">
        <f t="shared" ref="E85:E148" si="47">IF(D85="","",RANK(D85,$D$20:$D$215,1))</f>
        <v/>
      </c>
      <c r="F85" s="177" t="str">
        <f t="shared" ref="F85:F148" si="48">IF(A85&lt;$L$37,$K$36,IF(A85&lt;$L$38,$K$37,IF(A85&lt;$L$39,$K$38,IF(A85&lt;$L$40,$K$39,IF(A85&lt;$L$41,$K$40,$K$41)))))</f>
        <v>Original</v>
      </c>
      <c r="G85" s="1076">
        <f t="shared" ref="G85:G148" si="49">VLOOKUP(F85,$K$36:$L$41,2,FALSE)</f>
        <v>45135</v>
      </c>
      <c r="H85" s="1076">
        <f t="shared" ref="H85:H148" si="50">A85</f>
        <v>46905</v>
      </c>
      <c r="M85" s="1079">
        <v>28</v>
      </c>
      <c r="N85" s="1097"/>
      <c r="O85" s="1098"/>
      <c r="P85" s="1098"/>
      <c r="Q85" s="1098"/>
      <c r="R85" s="1098"/>
      <c r="S85" s="1098"/>
      <c r="T85" s="1098"/>
    </row>
    <row r="86" spans="1:20">
      <c r="A86" s="1076">
        <f>A85+30</f>
        <v>46935</v>
      </c>
      <c r="C86" s="1082">
        <f t="shared" si="45"/>
        <v>46935</v>
      </c>
      <c r="D86" s="1079" t="str">
        <f t="shared" si="46"/>
        <v/>
      </c>
      <c r="E86" s="177" t="str">
        <f t="shared" si="47"/>
        <v/>
      </c>
      <c r="F86" s="177" t="str">
        <f t="shared" si="48"/>
        <v>Original</v>
      </c>
      <c r="G86" s="1076">
        <f t="shared" si="49"/>
        <v>45135</v>
      </c>
      <c r="H86" s="1076">
        <f t="shared" si="50"/>
        <v>46935</v>
      </c>
      <c r="M86" s="1079">
        <v>29</v>
      </c>
      <c r="N86" s="1097"/>
      <c r="O86" s="1098"/>
      <c r="P86" s="1098"/>
      <c r="Q86" s="1098"/>
      <c r="R86" s="1098"/>
      <c r="S86" s="1098"/>
      <c r="T86" s="1098"/>
    </row>
    <row r="87" spans="1:20">
      <c r="A87" s="1076">
        <f>A86+31</f>
        <v>46966</v>
      </c>
      <c r="C87" s="1082">
        <f t="shared" si="45"/>
        <v>46966</v>
      </c>
      <c r="D87" s="1079" t="str">
        <f t="shared" si="46"/>
        <v/>
      </c>
      <c r="E87" s="177" t="str">
        <f t="shared" si="47"/>
        <v/>
      </c>
      <c r="F87" s="177" t="str">
        <f t="shared" si="48"/>
        <v>Original</v>
      </c>
      <c r="G87" s="1076">
        <f t="shared" si="49"/>
        <v>45135</v>
      </c>
      <c r="H87" s="1076">
        <f t="shared" si="50"/>
        <v>46966</v>
      </c>
      <c r="M87" s="1079">
        <v>30</v>
      </c>
      <c r="N87" s="1097"/>
      <c r="O87" s="1098"/>
      <c r="P87" s="1098"/>
      <c r="Q87" s="1098"/>
      <c r="R87" s="1098"/>
      <c r="S87" s="1098"/>
      <c r="T87" s="1098"/>
    </row>
    <row r="88" spans="1:20">
      <c r="A88" s="1076">
        <f>A87+31</f>
        <v>46997</v>
      </c>
      <c r="C88" s="1082">
        <f t="shared" si="45"/>
        <v>46997</v>
      </c>
      <c r="D88" s="1079" t="str">
        <f t="shared" si="46"/>
        <v/>
      </c>
      <c r="E88" s="177" t="str">
        <f t="shared" si="47"/>
        <v/>
      </c>
      <c r="F88" s="177" t="str">
        <f t="shared" si="48"/>
        <v>Original</v>
      </c>
      <c r="G88" s="1076">
        <f t="shared" si="49"/>
        <v>45135</v>
      </c>
      <c r="H88" s="1076">
        <f t="shared" si="50"/>
        <v>46997</v>
      </c>
      <c r="M88" s="1079">
        <v>31</v>
      </c>
      <c r="N88" s="1097"/>
      <c r="O88" s="1098"/>
      <c r="P88" s="1098"/>
      <c r="Q88" s="1098"/>
      <c r="R88" s="1098"/>
      <c r="S88" s="1098"/>
      <c r="T88" s="1098"/>
    </row>
    <row r="89" spans="1:20">
      <c r="A89" s="1076">
        <f>A88+30</f>
        <v>47027</v>
      </c>
      <c r="C89" s="1082">
        <f t="shared" si="45"/>
        <v>47027</v>
      </c>
      <c r="D89" s="1079" t="str">
        <f t="shared" si="46"/>
        <v/>
      </c>
      <c r="E89" s="177" t="str">
        <f t="shared" si="47"/>
        <v/>
      </c>
      <c r="F89" s="177" t="str">
        <f t="shared" si="48"/>
        <v>Original</v>
      </c>
      <c r="G89" s="1076">
        <f t="shared" si="49"/>
        <v>45135</v>
      </c>
      <c r="H89" s="1076">
        <f t="shared" si="50"/>
        <v>47027</v>
      </c>
      <c r="M89" s="1079">
        <v>32</v>
      </c>
      <c r="N89" s="1097"/>
      <c r="O89" s="1098"/>
      <c r="P89" s="1098"/>
      <c r="Q89" s="1098"/>
      <c r="R89" s="1098"/>
      <c r="S89" s="1098"/>
      <c r="T89" s="1098"/>
    </row>
    <row r="90" spans="1:20">
      <c r="A90" s="1076">
        <f>A89+31</f>
        <v>47058</v>
      </c>
      <c r="C90" s="1082">
        <f t="shared" si="45"/>
        <v>47058</v>
      </c>
      <c r="D90" s="1079" t="str">
        <f t="shared" si="46"/>
        <v/>
      </c>
      <c r="E90" s="177" t="str">
        <f t="shared" si="47"/>
        <v/>
      </c>
      <c r="F90" s="177" t="str">
        <f t="shared" si="48"/>
        <v>Original</v>
      </c>
      <c r="G90" s="1076">
        <f t="shared" si="49"/>
        <v>45135</v>
      </c>
      <c r="H90" s="1076">
        <f t="shared" si="50"/>
        <v>47058</v>
      </c>
      <c r="M90" s="1079">
        <v>33</v>
      </c>
      <c r="N90" s="1097"/>
      <c r="O90" s="1098"/>
      <c r="P90" s="1098"/>
      <c r="Q90" s="1098"/>
      <c r="R90" s="1098"/>
      <c r="S90" s="1098"/>
      <c r="T90" s="1098"/>
    </row>
    <row r="91" spans="1:20">
      <c r="A91" s="1076">
        <f>A90+30</f>
        <v>47088</v>
      </c>
      <c r="C91" s="1082">
        <f t="shared" si="45"/>
        <v>47088</v>
      </c>
      <c r="D91" s="1079" t="str">
        <f t="shared" si="46"/>
        <v/>
      </c>
      <c r="E91" s="177" t="str">
        <f t="shared" si="47"/>
        <v/>
      </c>
      <c r="F91" s="177" t="str">
        <f t="shared" si="48"/>
        <v>Original</v>
      </c>
      <c r="G91" s="1076">
        <f t="shared" si="49"/>
        <v>45135</v>
      </c>
      <c r="H91" s="1076">
        <f t="shared" si="50"/>
        <v>47088</v>
      </c>
      <c r="M91" s="1079">
        <v>34</v>
      </c>
      <c r="N91" s="1097"/>
      <c r="O91" s="1098"/>
      <c r="P91" s="1098"/>
      <c r="Q91" s="1098"/>
      <c r="R91" s="1098"/>
      <c r="S91" s="1098"/>
      <c r="T91" s="1098"/>
    </row>
    <row r="92" spans="1:20">
      <c r="A92" s="1076">
        <f>A91+31</f>
        <v>47119</v>
      </c>
      <c r="C92" s="1082">
        <f t="shared" si="45"/>
        <v>47119</v>
      </c>
      <c r="D92" s="1079" t="str">
        <f t="shared" si="46"/>
        <v/>
      </c>
      <c r="E92" s="177" t="str">
        <f t="shared" si="47"/>
        <v/>
      </c>
      <c r="F92" s="177" t="str">
        <f t="shared" si="48"/>
        <v>Original</v>
      </c>
      <c r="G92" s="1076">
        <f t="shared" si="49"/>
        <v>45135</v>
      </c>
      <c r="H92" s="1076">
        <f t="shared" si="50"/>
        <v>47119</v>
      </c>
      <c r="M92" s="1079">
        <v>35</v>
      </c>
      <c r="N92" s="1097"/>
      <c r="O92" s="1098"/>
      <c r="P92" s="1098"/>
      <c r="Q92" s="1098"/>
      <c r="R92" s="1098"/>
      <c r="S92" s="1098"/>
      <c r="T92" s="1098"/>
    </row>
    <row r="93" spans="1:20">
      <c r="A93" s="1076">
        <f>A92+31</f>
        <v>47150</v>
      </c>
      <c r="B93" s="177" t="b">
        <f>ISNA(VLOOKUP(A93,$E$4:$E$13,1,FALSE))</f>
        <v>1</v>
      </c>
      <c r="C93" s="1082">
        <f t="shared" si="45"/>
        <v>47150</v>
      </c>
      <c r="D93" s="1079" t="str">
        <f t="shared" si="46"/>
        <v/>
      </c>
      <c r="E93" s="177" t="str">
        <f t="shared" si="47"/>
        <v/>
      </c>
      <c r="F93" s="177" t="str">
        <f t="shared" si="48"/>
        <v>Original</v>
      </c>
      <c r="G93" s="1076">
        <f t="shared" si="49"/>
        <v>45135</v>
      </c>
      <c r="H93" s="1076">
        <f t="shared" si="50"/>
        <v>47150</v>
      </c>
      <c r="M93" s="1079">
        <v>36</v>
      </c>
      <c r="N93" s="1097"/>
      <c r="O93" s="1098"/>
      <c r="P93" s="1098"/>
      <c r="Q93" s="1098"/>
      <c r="R93" s="1098"/>
      <c r="S93" s="1098"/>
      <c r="T93" s="1098"/>
    </row>
    <row r="94" spans="1:20">
      <c r="A94" s="1076">
        <f>IF(B93=TRUE,(A93+28),(A93+29))</f>
        <v>47178</v>
      </c>
      <c r="C94" s="1082">
        <f t="shared" si="45"/>
        <v>47178</v>
      </c>
      <c r="D94" s="1079" t="str">
        <f t="shared" si="46"/>
        <v/>
      </c>
      <c r="E94" s="177" t="str">
        <f t="shared" si="47"/>
        <v/>
      </c>
      <c r="F94" s="177" t="str">
        <f t="shared" si="48"/>
        <v>Original</v>
      </c>
      <c r="G94" s="1076">
        <f t="shared" si="49"/>
        <v>45135</v>
      </c>
      <c r="H94" s="1076">
        <f t="shared" si="50"/>
        <v>47178</v>
      </c>
      <c r="M94" s="1079">
        <v>37</v>
      </c>
      <c r="N94" s="1097"/>
      <c r="O94" s="1098"/>
      <c r="P94" s="1098"/>
      <c r="Q94" s="1098"/>
      <c r="R94" s="1098"/>
      <c r="S94" s="1098"/>
      <c r="T94" s="1098"/>
    </row>
    <row r="95" spans="1:20">
      <c r="A95" s="1076">
        <f>A94+31</f>
        <v>47209</v>
      </c>
      <c r="C95" s="1082">
        <f t="shared" si="45"/>
        <v>47209</v>
      </c>
      <c r="D95" s="1079" t="str">
        <f t="shared" si="46"/>
        <v/>
      </c>
      <c r="E95" s="177" t="str">
        <f t="shared" si="47"/>
        <v/>
      </c>
      <c r="F95" s="177" t="str">
        <f t="shared" si="48"/>
        <v>Original</v>
      </c>
      <c r="G95" s="1076">
        <f t="shared" si="49"/>
        <v>45135</v>
      </c>
      <c r="H95" s="1076">
        <f t="shared" si="50"/>
        <v>47209</v>
      </c>
      <c r="M95" s="1079">
        <v>38</v>
      </c>
      <c r="N95" s="1097"/>
      <c r="O95" s="1098"/>
      <c r="P95" s="1098"/>
      <c r="Q95" s="1098"/>
      <c r="R95" s="1098"/>
      <c r="S95" s="1098"/>
      <c r="T95" s="1098"/>
    </row>
    <row r="96" spans="1:20">
      <c r="A96" s="1076">
        <f>A95+30</f>
        <v>47239</v>
      </c>
      <c r="C96" s="1082">
        <f t="shared" si="45"/>
        <v>47239</v>
      </c>
      <c r="D96" s="1079" t="str">
        <f t="shared" si="46"/>
        <v/>
      </c>
      <c r="E96" s="177" t="str">
        <f t="shared" si="47"/>
        <v/>
      </c>
      <c r="F96" s="177" t="str">
        <f t="shared" si="48"/>
        <v>Original</v>
      </c>
      <c r="G96" s="1076">
        <f t="shared" si="49"/>
        <v>45135</v>
      </c>
      <c r="H96" s="1076">
        <f t="shared" si="50"/>
        <v>47239</v>
      </c>
      <c r="M96" s="1079">
        <v>39</v>
      </c>
      <c r="N96" s="1097"/>
      <c r="O96" s="1098"/>
      <c r="P96" s="1098"/>
      <c r="Q96" s="1098"/>
      <c r="R96" s="1098"/>
      <c r="S96" s="1098"/>
      <c r="T96" s="1098"/>
    </row>
    <row r="97" spans="1:20">
      <c r="A97" s="1076">
        <f>A96+31</f>
        <v>47270</v>
      </c>
      <c r="C97" s="1082">
        <f t="shared" si="45"/>
        <v>47270</v>
      </c>
      <c r="D97" s="1079" t="str">
        <f t="shared" si="46"/>
        <v/>
      </c>
      <c r="E97" s="177" t="str">
        <f t="shared" si="47"/>
        <v/>
      </c>
      <c r="F97" s="177" t="str">
        <f t="shared" si="48"/>
        <v>Original</v>
      </c>
      <c r="G97" s="1076">
        <f t="shared" si="49"/>
        <v>45135</v>
      </c>
      <c r="H97" s="1076">
        <f t="shared" si="50"/>
        <v>47270</v>
      </c>
      <c r="M97" s="1079">
        <v>40</v>
      </c>
      <c r="N97" s="1097"/>
      <c r="O97" s="1098"/>
      <c r="P97" s="1098"/>
      <c r="Q97" s="1098"/>
      <c r="R97" s="1098"/>
      <c r="S97" s="1098"/>
      <c r="T97" s="1098"/>
    </row>
    <row r="98" spans="1:20">
      <c r="A98" s="1076">
        <f>A97+30</f>
        <v>47300</v>
      </c>
      <c r="C98" s="1082">
        <f t="shared" si="45"/>
        <v>47300</v>
      </c>
      <c r="D98" s="1079" t="str">
        <f t="shared" si="46"/>
        <v/>
      </c>
      <c r="E98" s="177" t="str">
        <f t="shared" si="47"/>
        <v/>
      </c>
      <c r="F98" s="177" t="str">
        <f t="shared" si="48"/>
        <v>Original</v>
      </c>
      <c r="G98" s="1076">
        <f t="shared" si="49"/>
        <v>45135</v>
      </c>
      <c r="H98" s="1076">
        <f t="shared" si="50"/>
        <v>47300</v>
      </c>
      <c r="M98" s="1079">
        <v>41</v>
      </c>
      <c r="N98" s="1097"/>
      <c r="O98" s="1098"/>
      <c r="P98" s="1098"/>
      <c r="Q98" s="1098"/>
      <c r="R98" s="1098"/>
      <c r="S98" s="1098"/>
      <c r="T98" s="1098"/>
    </row>
    <row r="99" spans="1:20">
      <c r="A99" s="1076">
        <f>A98+31</f>
        <v>47331</v>
      </c>
      <c r="C99" s="1082">
        <f t="shared" si="45"/>
        <v>47331</v>
      </c>
      <c r="D99" s="1079" t="str">
        <f t="shared" si="46"/>
        <v/>
      </c>
      <c r="E99" s="177" t="str">
        <f t="shared" si="47"/>
        <v/>
      </c>
      <c r="F99" s="177" t="str">
        <f t="shared" si="48"/>
        <v>Original</v>
      </c>
      <c r="G99" s="1076">
        <f t="shared" si="49"/>
        <v>45135</v>
      </c>
      <c r="H99" s="1076">
        <f t="shared" si="50"/>
        <v>47331</v>
      </c>
      <c r="M99" s="1079">
        <v>42</v>
      </c>
      <c r="N99" s="1097"/>
      <c r="O99" s="1098"/>
      <c r="P99" s="1098"/>
      <c r="Q99" s="1098"/>
      <c r="R99" s="1098"/>
      <c r="S99" s="1098"/>
      <c r="T99" s="1098"/>
    </row>
    <row r="100" spans="1:20">
      <c r="A100" s="1076">
        <f>A99+31</f>
        <v>47362</v>
      </c>
      <c r="C100" s="1082">
        <f t="shared" si="45"/>
        <v>47362</v>
      </c>
      <c r="D100" s="1079" t="str">
        <f t="shared" si="46"/>
        <v/>
      </c>
      <c r="E100" s="177" t="str">
        <f t="shared" si="47"/>
        <v/>
      </c>
      <c r="F100" s="177" t="str">
        <f t="shared" si="48"/>
        <v>Original</v>
      </c>
      <c r="G100" s="1076">
        <f t="shared" si="49"/>
        <v>45135</v>
      </c>
      <c r="H100" s="1076">
        <f t="shared" si="50"/>
        <v>47362</v>
      </c>
      <c r="M100" s="1079">
        <v>43</v>
      </c>
      <c r="N100" s="1097"/>
      <c r="O100" s="1098"/>
      <c r="P100" s="1098"/>
      <c r="Q100" s="1098"/>
      <c r="R100" s="1098"/>
      <c r="S100" s="1098"/>
      <c r="T100" s="1098"/>
    </row>
    <row r="101" spans="1:20">
      <c r="A101" s="1076">
        <f>A100+30</f>
        <v>47392</v>
      </c>
      <c r="C101" s="1082">
        <f t="shared" si="45"/>
        <v>47392</v>
      </c>
      <c r="D101" s="1079" t="str">
        <f t="shared" si="46"/>
        <v/>
      </c>
      <c r="E101" s="177" t="str">
        <f t="shared" si="47"/>
        <v/>
      </c>
      <c r="F101" s="177" t="str">
        <f t="shared" si="48"/>
        <v>Original</v>
      </c>
      <c r="G101" s="1076">
        <f t="shared" si="49"/>
        <v>45135</v>
      </c>
      <c r="H101" s="1076">
        <f t="shared" si="50"/>
        <v>47392</v>
      </c>
      <c r="M101" s="1079">
        <v>44</v>
      </c>
      <c r="N101" s="1097"/>
      <c r="O101" s="1098"/>
      <c r="P101" s="1098"/>
      <c r="Q101" s="1098"/>
      <c r="R101" s="1098"/>
      <c r="S101" s="1098"/>
      <c r="T101" s="1098"/>
    </row>
    <row r="102" spans="1:20">
      <c r="A102" s="1076">
        <f>A101+31</f>
        <v>47423</v>
      </c>
      <c r="C102" s="1082">
        <f t="shared" si="45"/>
        <v>47423</v>
      </c>
      <c r="D102" s="1079" t="str">
        <f t="shared" si="46"/>
        <v/>
      </c>
      <c r="E102" s="177" t="str">
        <f t="shared" si="47"/>
        <v/>
      </c>
      <c r="F102" s="177" t="str">
        <f t="shared" si="48"/>
        <v>Original</v>
      </c>
      <c r="G102" s="1076">
        <f t="shared" si="49"/>
        <v>45135</v>
      </c>
      <c r="H102" s="1076">
        <f t="shared" si="50"/>
        <v>47423</v>
      </c>
      <c r="M102" s="1079">
        <v>45</v>
      </c>
      <c r="N102" s="1097"/>
      <c r="O102" s="1098"/>
      <c r="P102" s="1098"/>
      <c r="Q102" s="1098"/>
      <c r="R102" s="1098"/>
      <c r="S102" s="1098"/>
      <c r="T102" s="1098"/>
    </row>
    <row r="103" spans="1:20">
      <c r="A103" s="1076">
        <f>A102+30</f>
        <v>47453</v>
      </c>
      <c r="C103" s="1082">
        <f t="shared" si="45"/>
        <v>47453</v>
      </c>
      <c r="D103" s="1079" t="str">
        <f t="shared" si="46"/>
        <v/>
      </c>
      <c r="E103" s="177" t="str">
        <f t="shared" si="47"/>
        <v/>
      </c>
      <c r="F103" s="177" t="str">
        <f t="shared" si="48"/>
        <v>Original</v>
      </c>
      <c r="G103" s="1076">
        <f t="shared" si="49"/>
        <v>45135</v>
      </c>
      <c r="H103" s="1076">
        <f t="shared" si="50"/>
        <v>47453</v>
      </c>
      <c r="M103" s="1079">
        <v>46</v>
      </c>
      <c r="N103" s="1097"/>
      <c r="O103" s="1098"/>
      <c r="P103" s="1098"/>
      <c r="Q103" s="1098"/>
      <c r="R103" s="1098"/>
      <c r="S103" s="1098"/>
      <c r="T103" s="1098"/>
    </row>
    <row r="104" spans="1:20">
      <c r="A104" s="1076">
        <f>A103+31</f>
        <v>47484</v>
      </c>
      <c r="C104" s="1082">
        <f t="shared" si="45"/>
        <v>47484</v>
      </c>
      <c r="D104" s="1079" t="str">
        <f t="shared" si="46"/>
        <v/>
      </c>
      <c r="E104" s="177" t="str">
        <f t="shared" si="47"/>
        <v/>
      </c>
      <c r="F104" s="177" t="str">
        <f t="shared" si="48"/>
        <v>Original</v>
      </c>
      <c r="G104" s="1076">
        <f t="shared" si="49"/>
        <v>45135</v>
      </c>
      <c r="H104" s="1076">
        <f t="shared" si="50"/>
        <v>47484</v>
      </c>
      <c r="M104" s="1079">
        <v>47</v>
      </c>
      <c r="N104" s="1097"/>
      <c r="O104" s="1098"/>
      <c r="P104" s="1098"/>
      <c r="Q104" s="1098"/>
      <c r="R104" s="1098"/>
      <c r="S104" s="1098"/>
      <c r="T104" s="1098"/>
    </row>
    <row r="105" spans="1:20">
      <c r="A105" s="1076">
        <f>A104+31</f>
        <v>47515</v>
      </c>
      <c r="B105" s="177" t="b">
        <f>ISNA(VLOOKUP(A105,$E$4:$E$13,1,FALSE))</f>
        <v>1</v>
      </c>
      <c r="C105" s="1082">
        <f t="shared" si="45"/>
        <v>47515</v>
      </c>
      <c r="D105" s="1079" t="str">
        <f t="shared" si="46"/>
        <v/>
      </c>
      <c r="E105" s="177" t="str">
        <f t="shared" si="47"/>
        <v/>
      </c>
      <c r="F105" s="177" t="str">
        <f t="shared" si="48"/>
        <v>Original</v>
      </c>
      <c r="G105" s="1076">
        <f t="shared" si="49"/>
        <v>45135</v>
      </c>
      <c r="H105" s="1076">
        <f t="shared" si="50"/>
        <v>47515</v>
      </c>
      <c r="M105" s="1079">
        <v>48</v>
      </c>
      <c r="N105" s="1097"/>
      <c r="O105" s="1098"/>
      <c r="P105" s="1098"/>
      <c r="Q105" s="1098"/>
      <c r="R105" s="1098"/>
      <c r="S105" s="1098"/>
      <c r="T105" s="1098"/>
    </row>
    <row r="106" spans="1:20">
      <c r="A106" s="1076">
        <f>IF(B105=TRUE,(A105+28),(A105+29))</f>
        <v>47543</v>
      </c>
      <c r="C106" s="1082">
        <f t="shared" si="45"/>
        <v>47543</v>
      </c>
      <c r="D106" s="1079" t="str">
        <f t="shared" si="46"/>
        <v/>
      </c>
      <c r="E106" s="177" t="str">
        <f t="shared" si="47"/>
        <v/>
      </c>
      <c r="F106" s="177" t="str">
        <f t="shared" si="48"/>
        <v>Original</v>
      </c>
      <c r="G106" s="1076">
        <f t="shared" si="49"/>
        <v>45135</v>
      </c>
      <c r="H106" s="1076">
        <f t="shared" si="50"/>
        <v>47543</v>
      </c>
      <c r="M106" s="1079">
        <v>49</v>
      </c>
      <c r="N106" s="1097"/>
      <c r="O106" s="1098"/>
      <c r="P106" s="1098"/>
      <c r="Q106" s="1098"/>
      <c r="R106" s="1098"/>
      <c r="S106" s="1098"/>
      <c r="T106" s="1098"/>
    </row>
    <row r="107" spans="1:20">
      <c r="A107" s="1076">
        <f>A106+31</f>
        <v>47574</v>
      </c>
      <c r="C107" s="1082">
        <f t="shared" si="45"/>
        <v>47574</v>
      </c>
      <c r="D107" s="1079" t="str">
        <f t="shared" si="46"/>
        <v/>
      </c>
      <c r="E107" s="177" t="str">
        <f t="shared" si="47"/>
        <v/>
      </c>
      <c r="F107" s="177" t="str">
        <f t="shared" si="48"/>
        <v>Original</v>
      </c>
      <c r="G107" s="1076">
        <f t="shared" si="49"/>
        <v>45135</v>
      </c>
      <c r="H107" s="1076">
        <f t="shared" si="50"/>
        <v>47574</v>
      </c>
      <c r="M107" s="1079">
        <v>50</v>
      </c>
      <c r="N107" s="1097"/>
      <c r="O107" s="1098"/>
      <c r="P107" s="1098"/>
      <c r="Q107" s="1098"/>
      <c r="R107" s="1098"/>
      <c r="S107" s="1098"/>
      <c r="T107" s="1098"/>
    </row>
    <row r="108" spans="1:20">
      <c r="A108" s="1076">
        <f>A107+30</f>
        <v>47604</v>
      </c>
      <c r="C108" s="1082">
        <f t="shared" si="45"/>
        <v>47604</v>
      </c>
      <c r="D108" s="1079" t="str">
        <f t="shared" si="46"/>
        <v/>
      </c>
      <c r="E108" s="177" t="str">
        <f t="shared" si="47"/>
        <v/>
      </c>
      <c r="F108" s="177" t="str">
        <f t="shared" si="48"/>
        <v>Original</v>
      </c>
      <c r="G108" s="1076">
        <f t="shared" si="49"/>
        <v>45135</v>
      </c>
      <c r="H108" s="1076">
        <f t="shared" si="50"/>
        <v>47604</v>
      </c>
      <c r="M108" s="1079">
        <v>51</v>
      </c>
      <c r="N108" s="1097"/>
      <c r="O108" s="1098"/>
      <c r="P108" s="1098"/>
      <c r="Q108" s="1098"/>
      <c r="R108" s="1098"/>
      <c r="S108" s="1098"/>
      <c r="T108" s="1098"/>
    </row>
    <row r="109" spans="1:20">
      <c r="A109" s="1076">
        <f>A108+31</f>
        <v>47635</v>
      </c>
      <c r="C109" s="1082">
        <f t="shared" si="45"/>
        <v>47635</v>
      </c>
      <c r="D109" s="1079" t="str">
        <f t="shared" si="46"/>
        <v/>
      </c>
      <c r="E109" s="177" t="str">
        <f t="shared" si="47"/>
        <v/>
      </c>
      <c r="F109" s="177" t="str">
        <f t="shared" si="48"/>
        <v>Original</v>
      </c>
      <c r="G109" s="1076">
        <f t="shared" si="49"/>
        <v>45135</v>
      </c>
      <c r="H109" s="1076">
        <f t="shared" si="50"/>
        <v>47635</v>
      </c>
      <c r="M109" s="1079">
        <v>52</v>
      </c>
      <c r="N109" s="1097"/>
      <c r="O109" s="1098"/>
      <c r="P109" s="1098"/>
      <c r="Q109" s="1098"/>
      <c r="R109" s="1098"/>
      <c r="S109" s="1098"/>
      <c r="T109" s="1098"/>
    </row>
    <row r="110" spans="1:20">
      <c r="A110" s="1076">
        <f>A109+30</f>
        <v>47665</v>
      </c>
      <c r="C110" s="1082">
        <f t="shared" si="45"/>
        <v>47665</v>
      </c>
      <c r="D110" s="1079" t="str">
        <f t="shared" si="46"/>
        <v/>
      </c>
      <c r="E110" s="177" t="str">
        <f t="shared" si="47"/>
        <v/>
      </c>
      <c r="F110" s="177" t="str">
        <f t="shared" si="48"/>
        <v>Original</v>
      </c>
      <c r="G110" s="1076">
        <f t="shared" si="49"/>
        <v>45135</v>
      </c>
      <c r="H110" s="1076">
        <f t="shared" si="50"/>
        <v>47665</v>
      </c>
      <c r="M110" s="1079">
        <v>53</v>
      </c>
      <c r="N110" s="1097"/>
      <c r="O110" s="1098"/>
      <c r="P110" s="1098"/>
      <c r="Q110" s="1098"/>
      <c r="R110" s="1098"/>
      <c r="S110" s="1098"/>
      <c r="T110" s="1098"/>
    </row>
    <row r="111" spans="1:20">
      <c r="A111" s="1076">
        <f>A110+31</f>
        <v>47696</v>
      </c>
      <c r="C111" s="1082">
        <f t="shared" si="45"/>
        <v>47696</v>
      </c>
      <c r="D111" s="1079" t="str">
        <f t="shared" si="46"/>
        <v/>
      </c>
      <c r="E111" s="177" t="str">
        <f t="shared" si="47"/>
        <v/>
      </c>
      <c r="F111" s="177" t="str">
        <f t="shared" si="48"/>
        <v>Original</v>
      </c>
      <c r="G111" s="1076">
        <f t="shared" si="49"/>
        <v>45135</v>
      </c>
      <c r="H111" s="1076">
        <f t="shared" si="50"/>
        <v>47696</v>
      </c>
      <c r="M111" s="1079">
        <v>54</v>
      </c>
      <c r="N111" s="1097"/>
      <c r="O111" s="1098"/>
      <c r="P111" s="1098"/>
      <c r="Q111" s="1098"/>
      <c r="R111" s="1098"/>
      <c r="S111" s="1098"/>
      <c r="T111" s="1098"/>
    </row>
    <row r="112" spans="1:20">
      <c r="A112" s="1076">
        <f>A111+31</f>
        <v>47727</v>
      </c>
      <c r="C112" s="1082">
        <f t="shared" si="45"/>
        <v>47727</v>
      </c>
      <c r="D112" s="1079" t="str">
        <f t="shared" si="46"/>
        <v/>
      </c>
      <c r="E112" s="177" t="str">
        <f t="shared" si="47"/>
        <v/>
      </c>
      <c r="F112" s="177" t="str">
        <f t="shared" si="48"/>
        <v>Original</v>
      </c>
      <c r="G112" s="1076">
        <f t="shared" si="49"/>
        <v>45135</v>
      </c>
      <c r="H112" s="1076">
        <f t="shared" si="50"/>
        <v>47727</v>
      </c>
      <c r="M112" s="1079">
        <v>55</v>
      </c>
      <c r="N112" s="1097"/>
      <c r="O112" s="1098"/>
      <c r="P112" s="1098"/>
      <c r="Q112" s="1098"/>
      <c r="R112" s="1098"/>
      <c r="S112" s="1098"/>
      <c r="T112" s="1098"/>
    </row>
    <row r="113" spans="1:20">
      <c r="A113" s="1076">
        <f>A112+30</f>
        <v>47757</v>
      </c>
      <c r="C113" s="1082">
        <f t="shared" si="45"/>
        <v>47757</v>
      </c>
      <c r="D113" s="1079" t="str">
        <f t="shared" si="46"/>
        <v/>
      </c>
      <c r="E113" s="177" t="str">
        <f t="shared" si="47"/>
        <v/>
      </c>
      <c r="F113" s="177" t="str">
        <f t="shared" si="48"/>
        <v>Original</v>
      </c>
      <c r="G113" s="1076">
        <f t="shared" si="49"/>
        <v>45135</v>
      </c>
      <c r="H113" s="1076">
        <f t="shared" si="50"/>
        <v>47757</v>
      </c>
      <c r="M113" s="1079">
        <v>56</v>
      </c>
      <c r="N113" s="1097"/>
      <c r="O113" s="1098"/>
      <c r="P113" s="1098"/>
      <c r="Q113" s="1098"/>
      <c r="R113" s="1098"/>
      <c r="S113" s="1098"/>
      <c r="T113" s="1098"/>
    </row>
    <row r="114" spans="1:20">
      <c r="A114" s="1076">
        <f>A113+31</f>
        <v>47788</v>
      </c>
      <c r="C114" s="1082">
        <f t="shared" si="45"/>
        <v>47788</v>
      </c>
      <c r="D114" s="1079" t="str">
        <f t="shared" si="46"/>
        <v/>
      </c>
      <c r="E114" s="177" t="str">
        <f t="shared" si="47"/>
        <v/>
      </c>
      <c r="F114" s="177" t="str">
        <f t="shared" si="48"/>
        <v>Original</v>
      </c>
      <c r="G114" s="1076">
        <f t="shared" si="49"/>
        <v>45135</v>
      </c>
      <c r="H114" s="1076">
        <f t="shared" si="50"/>
        <v>47788</v>
      </c>
      <c r="M114" s="1079">
        <v>57</v>
      </c>
      <c r="N114" s="1097"/>
      <c r="O114" s="1098"/>
      <c r="P114" s="1098"/>
      <c r="Q114" s="1098"/>
      <c r="R114" s="1098"/>
      <c r="S114" s="1098"/>
      <c r="T114" s="1098"/>
    </row>
    <row r="115" spans="1:20">
      <c r="A115" s="1076">
        <f>A114+30</f>
        <v>47818</v>
      </c>
      <c r="C115" s="1082">
        <f t="shared" si="45"/>
        <v>47818</v>
      </c>
      <c r="D115" s="1079" t="str">
        <f t="shared" si="46"/>
        <v/>
      </c>
      <c r="E115" s="177" t="str">
        <f t="shared" si="47"/>
        <v/>
      </c>
      <c r="F115" s="177" t="str">
        <f t="shared" si="48"/>
        <v>Original</v>
      </c>
      <c r="G115" s="1076">
        <f t="shared" si="49"/>
        <v>45135</v>
      </c>
      <c r="H115" s="1076">
        <f t="shared" si="50"/>
        <v>47818</v>
      </c>
      <c r="M115" s="1079">
        <v>58</v>
      </c>
      <c r="N115" s="1097"/>
      <c r="O115" s="1098"/>
      <c r="P115" s="1098"/>
      <c r="Q115" s="1098"/>
      <c r="R115" s="1098"/>
      <c r="S115" s="1098"/>
      <c r="T115" s="1098"/>
    </row>
    <row r="116" spans="1:20">
      <c r="A116" s="1076">
        <f>A115+31</f>
        <v>47849</v>
      </c>
      <c r="C116" s="1082">
        <f t="shared" si="45"/>
        <v>47849</v>
      </c>
      <c r="D116" s="1079" t="str">
        <f t="shared" si="46"/>
        <v/>
      </c>
      <c r="E116" s="177" t="str">
        <f t="shared" si="47"/>
        <v/>
      </c>
      <c r="F116" s="177" t="str">
        <f t="shared" si="48"/>
        <v>Original</v>
      </c>
      <c r="G116" s="1076">
        <f t="shared" si="49"/>
        <v>45135</v>
      </c>
      <c r="H116" s="1076">
        <f t="shared" si="50"/>
        <v>47849</v>
      </c>
      <c r="M116" s="1079">
        <v>59</v>
      </c>
      <c r="N116" s="1097"/>
      <c r="O116" s="1098"/>
      <c r="P116" s="1098"/>
      <c r="Q116" s="1098"/>
      <c r="R116" s="1098"/>
      <c r="S116" s="1098"/>
      <c r="T116" s="1098"/>
    </row>
    <row r="117" spans="1:20">
      <c r="A117" s="1076">
        <f>A116+31</f>
        <v>47880</v>
      </c>
      <c r="B117" s="177" t="b">
        <f>ISNA(VLOOKUP(A117,$E$4:$E$13,1,FALSE))</f>
        <v>1</v>
      </c>
      <c r="C117" s="1082">
        <f t="shared" si="45"/>
        <v>47880</v>
      </c>
      <c r="D117" s="1079" t="str">
        <f t="shared" si="46"/>
        <v/>
      </c>
      <c r="E117" s="177" t="str">
        <f t="shared" si="47"/>
        <v/>
      </c>
      <c r="F117" s="177" t="str">
        <f t="shared" si="48"/>
        <v>Original</v>
      </c>
      <c r="G117" s="1076">
        <f t="shared" si="49"/>
        <v>45135</v>
      </c>
      <c r="H117" s="1076">
        <f t="shared" si="50"/>
        <v>47880</v>
      </c>
      <c r="M117" s="1079">
        <v>60</v>
      </c>
      <c r="N117" s="1097"/>
      <c r="O117" s="1098"/>
      <c r="P117" s="1098"/>
      <c r="Q117" s="1098"/>
      <c r="R117" s="1098"/>
      <c r="S117" s="1098"/>
      <c r="T117" s="1098"/>
    </row>
    <row r="118" spans="1:20">
      <c r="A118" s="1076">
        <f>IF(B117=TRUE,(A117+28),(A117+29))</f>
        <v>47908</v>
      </c>
      <c r="C118" s="1082">
        <f t="shared" si="45"/>
        <v>47908</v>
      </c>
      <c r="D118" s="1079" t="str">
        <f t="shared" si="46"/>
        <v/>
      </c>
      <c r="E118" s="177" t="str">
        <f t="shared" si="47"/>
        <v/>
      </c>
      <c r="F118" s="177" t="str">
        <f t="shared" si="48"/>
        <v>Original</v>
      </c>
      <c r="G118" s="1076">
        <f t="shared" si="49"/>
        <v>45135</v>
      </c>
      <c r="H118" s="1076">
        <f t="shared" si="50"/>
        <v>47908</v>
      </c>
      <c r="M118" s="1079">
        <v>61</v>
      </c>
      <c r="N118" s="1097"/>
      <c r="O118" s="1098"/>
      <c r="P118" s="1098"/>
      <c r="Q118" s="1098"/>
      <c r="R118" s="1098"/>
      <c r="S118" s="1098"/>
      <c r="T118" s="1098"/>
    </row>
    <row r="119" spans="1:20">
      <c r="A119" s="1076">
        <f>A118+31</f>
        <v>47939</v>
      </c>
      <c r="C119" s="1082">
        <f t="shared" si="45"/>
        <v>47939</v>
      </c>
      <c r="D119" s="1079" t="str">
        <f t="shared" si="46"/>
        <v/>
      </c>
      <c r="E119" s="177" t="str">
        <f t="shared" si="47"/>
        <v/>
      </c>
      <c r="F119" s="177" t="str">
        <f t="shared" si="48"/>
        <v>Original</v>
      </c>
      <c r="G119" s="1076">
        <f t="shared" si="49"/>
        <v>45135</v>
      </c>
      <c r="H119" s="1076">
        <f t="shared" si="50"/>
        <v>47939</v>
      </c>
      <c r="M119" s="1079">
        <v>62</v>
      </c>
      <c r="N119" s="1097"/>
      <c r="O119" s="1098"/>
      <c r="P119" s="1098"/>
      <c r="Q119" s="1098"/>
      <c r="R119" s="1098"/>
      <c r="S119" s="1098"/>
      <c r="T119" s="1098"/>
    </row>
    <row r="120" spans="1:20">
      <c r="A120" s="1076">
        <f>A119+30</f>
        <v>47969</v>
      </c>
      <c r="C120" s="1082">
        <f t="shared" si="45"/>
        <v>47969</v>
      </c>
      <c r="D120" s="1079" t="str">
        <f t="shared" si="46"/>
        <v/>
      </c>
      <c r="E120" s="177" t="str">
        <f t="shared" si="47"/>
        <v/>
      </c>
      <c r="F120" s="177" t="str">
        <f t="shared" si="48"/>
        <v>Original</v>
      </c>
      <c r="G120" s="1076">
        <f t="shared" si="49"/>
        <v>45135</v>
      </c>
      <c r="H120" s="1076">
        <f t="shared" si="50"/>
        <v>47969</v>
      </c>
      <c r="M120" s="1079">
        <v>63</v>
      </c>
      <c r="N120" s="1097"/>
      <c r="O120" s="1098"/>
      <c r="P120" s="1098"/>
      <c r="Q120" s="1098"/>
      <c r="R120" s="1098"/>
      <c r="S120" s="1098"/>
      <c r="T120" s="1098"/>
    </row>
    <row r="121" spans="1:20">
      <c r="A121" s="1076">
        <f>A120+31</f>
        <v>48000</v>
      </c>
      <c r="C121" s="1082">
        <f t="shared" si="45"/>
        <v>48000</v>
      </c>
      <c r="D121" s="1079" t="str">
        <f t="shared" si="46"/>
        <v/>
      </c>
      <c r="E121" s="177" t="str">
        <f t="shared" si="47"/>
        <v/>
      </c>
      <c r="F121" s="177" t="str">
        <f t="shared" si="48"/>
        <v>Original</v>
      </c>
      <c r="G121" s="1076">
        <f t="shared" si="49"/>
        <v>45135</v>
      </c>
      <c r="H121" s="1076">
        <f t="shared" si="50"/>
        <v>48000</v>
      </c>
      <c r="M121" s="1079">
        <v>64</v>
      </c>
      <c r="N121" s="1097"/>
      <c r="O121" s="1098"/>
      <c r="P121" s="1098"/>
      <c r="Q121" s="1098"/>
      <c r="R121" s="1098"/>
      <c r="S121" s="1098"/>
      <c r="T121" s="1098"/>
    </row>
    <row r="122" spans="1:20">
      <c r="A122" s="1076">
        <f>A121+30</f>
        <v>48030</v>
      </c>
      <c r="C122" s="1082">
        <f t="shared" si="45"/>
        <v>48030</v>
      </c>
      <c r="D122" s="1079" t="str">
        <f t="shared" si="46"/>
        <v/>
      </c>
      <c r="E122" s="177" t="str">
        <f t="shared" si="47"/>
        <v/>
      </c>
      <c r="F122" s="177" t="str">
        <f t="shared" si="48"/>
        <v>Original</v>
      </c>
      <c r="G122" s="1076">
        <f t="shared" si="49"/>
        <v>45135</v>
      </c>
      <c r="H122" s="1076">
        <f t="shared" si="50"/>
        <v>48030</v>
      </c>
      <c r="M122" s="1079">
        <v>65</v>
      </c>
      <c r="N122" s="1097"/>
      <c r="O122" s="1098"/>
      <c r="P122" s="1098"/>
      <c r="Q122" s="1098"/>
      <c r="R122" s="1098"/>
      <c r="S122" s="1098"/>
      <c r="T122" s="1098"/>
    </row>
    <row r="123" spans="1:20">
      <c r="A123" s="1076">
        <f>A122+31</f>
        <v>48061</v>
      </c>
      <c r="C123" s="1082">
        <f t="shared" si="45"/>
        <v>48061</v>
      </c>
      <c r="D123" s="1079" t="str">
        <f t="shared" si="46"/>
        <v/>
      </c>
      <c r="E123" s="177" t="str">
        <f t="shared" si="47"/>
        <v/>
      </c>
      <c r="F123" s="177" t="str">
        <f t="shared" si="48"/>
        <v>Original</v>
      </c>
      <c r="G123" s="1076">
        <f t="shared" si="49"/>
        <v>45135</v>
      </c>
      <c r="H123" s="1076">
        <f t="shared" si="50"/>
        <v>48061</v>
      </c>
      <c r="M123" s="1079">
        <v>66</v>
      </c>
      <c r="N123" s="1097"/>
      <c r="O123" s="1098"/>
      <c r="P123" s="1098"/>
      <c r="Q123" s="1098"/>
      <c r="R123" s="1098"/>
      <c r="S123" s="1098"/>
      <c r="T123" s="1098"/>
    </row>
    <row r="124" spans="1:20">
      <c r="A124" s="1076">
        <f>A123+31</f>
        <v>48092</v>
      </c>
      <c r="C124" s="1082">
        <f t="shared" si="45"/>
        <v>48092</v>
      </c>
      <c r="D124" s="1079" t="str">
        <f t="shared" si="46"/>
        <v/>
      </c>
      <c r="E124" s="177" t="str">
        <f t="shared" si="47"/>
        <v/>
      </c>
      <c r="F124" s="177" t="str">
        <f t="shared" si="48"/>
        <v>Original</v>
      </c>
      <c r="G124" s="1076">
        <f t="shared" si="49"/>
        <v>45135</v>
      </c>
      <c r="H124" s="1076">
        <f t="shared" si="50"/>
        <v>48092</v>
      </c>
      <c r="M124" s="1079">
        <v>67</v>
      </c>
      <c r="N124" s="1097"/>
      <c r="O124" s="1098"/>
      <c r="P124" s="1098"/>
      <c r="Q124" s="1098"/>
      <c r="R124" s="1098"/>
      <c r="S124" s="1098"/>
      <c r="T124" s="1098"/>
    </row>
    <row r="125" spans="1:20">
      <c r="A125" s="1076">
        <f>A124+30</f>
        <v>48122</v>
      </c>
      <c r="C125" s="1082">
        <f t="shared" si="45"/>
        <v>48122</v>
      </c>
      <c r="D125" s="1079" t="str">
        <f t="shared" si="46"/>
        <v/>
      </c>
      <c r="E125" s="177" t="str">
        <f t="shared" si="47"/>
        <v/>
      </c>
      <c r="F125" s="177" t="str">
        <f t="shared" si="48"/>
        <v>Original</v>
      </c>
      <c r="G125" s="1076">
        <f t="shared" si="49"/>
        <v>45135</v>
      </c>
      <c r="H125" s="1076">
        <f t="shared" si="50"/>
        <v>48122</v>
      </c>
      <c r="M125" s="1079">
        <v>68</v>
      </c>
      <c r="N125" s="1097"/>
      <c r="O125" s="1098"/>
      <c r="P125" s="1098"/>
      <c r="Q125" s="1098"/>
      <c r="R125" s="1098"/>
      <c r="S125" s="1098"/>
      <c r="T125" s="1098"/>
    </row>
    <row r="126" spans="1:20">
      <c r="A126" s="1076">
        <f>A125+31</f>
        <v>48153</v>
      </c>
      <c r="C126" s="1082">
        <f t="shared" si="45"/>
        <v>48153</v>
      </c>
      <c r="D126" s="1079" t="str">
        <f t="shared" si="46"/>
        <v/>
      </c>
      <c r="E126" s="177" t="str">
        <f t="shared" si="47"/>
        <v/>
      </c>
      <c r="F126" s="177" t="str">
        <f t="shared" si="48"/>
        <v>Original</v>
      </c>
      <c r="G126" s="1076">
        <f t="shared" si="49"/>
        <v>45135</v>
      </c>
      <c r="H126" s="1076">
        <f t="shared" si="50"/>
        <v>48153</v>
      </c>
      <c r="M126" s="1079">
        <v>69</v>
      </c>
      <c r="N126" s="1097"/>
      <c r="O126" s="1098"/>
      <c r="P126" s="1098"/>
      <c r="Q126" s="1098"/>
      <c r="R126" s="1098"/>
      <c r="S126" s="1098"/>
      <c r="T126" s="1098"/>
    </row>
    <row r="127" spans="1:20">
      <c r="A127" s="1076">
        <f>A126+30</f>
        <v>48183</v>
      </c>
      <c r="C127" s="1082">
        <f t="shared" si="45"/>
        <v>48183</v>
      </c>
      <c r="D127" s="1079" t="str">
        <f t="shared" si="46"/>
        <v/>
      </c>
      <c r="E127" s="177" t="str">
        <f t="shared" si="47"/>
        <v/>
      </c>
      <c r="F127" s="177" t="str">
        <f t="shared" si="48"/>
        <v>Original</v>
      </c>
      <c r="G127" s="1076">
        <f t="shared" si="49"/>
        <v>45135</v>
      </c>
      <c r="H127" s="1076">
        <f t="shared" si="50"/>
        <v>48183</v>
      </c>
      <c r="M127" s="1079">
        <v>70</v>
      </c>
      <c r="N127" s="1097"/>
      <c r="O127" s="1098"/>
      <c r="P127" s="1098"/>
      <c r="Q127" s="1098"/>
      <c r="R127" s="1098"/>
      <c r="S127" s="1098"/>
      <c r="T127" s="1098"/>
    </row>
    <row r="128" spans="1:20">
      <c r="A128" s="1076">
        <f>A127+31</f>
        <v>48214</v>
      </c>
      <c r="C128" s="1082">
        <f t="shared" si="45"/>
        <v>48214</v>
      </c>
      <c r="D128" s="1079" t="str">
        <f t="shared" si="46"/>
        <v/>
      </c>
      <c r="E128" s="177" t="str">
        <f t="shared" si="47"/>
        <v/>
      </c>
      <c r="F128" s="177" t="str">
        <f t="shared" si="48"/>
        <v>Original</v>
      </c>
      <c r="G128" s="1076">
        <f t="shared" si="49"/>
        <v>45135</v>
      </c>
      <c r="H128" s="1076">
        <f t="shared" si="50"/>
        <v>48214</v>
      </c>
      <c r="M128" s="1079">
        <v>71</v>
      </c>
      <c r="N128" s="1097"/>
      <c r="O128" s="1098"/>
      <c r="P128" s="1098"/>
      <c r="Q128" s="1098"/>
      <c r="R128" s="1098"/>
      <c r="S128" s="1098"/>
      <c r="T128" s="1098"/>
    </row>
    <row r="129" spans="1:20">
      <c r="A129" s="1076">
        <f>A128+31</f>
        <v>48245</v>
      </c>
      <c r="B129" s="177" t="b">
        <f>ISNA(VLOOKUP(A129,$E$4:$E$13,1,FALSE))</f>
        <v>0</v>
      </c>
      <c r="C129" s="1082">
        <f t="shared" si="45"/>
        <v>48245</v>
      </c>
      <c r="D129" s="1079" t="str">
        <f t="shared" si="46"/>
        <v/>
      </c>
      <c r="E129" s="177" t="str">
        <f t="shared" si="47"/>
        <v/>
      </c>
      <c r="F129" s="177" t="str">
        <f t="shared" si="48"/>
        <v>Original</v>
      </c>
      <c r="G129" s="1076">
        <f t="shared" si="49"/>
        <v>45135</v>
      </c>
      <c r="H129" s="1076">
        <f t="shared" si="50"/>
        <v>48245</v>
      </c>
      <c r="M129" s="1079">
        <v>72</v>
      </c>
      <c r="N129" s="1097"/>
      <c r="O129" s="1098"/>
      <c r="P129" s="1098"/>
      <c r="Q129" s="1098"/>
      <c r="R129" s="1098"/>
      <c r="S129" s="1098"/>
      <c r="T129" s="1098"/>
    </row>
    <row r="130" spans="1:20">
      <c r="A130" s="1076">
        <f>IF(B129=TRUE,(A129+28),(A129+29))</f>
        <v>48274</v>
      </c>
      <c r="C130" s="1082">
        <f t="shared" si="45"/>
        <v>48274</v>
      </c>
      <c r="D130" s="1079" t="str">
        <f t="shared" si="46"/>
        <v/>
      </c>
      <c r="E130" s="177" t="str">
        <f t="shared" si="47"/>
        <v/>
      </c>
      <c r="F130" s="177" t="str">
        <f t="shared" si="48"/>
        <v>Original</v>
      </c>
      <c r="G130" s="1076">
        <f t="shared" si="49"/>
        <v>45135</v>
      </c>
      <c r="H130" s="1076">
        <f t="shared" si="50"/>
        <v>48274</v>
      </c>
      <c r="M130" s="1079">
        <v>73</v>
      </c>
      <c r="N130" s="1097"/>
      <c r="O130" s="1098"/>
      <c r="P130" s="1098"/>
      <c r="Q130" s="1098"/>
      <c r="R130" s="1098"/>
      <c r="S130" s="1098"/>
      <c r="T130" s="1098"/>
    </row>
    <row r="131" spans="1:20">
      <c r="A131" s="1076">
        <f>A130+31</f>
        <v>48305</v>
      </c>
      <c r="C131" s="1082">
        <f t="shared" si="45"/>
        <v>48305</v>
      </c>
      <c r="D131" s="1079" t="str">
        <f t="shared" si="46"/>
        <v/>
      </c>
      <c r="E131" s="177" t="str">
        <f t="shared" si="47"/>
        <v/>
      </c>
      <c r="F131" s="177" t="str">
        <f t="shared" si="48"/>
        <v>Original</v>
      </c>
      <c r="G131" s="1076">
        <f t="shared" si="49"/>
        <v>45135</v>
      </c>
      <c r="H131" s="1076">
        <f t="shared" si="50"/>
        <v>48305</v>
      </c>
      <c r="M131" s="1079">
        <v>74</v>
      </c>
      <c r="N131" s="1097"/>
      <c r="O131" s="1098"/>
      <c r="P131" s="1098"/>
      <c r="Q131" s="1098"/>
      <c r="R131" s="1098"/>
      <c r="S131" s="1098"/>
      <c r="T131" s="1098"/>
    </row>
    <row r="132" spans="1:20">
      <c r="A132" s="1076">
        <f>A131+30</f>
        <v>48335</v>
      </c>
      <c r="C132" s="1082">
        <f t="shared" si="45"/>
        <v>48335</v>
      </c>
      <c r="D132" s="1079" t="str">
        <f t="shared" si="46"/>
        <v/>
      </c>
      <c r="E132" s="177" t="str">
        <f t="shared" si="47"/>
        <v/>
      </c>
      <c r="F132" s="177" t="str">
        <f t="shared" si="48"/>
        <v>Original</v>
      </c>
      <c r="G132" s="1076">
        <f t="shared" si="49"/>
        <v>45135</v>
      </c>
      <c r="H132" s="1076">
        <f t="shared" si="50"/>
        <v>48335</v>
      </c>
      <c r="M132" s="1079">
        <v>75</v>
      </c>
      <c r="N132" s="1097"/>
      <c r="O132" s="1098"/>
      <c r="P132" s="1098"/>
      <c r="Q132" s="1098"/>
      <c r="R132" s="1098"/>
      <c r="S132" s="1098"/>
      <c r="T132" s="1098"/>
    </row>
    <row r="133" spans="1:20">
      <c r="A133" s="1076">
        <f>A132+31</f>
        <v>48366</v>
      </c>
      <c r="C133" s="1082">
        <f t="shared" si="45"/>
        <v>48366</v>
      </c>
      <c r="D133" s="1079" t="str">
        <f t="shared" si="46"/>
        <v/>
      </c>
      <c r="E133" s="177" t="str">
        <f t="shared" si="47"/>
        <v/>
      </c>
      <c r="F133" s="177" t="str">
        <f t="shared" si="48"/>
        <v>Original</v>
      </c>
      <c r="G133" s="1076">
        <f t="shared" si="49"/>
        <v>45135</v>
      </c>
      <c r="H133" s="1076">
        <f t="shared" si="50"/>
        <v>48366</v>
      </c>
      <c r="M133" s="1079">
        <v>76</v>
      </c>
      <c r="N133" s="1097"/>
      <c r="O133" s="1098"/>
      <c r="P133" s="1098"/>
      <c r="Q133" s="1098"/>
      <c r="R133" s="1098"/>
      <c r="S133" s="1098"/>
      <c r="T133" s="1098"/>
    </row>
    <row r="134" spans="1:20">
      <c r="A134" s="1076">
        <f>A133+30</f>
        <v>48396</v>
      </c>
      <c r="C134" s="1082">
        <f t="shared" si="45"/>
        <v>48396</v>
      </c>
      <c r="D134" s="1079" t="str">
        <f t="shared" si="46"/>
        <v/>
      </c>
      <c r="E134" s="177" t="str">
        <f t="shared" si="47"/>
        <v/>
      </c>
      <c r="F134" s="177" t="str">
        <f t="shared" si="48"/>
        <v>Original</v>
      </c>
      <c r="G134" s="1076">
        <f t="shared" si="49"/>
        <v>45135</v>
      </c>
      <c r="H134" s="1076">
        <f t="shared" si="50"/>
        <v>48396</v>
      </c>
      <c r="M134" s="1079">
        <v>77</v>
      </c>
      <c r="N134" s="1097"/>
      <c r="O134" s="1098"/>
      <c r="P134" s="1098"/>
      <c r="Q134" s="1098"/>
      <c r="R134" s="1098"/>
      <c r="S134" s="1098"/>
      <c r="T134" s="1098"/>
    </row>
    <row r="135" spans="1:20">
      <c r="A135" s="1076">
        <f>A134+31</f>
        <v>48427</v>
      </c>
      <c r="C135" s="1082">
        <f t="shared" si="45"/>
        <v>48427</v>
      </c>
      <c r="D135" s="1079" t="str">
        <f t="shared" si="46"/>
        <v/>
      </c>
      <c r="E135" s="177" t="str">
        <f t="shared" si="47"/>
        <v/>
      </c>
      <c r="F135" s="177" t="str">
        <f t="shared" si="48"/>
        <v>Original</v>
      </c>
      <c r="G135" s="1076">
        <f t="shared" si="49"/>
        <v>45135</v>
      </c>
      <c r="H135" s="1076">
        <f t="shared" si="50"/>
        <v>48427</v>
      </c>
      <c r="M135" s="1079">
        <v>78</v>
      </c>
      <c r="N135" s="1097"/>
      <c r="O135" s="1098"/>
      <c r="P135" s="1098"/>
      <c r="Q135" s="1098"/>
      <c r="R135" s="1098"/>
      <c r="S135" s="1098"/>
      <c r="T135" s="1098"/>
    </row>
    <row r="136" spans="1:20">
      <c r="A136" s="1076">
        <f>A135+31</f>
        <v>48458</v>
      </c>
      <c r="C136" s="1082">
        <f t="shared" si="45"/>
        <v>48458</v>
      </c>
      <c r="D136" s="1079" t="str">
        <f t="shared" si="46"/>
        <v/>
      </c>
      <c r="E136" s="177" t="str">
        <f t="shared" si="47"/>
        <v/>
      </c>
      <c r="F136" s="177" t="str">
        <f t="shared" si="48"/>
        <v>Original</v>
      </c>
      <c r="G136" s="1076">
        <f t="shared" si="49"/>
        <v>45135</v>
      </c>
      <c r="H136" s="1076">
        <f t="shared" si="50"/>
        <v>48458</v>
      </c>
      <c r="M136" s="1079">
        <v>79</v>
      </c>
      <c r="N136" s="1097"/>
      <c r="O136" s="1098"/>
      <c r="P136" s="1098"/>
      <c r="Q136" s="1098"/>
      <c r="R136" s="1098"/>
      <c r="S136" s="1098"/>
      <c r="T136" s="1098"/>
    </row>
    <row r="137" spans="1:20">
      <c r="A137" s="1076">
        <f>A136+30</f>
        <v>48488</v>
      </c>
      <c r="C137" s="1082">
        <f t="shared" si="45"/>
        <v>48488</v>
      </c>
      <c r="D137" s="1079" t="str">
        <f t="shared" si="46"/>
        <v/>
      </c>
      <c r="E137" s="177" t="str">
        <f t="shared" si="47"/>
        <v/>
      </c>
      <c r="F137" s="177" t="str">
        <f t="shared" si="48"/>
        <v>Original</v>
      </c>
      <c r="G137" s="1076">
        <f t="shared" si="49"/>
        <v>45135</v>
      </c>
      <c r="H137" s="1076">
        <f t="shared" si="50"/>
        <v>48488</v>
      </c>
      <c r="M137" s="1079">
        <v>80</v>
      </c>
      <c r="N137" s="1097"/>
      <c r="O137" s="1098"/>
      <c r="P137" s="1098"/>
      <c r="Q137" s="1098"/>
      <c r="R137" s="1098"/>
      <c r="S137" s="1098"/>
      <c r="T137" s="1098"/>
    </row>
    <row r="138" spans="1:20">
      <c r="A138" s="1076">
        <f>A137+31</f>
        <v>48519</v>
      </c>
      <c r="C138" s="1082">
        <f t="shared" si="45"/>
        <v>48519</v>
      </c>
      <c r="D138" s="1079" t="str">
        <f t="shared" si="46"/>
        <v/>
      </c>
      <c r="E138" s="177" t="str">
        <f t="shared" si="47"/>
        <v/>
      </c>
      <c r="F138" s="177" t="str">
        <f t="shared" si="48"/>
        <v>Original</v>
      </c>
      <c r="G138" s="1076">
        <f t="shared" si="49"/>
        <v>45135</v>
      </c>
      <c r="H138" s="1076">
        <f t="shared" si="50"/>
        <v>48519</v>
      </c>
      <c r="M138" s="1079">
        <v>81</v>
      </c>
      <c r="N138" s="1097"/>
      <c r="O138" s="1098"/>
      <c r="P138" s="1098"/>
      <c r="Q138" s="1098"/>
      <c r="R138" s="1098"/>
      <c r="S138" s="1098"/>
      <c r="T138" s="1098"/>
    </row>
    <row r="139" spans="1:20">
      <c r="A139" s="1076">
        <f>A138+30</f>
        <v>48549</v>
      </c>
      <c r="C139" s="1082">
        <f t="shared" si="45"/>
        <v>48549</v>
      </c>
      <c r="D139" s="1079" t="str">
        <f t="shared" si="46"/>
        <v/>
      </c>
      <c r="E139" s="177" t="str">
        <f t="shared" si="47"/>
        <v/>
      </c>
      <c r="F139" s="177" t="str">
        <f t="shared" si="48"/>
        <v>Original</v>
      </c>
      <c r="G139" s="1076">
        <f t="shared" si="49"/>
        <v>45135</v>
      </c>
      <c r="H139" s="1076">
        <f t="shared" si="50"/>
        <v>48549</v>
      </c>
      <c r="M139" s="1079">
        <v>82</v>
      </c>
      <c r="N139" s="1097"/>
      <c r="O139" s="1098"/>
      <c r="P139" s="1098"/>
      <c r="Q139" s="1098"/>
      <c r="R139" s="1098"/>
      <c r="S139" s="1098"/>
      <c r="T139" s="1098"/>
    </row>
    <row r="140" spans="1:20">
      <c r="A140" s="1076">
        <f>A139+31</f>
        <v>48580</v>
      </c>
      <c r="C140" s="1082">
        <f t="shared" si="45"/>
        <v>48580</v>
      </c>
      <c r="D140" s="1079" t="str">
        <f t="shared" si="46"/>
        <v/>
      </c>
      <c r="E140" s="177" t="str">
        <f t="shared" si="47"/>
        <v/>
      </c>
      <c r="F140" s="177" t="str">
        <f t="shared" si="48"/>
        <v>Original</v>
      </c>
      <c r="G140" s="1076">
        <f t="shared" si="49"/>
        <v>45135</v>
      </c>
      <c r="H140" s="1076">
        <f t="shared" si="50"/>
        <v>48580</v>
      </c>
      <c r="M140" s="1079">
        <v>83</v>
      </c>
      <c r="N140" s="1097"/>
      <c r="O140" s="1098"/>
      <c r="P140" s="1098"/>
      <c r="Q140" s="1098"/>
      <c r="R140" s="1098"/>
      <c r="S140" s="1098"/>
      <c r="T140" s="1098"/>
    </row>
    <row r="141" spans="1:20">
      <c r="A141" s="1076">
        <f>A140+31</f>
        <v>48611</v>
      </c>
      <c r="B141" s="177" t="b">
        <f>ISNA(VLOOKUP(A141,$E$4:$E$13,1,FALSE))</f>
        <v>1</v>
      </c>
      <c r="C141" s="1082">
        <f t="shared" si="45"/>
        <v>48611</v>
      </c>
      <c r="D141" s="1079" t="str">
        <f t="shared" si="46"/>
        <v/>
      </c>
      <c r="E141" s="177" t="str">
        <f t="shared" si="47"/>
        <v/>
      </c>
      <c r="F141" s="177" t="str">
        <f t="shared" si="48"/>
        <v>Original</v>
      </c>
      <c r="G141" s="1076">
        <f t="shared" si="49"/>
        <v>45135</v>
      </c>
      <c r="H141" s="1076">
        <f t="shared" si="50"/>
        <v>48611</v>
      </c>
      <c r="M141" s="1079">
        <v>84</v>
      </c>
      <c r="N141" s="1097"/>
      <c r="O141" s="1098"/>
      <c r="P141" s="1098"/>
      <c r="Q141" s="1098"/>
      <c r="R141" s="1098"/>
      <c r="S141" s="1098"/>
      <c r="T141" s="1098"/>
    </row>
    <row r="142" spans="1:20">
      <c r="A142" s="1076">
        <f>IF(B141=TRUE,(A141+28),(A141+29))</f>
        <v>48639</v>
      </c>
      <c r="C142" s="1082">
        <f t="shared" si="45"/>
        <v>48639</v>
      </c>
      <c r="D142" s="1079" t="str">
        <f t="shared" si="46"/>
        <v/>
      </c>
      <c r="E142" s="177" t="str">
        <f t="shared" si="47"/>
        <v/>
      </c>
      <c r="F142" s="177" t="str">
        <f t="shared" si="48"/>
        <v>Original</v>
      </c>
      <c r="G142" s="1076">
        <f t="shared" si="49"/>
        <v>45135</v>
      </c>
      <c r="H142" s="1076">
        <f t="shared" si="50"/>
        <v>48639</v>
      </c>
      <c r="M142" s="1079">
        <v>85</v>
      </c>
      <c r="N142" s="1097"/>
      <c r="O142" s="1098"/>
      <c r="P142" s="1098"/>
      <c r="Q142" s="1098"/>
      <c r="R142" s="1098"/>
      <c r="S142" s="1098"/>
      <c r="T142" s="1098"/>
    </row>
    <row r="143" spans="1:20">
      <c r="A143" s="1076">
        <f>A142+31</f>
        <v>48670</v>
      </c>
      <c r="C143" s="1082">
        <f t="shared" si="45"/>
        <v>48670</v>
      </c>
      <c r="D143" s="1079" t="str">
        <f t="shared" si="46"/>
        <v/>
      </c>
      <c r="E143" s="177" t="str">
        <f t="shared" si="47"/>
        <v/>
      </c>
      <c r="F143" s="177" t="str">
        <f t="shared" si="48"/>
        <v>Original</v>
      </c>
      <c r="G143" s="1076">
        <f t="shared" si="49"/>
        <v>45135</v>
      </c>
      <c r="H143" s="1076">
        <f t="shared" si="50"/>
        <v>48670</v>
      </c>
      <c r="M143" s="1079">
        <v>86</v>
      </c>
      <c r="N143" s="1097"/>
      <c r="O143" s="1098"/>
      <c r="P143" s="1098"/>
      <c r="Q143" s="1098"/>
      <c r="R143" s="1098"/>
      <c r="S143" s="1098"/>
      <c r="T143" s="1098"/>
    </row>
    <row r="144" spans="1:20">
      <c r="A144" s="1076">
        <f>A143+30</f>
        <v>48700</v>
      </c>
      <c r="C144" s="1082">
        <f t="shared" si="45"/>
        <v>48700</v>
      </c>
      <c r="D144" s="1079" t="str">
        <f t="shared" si="46"/>
        <v/>
      </c>
      <c r="E144" s="177" t="str">
        <f t="shared" si="47"/>
        <v/>
      </c>
      <c r="F144" s="177" t="str">
        <f t="shared" si="48"/>
        <v>Original</v>
      </c>
      <c r="G144" s="1076">
        <f t="shared" si="49"/>
        <v>45135</v>
      </c>
      <c r="H144" s="1076">
        <f t="shared" si="50"/>
        <v>48700</v>
      </c>
      <c r="M144" s="1079">
        <v>87</v>
      </c>
      <c r="N144" s="1097"/>
      <c r="O144" s="1098"/>
      <c r="P144" s="1098"/>
      <c r="Q144" s="1098"/>
      <c r="R144" s="1098"/>
      <c r="S144" s="1098"/>
      <c r="T144" s="1098"/>
    </row>
    <row r="145" spans="1:20">
      <c r="A145" s="1076">
        <f>A144+31</f>
        <v>48731</v>
      </c>
      <c r="C145" s="1082">
        <f t="shared" si="45"/>
        <v>48731</v>
      </c>
      <c r="D145" s="1079" t="str">
        <f t="shared" si="46"/>
        <v/>
      </c>
      <c r="E145" s="177" t="str">
        <f t="shared" si="47"/>
        <v/>
      </c>
      <c r="F145" s="177" t="str">
        <f t="shared" si="48"/>
        <v>Original</v>
      </c>
      <c r="G145" s="1076">
        <f t="shared" si="49"/>
        <v>45135</v>
      </c>
      <c r="H145" s="1076">
        <f t="shared" si="50"/>
        <v>48731</v>
      </c>
      <c r="M145" s="1079">
        <v>88</v>
      </c>
      <c r="N145" s="1097"/>
      <c r="O145" s="1098"/>
      <c r="P145" s="1098"/>
      <c r="Q145" s="1098"/>
      <c r="R145" s="1098"/>
      <c r="S145" s="1098"/>
      <c r="T145" s="1098"/>
    </row>
    <row r="146" spans="1:20">
      <c r="A146" s="1076">
        <f>A145+30</f>
        <v>48761</v>
      </c>
      <c r="C146" s="1082">
        <f t="shared" si="45"/>
        <v>48761</v>
      </c>
      <c r="D146" s="1079" t="str">
        <f t="shared" si="46"/>
        <v/>
      </c>
      <c r="E146" s="177" t="str">
        <f t="shared" si="47"/>
        <v/>
      </c>
      <c r="F146" s="177" t="str">
        <f t="shared" si="48"/>
        <v>Original</v>
      </c>
      <c r="G146" s="1076">
        <f t="shared" si="49"/>
        <v>45135</v>
      </c>
      <c r="H146" s="1076">
        <f t="shared" si="50"/>
        <v>48761</v>
      </c>
      <c r="M146" s="1079">
        <v>89</v>
      </c>
      <c r="N146" s="1097"/>
      <c r="O146" s="1098"/>
      <c r="P146" s="1098"/>
      <c r="Q146" s="1098"/>
      <c r="R146" s="1098"/>
      <c r="S146" s="1098"/>
      <c r="T146" s="1098"/>
    </row>
    <row r="147" spans="1:20">
      <c r="A147" s="1076">
        <f>A146+31</f>
        <v>48792</v>
      </c>
      <c r="C147" s="1082">
        <f t="shared" si="45"/>
        <v>48792</v>
      </c>
      <c r="D147" s="1079" t="str">
        <f t="shared" si="46"/>
        <v/>
      </c>
      <c r="E147" s="177" t="str">
        <f t="shared" si="47"/>
        <v/>
      </c>
      <c r="F147" s="177" t="str">
        <f t="shared" si="48"/>
        <v>Original</v>
      </c>
      <c r="G147" s="1076">
        <f t="shared" si="49"/>
        <v>45135</v>
      </c>
      <c r="H147" s="1076">
        <f t="shared" si="50"/>
        <v>48792</v>
      </c>
      <c r="M147" s="1079">
        <v>90</v>
      </c>
      <c r="N147" s="1097"/>
      <c r="O147" s="1098"/>
      <c r="P147" s="1098"/>
      <c r="Q147" s="1098"/>
      <c r="R147" s="1098"/>
      <c r="S147" s="1098"/>
      <c r="T147" s="1098"/>
    </row>
    <row r="148" spans="1:20">
      <c r="A148" s="1076">
        <f>A147+31</f>
        <v>48823</v>
      </c>
      <c r="C148" s="1082">
        <f t="shared" si="45"/>
        <v>48823</v>
      </c>
      <c r="D148" s="1079" t="str">
        <f t="shared" si="46"/>
        <v/>
      </c>
      <c r="E148" s="177" t="str">
        <f t="shared" si="47"/>
        <v/>
      </c>
      <c r="F148" s="177" t="str">
        <f t="shared" si="48"/>
        <v>Original</v>
      </c>
      <c r="G148" s="1076">
        <f t="shared" si="49"/>
        <v>45135</v>
      </c>
      <c r="H148" s="1076">
        <f t="shared" si="50"/>
        <v>48823</v>
      </c>
      <c r="M148" s="1079">
        <v>91</v>
      </c>
      <c r="N148" s="1097"/>
      <c r="O148" s="1098"/>
      <c r="P148" s="1098"/>
      <c r="Q148" s="1098"/>
      <c r="R148" s="1098"/>
      <c r="S148" s="1098"/>
      <c r="T148" s="1098"/>
    </row>
    <row r="149" spans="1:20">
      <c r="A149" s="1076">
        <f>A148+30</f>
        <v>48853</v>
      </c>
      <c r="C149" s="1082">
        <f t="shared" ref="C149:C212" si="51">A149</f>
        <v>48853</v>
      </c>
      <c r="D149" s="1079" t="str">
        <f t="shared" ref="D149:D212" si="52">IF(($P$23-C149)&lt;0,"",($P$23-C149))</f>
        <v/>
      </c>
      <c r="E149" s="177" t="str">
        <f t="shared" ref="E149:E212" si="53">IF(D149="","",RANK(D149,$D$20:$D$215,1))</f>
        <v/>
      </c>
      <c r="F149" s="177" t="str">
        <f t="shared" ref="F149:F212" si="54">IF(A149&lt;$L$37,$K$36,IF(A149&lt;$L$38,$K$37,IF(A149&lt;$L$39,$K$38,IF(A149&lt;$L$40,$K$39,IF(A149&lt;$L$41,$K$40,$K$41)))))</f>
        <v>Original</v>
      </c>
      <c r="G149" s="1076">
        <f t="shared" ref="G149:G212" si="55">VLOOKUP(F149,$K$36:$L$41,2,FALSE)</f>
        <v>45135</v>
      </c>
      <c r="H149" s="1076">
        <f t="shared" ref="H149:H212" si="56">A149</f>
        <v>48853</v>
      </c>
      <c r="M149" s="1079">
        <v>92</v>
      </c>
      <c r="N149" s="1097"/>
      <c r="O149" s="1098"/>
      <c r="P149" s="1098"/>
      <c r="Q149" s="1098"/>
      <c r="R149" s="1098"/>
      <c r="S149" s="1098"/>
      <c r="T149" s="1098"/>
    </row>
    <row r="150" spans="1:20">
      <c r="A150" s="1076">
        <f>A149+31</f>
        <v>48884</v>
      </c>
      <c r="C150" s="1082">
        <f t="shared" si="51"/>
        <v>48884</v>
      </c>
      <c r="D150" s="1079" t="str">
        <f t="shared" si="52"/>
        <v/>
      </c>
      <c r="E150" s="177" t="str">
        <f t="shared" si="53"/>
        <v/>
      </c>
      <c r="F150" s="177" t="str">
        <f t="shared" si="54"/>
        <v>Original</v>
      </c>
      <c r="G150" s="1076">
        <f t="shared" si="55"/>
        <v>45135</v>
      </c>
      <c r="H150" s="1076">
        <f t="shared" si="56"/>
        <v>48884</v>
      </c>
      <c r="M150" s="1079">
        <v>93</v>
      </c>
      <c r="N150" s="1097"/>
      <c r="O150" s="1098"/>
      <c r="P150" s="1098"/>
      <c r="Q150" s="1098"/>
      <c r="R150" s="1098"/>
      <c r="S150" s="1098"/>
      <c r="T150" s="1098"/>
    </row>
    <row r="151" spans="1:20">
      <c r="A151" s="1076">
        <f>A150+30</f>
        <v>48914</v>
      </c>
      <c r="C151" s="1082">
        <f t="shared" si="51"/>
        <v>48914</v>
      </c>
      <c r="D151" s="1079" t="str">
        <f t="shared" si="52"/>
        <v/>
      </c>
      <c r="E151" s="177" t="str">
        <f t="shared" si="53"/>
        <v/>
      </c>
      <c r="F151" s="177" t="str">
        <f t="shared" si="54"/>
        <v>Original</v>
      </c>
      <c r="G151" s="1076">
        <f t="shared" si="55"/>
        <v>45135</v>
      </c>
      <c r="H151" s="1076">
        <f t="shared" si="56"/>
        <v>48914</v>
      </c>
      <c r="M151" s="1079">
        <v>94</v>
      </c>
      <c r="N151" s="1097"/>
      <c r="O151" s="1098"/>
      <c r="P151" s="1098"/>
      <c r="Q151" s="1098"/>
      <c r="R151" s="1098"/>
      <c r="S151" s="1098"/>
      <c r="T151" s="1098"/>
    </row>
    <row r="152" spans="1:20">
      <c r="A152" s="1076">
        <f>A151+31</f>
        <v>48945</v>
      </c>
      <c r="C152" s="1082">
        <f t="shared" si="51"/>
        <v>48945</v>
      </c>
      <c r="D152" s="1079" t="str">
        <f t="shared" si="52"/>
        <v/>
      </c>
      <c r="E152" s="177" t="str">
        <f t="shared" si="53"/>
        <v/>
      </c>
      <c r="F152" s="177" t="str">
        <f t="shared" si="54"/>
        <v>Original</v>
      </c>
      <c r="G152" s="1076">
        <f t="shared" si="55"/>
        <v>45135</v>
      </c>
      <c r="H152" s="1076">
        <f t="shared" si="56"/>
        <v>48945</v>
      </c>
      <c r="M152" s="1079">
        <v>95</v>
      </c>
      <c r="N152" s="1097"/>
      <c r="O152" s="1098"/>
      <c r="P152" s="1098"/>
      <c r="Q152" s="1098"/>
      <c r="R152" s="1098"/>
      <c r="S152" s="1098"/>
      <c r="T152" s="1098"/>
    </row>
    <row r="153" spans="1:20">
      <c r="A153" s="1076">
        <f>A152+31</f>
        <v>48976</v>
      </c>
      <c r="B153" s="177" t="b">
        <f>ISNA(VLOOKUP(A153,$E$4:$E$13,1,FALSE))</f>
        <v>1</v>
      </c>
      <c r="C153" s="1082">
        <f t="shared" si="51"/>
        <v>48976</v>
      </c>
      <c r="D153" s="1079" t="str">
        <f t="shared" si="52"/>
        <v/>
      </c>
      <c r="E153" s="177" t="str">
        <f t="shared" si="53"/>
        <v/>
      </c>
      <c r="F153" s="177" t="str">
        <f t="shared" si="54"/>
        <v>Original</v>
      </c>
      <c r="G153" s="1076">
        <f t="shared" si="55"/>
        <v>45135</v>
      </c>
      <c r="H153" s="1076">
        <f t="shared" si="56"/>
        <v>48976</v>
      </c>
      <c r="M153" s="1079">
        <v>96</v>
      </c>
      <c r="N153" s="1097"/>
      <c r="O153" s="1098"/>
      <c r="P153" s="1098"/>
      <c r="Q153" s="1098"/>
      <c r="R153" s="1098"/>
      <c r="S153" s="1098"/>
      <c r="T153" s="1098"/>
    </row>
    <row r="154" spans="1:20">
      <c r="A154" s="1076">
        <f>IF(B153=TRUE,(A153+28),(A153+29))</f>
        <v>49004</v>
      </c>
      <c r="C154" s="1082">
        <f t="shared" si="51"/>
        <v>49004</v>
      </c>
      <c r="D154" s="1079" t="str">
        <f t="shared" si="52"/>
        <v/>
      </c>
      <c r="E154" s="177" t="str">
        <f t="shared" si="53"/>
        <v/>
      </c>
      <c r="F154" s="177" t="str">
        <f t="shared" si="54"/>
        <v>Original</v>
      </c>
      <c r="G154" s="1076">
        <f t="shared" si="55"/>
        <v>45135</v>
      </c>
      <c r="H154" s="1076">
        <f t="shared" si="56"/>
        <v>49004</v>
      </c>
      <c r="M154" s="1079">
        <v>97</v>
      </c>
      <c r="N154" s="1097"/>
      <c r="O154" s="1098"/>
      <c r="P154" s="1098"/>
      <c r="Q154" s="1098"/>
      <c r="R154" s="1098"/>
      <c r="S154" s="1098"/>
      <c r="T154" s="1098"/>
    </row>
    <row r="155" spans="1:20">
      <c r="A155" s="1076">
        <f>A154+31</f>
        <v>49035</v>
      </c>
      <c r="C155" s="1082">
        <f t="shared" si="51"/>
        <v>49035</v>
      </c>
      <c r="D155" s="1079" t="str">
        <f t="shared" si="52"/>
        <v/>
      </c>
      <c r="E155" s="177" t="str">
        <f t="shared" si="53"/>
        <v/>
      </c>
      <c r="F155" s="177" t="str">
        <f t="shared" si="54"/>
        <v>Original</v>
      </c>
      <c r="G155" s="1076">
        <f t="shared" si="55"/>
        <v>45135</v>
      </c>
      <c r="H155" s="1076">
        <f t="shared" si="56"/>
        <v>49035</v>
      </c>
      <c r="M155" s="1079">
        <v>98</v>
      </c>
      <c r="N155" s="1097"/>
      <c r="O155" s="1098"/>
      <c r="P155" s="1098"/>
      <c r="Q155" s="1098"/>
      <c r="R155" s="1098"/>
      <c r="S155" s="1098"/>
      <c r="T155" s="1098"/>
    </row>
    <row r="156" spans="1:20">
      <c r="A156" s="1076">
        <f>A155+30</f>
        <v>49065</v>
      </c>
      <c r="C156" s="1082">
        <f t="shared" si="51"/>
        <v>49065</v>
      </c>
      <c r="D156" s="1079" t="str">
        <f t="shared" si="52"/>
        <v/>
      </c>
      <c r="E156" s="177" t="str">
        <f t="shared" si="53"/>
        <v/>
      </c>
      <c r="F156" s="177" t="str">
        <f t="shared" si="54"/>
        <v>Original</v>
      </c>
      <c r="G156" s="1076">
        <f t="shared" si="55"/>
        <v>45135</v>
      </c>
      <c r="H156" s="1076">
        <f t="shared" si="56"/>
        <v>49065</v>
      </c>
      <c r="M156" s="1079">
        <v>99</v>
      </c>
      <c r="N156" s="1097"/>
      <c r="O156" s="1098"/>
      <c r="P156" s="1098"/>
      <c r="Q156" s="1098"/>
      <c r="R156" s="1098"/>
      <c r="S156" s="1098"/>
      <c r="T156" s="1098"/>
    </row>
    <row r="157" spans="1:20">
      <c r="A157" s="1076">
        <f>A156+31</f>
        <v>49096</v>
      </c>
      <c r="C157" s="1082">
        <f t="shared" si="51"/>
        <v>49096</v>
      </c>
      <c r="D157" s="1079" t="str">
        <f t="shared" si="52"/>
        <v/>
      </c>
      <c r="E157" s="177" t="str">
        <f t="shared" si="53"/>
        <v/>
      </c>
      <c r="F157" s="177" t="str">
        <f t="shared" si="54"/>
        <v>Original</v>
      </c>
      <c r="G157" s="1076">
        <f t="shared" si="55"/>
        <v>45135</v>
      </c>
      <c r="H157" s="1076">
        <f t="shared" si="56"/>
        <v>49096</v>
      </c>
      <c r="M157" s="1079">
        <v>100</v>
      </c>
      <c r="N157" s="1097"/>
      <c r="O157" s="1098"/>
      <c r="P157" s="1098"/>
      <c r="Q157" s="1098"/>
      <c r="R157" s="1098"/>
      <c r="S157" s="1098"/>
      <c r="T157" s="1098"/>
    </row>
    <row r="158" spans="1:20">
      <c r="A158" s="1076">
        <f>A157+30</f>
        <v>49126</v>
      </c>
      <c r="C158" s="1082">
        <f t="shared" si="51"/>
        <v>49126</v>
      </c>
      <c r="D158" s="1079" t="str">
        <f t="shared" si="52"/>
        <v/>
      </c>
      <c r="E158" s="177" t="str">
        <f t="shared" si="53"/>
        <v/>
      </c>
      <c r="F158" s="177" t="str">
        <f t="shared" si="54"/>
        <v>Original</v>
      </c>
      <c r="G158" s="1076">
        <f t="shared" si="55"/>
        <v>45135</v>
      </c>
      <c r="H158" s="1076">
        <f t="shared" si="56"/>
        <v>49126</v>
      </c>
      <c r="M158" s="1079">
        <v>101</v>
      </c>
      <c r="N158" s="1097"/>
      <c r="O158" s="1098"/>
      <c r="P158" s="1098"/>
      <c r="Q158" s="1098"/>
      <c r="R158" s="1098"/>
      <c r="S158" s="1098"/>
      <c r="T158" s="1098"/>
    </row>
    <row r="159" spans="1:20">
      <c r="A159" s="1076">
        <f>A158+31</f>
        <v>49157</v>
      </c>
      <c r="C159" s="1082">
        <f t="shared" si="51"/>
        <v>49157</v>
      </c>
      <c r="D159" s="1079" t="str">
        <f t="shared" si="52"/>
        <v/>
      </c>
      <c r="E159" s="177" t="str">
        <f t="shared" si="53"/>
        <v/>
      </c>
      <c r="F159" s="177" t="str">
        <f t="shared" si="54"/>
        <v>Original</v>
      </c>
      <c r="G159" s="1076">
        <f t="shared" si="55"/>
        <v>45135</v>
      </c>
      <c r="H159" s="1076">
        <f t="shared" si="56"/>
        <v>49157</v>
      </c>
      <c r="M159" s="1079">
        <v>102</v>
      </c>
      <c r="N159" s="1097"/>
      <c r="O159" s="1098"/>
      <c r="P159" s="1098"/>
      <c r="Q159" s="1098"/>
      <c r="R159" s="1098"/>
      <c r="S159" s="1098"/>
      <c r="T159" s="1098"/>
    </row>
    <row r="160" spans="1:20">
      <c r="A160" s="1076">
        <f>A159+31</f>
        <v>49188</v>
      </c>
      <c r="C160" s="1082">
        <f t="shared" si="51"/>
        <v>49188</v>
      </c>
      <c r="D160" s="1079" t="str">
        <f t="shared" si="52"/>
        <v/>
      </c>
      <c r="E160" s="177" t="str">
        <f t="shared" si="53"/>
        <v/>
      </c>
      <c r="F160" s="177" t="str">
        <f t="shared" si="54"/>
        <v>Original</v>
      </c>
      <c r="G160" s="1076">
        <f t="shared" si="55"/>
        <v>45135</v>
      </c>
      <c r="H160" s="1076">
        <f t="shared" si="56"/>
        <v>49188</v>
      </c>
      <c r="M160" s="1079">
        <v>103</v>
      </c>
      <c r="N160" s="1097"/>
      <c r="O160" s="1098"/>
      <c r="P160" s="1098"/>
      <c r="Q160" s="1098"/>
      <c r="R160" s="1098"/>
      <c r="S160" s="1098"/>
      <c r="T160" s="1098"/>
    </row>
    <row r="161" spans="1:20">
      <c r="A161" s="1076">
        <f>A160+30</f>
        <v>49218</v>
      </c>
      <c r="C161" s="1082">
        <f t="shared" si="51"/>
        <v>49218</v>
      </c>
      <c r="D161" s="1079" t="str">
        <f t="shared" si="52"/>
        <v/>
      </c>
      <c r="E161" s="177" t="str">
        <f t="shared" si="53"/>
        <v/>
      </c>
      <c r="F161" s="177" t="str">
        <f t="shared" si="54"/>
        <v>Original</v>
      </c>
      <c r="G161" s="1076">
        <f t="shared" si="55"/>
        <v>45135</v>
      </c>
      <c r="H161" s="1076">
        <f t="shared" si="56"/>
        <v>49218</v>
      </c>
      <c r="M161" s="1079">
        <v>104</v>
      </c>
      <c r="N161" s="1097"/>
      <c r="O161" s="1098"/>
      <c r="P161" s="1098"/>
      <c r="Q161" s="1098"/>
      <c r="R161" s="1098"/>
      <c r="S161" s="1098"/>
      <c r="T161" s="1098"/>
    </row>
    <row r="162" spans="1:20">
      <c r="A162" s="1076">
        <f>A161+31</f>
        <v>49249</v>
      </c>
      <c r="C162" s="1082">
        <f t="shared" si="51"/>
        <v>49249</v>
      </c>
      <c r="D162" s="1079" t="str">
        <f t="shared" si="52"/>
        <v/>
      </c>
      <c r="E162" s="177" t="str">
        <f t="shared" si="53"/>
        <v/>
      </c>
      <c r="F162" s="177" t="str">
        <f t="shared" si="54"/>
        <v>Original</v>
      </c>
      <c r="G162" s="1076">
        <f t="shared" si="55"/>
        <v>45135</v>
      </c>
      <c r="H162" s="1076">
        <f t="shared" si="56"/>
        <v>49249</v>
      </c>
      <c r="M162" s="1079">
        <v>105</v>
      </c>
      <c r="N162" s="1097"/>
      <c r="O162" s="1098"/>
      <c r="P162" s="1098"/>
      <c r="Q162" s="1098"/>
      <c r="R162" s="1098"/>
      <c r="S162" s="1098"/>
      <c r="T162" s="1098"/>
    </row>
    <row r="163" spans="1:20">
      <c r="A163" s="1076">
        <f>A162+30</f>
        <v>49279</v>
      </c>
      <c r="C163" s="1082">
        <f t="shared" si="51"/>
        <v>49279</v>
      </c>
      <c r="D163" s="1079" t="str">
        <f t="shared" si="52"/>
        <v/>
      </c>
      <c r="E163" s="177" t="str">
        <f t="shared" si="53"/>
        <v/>
      </c>
      <c r="F163" s="177" t="str">
        <f t="shared" si="54"/>
        <v>Original</v>
      </c>
      <c r="G163" s="1076">
        <f t="shared" si="55"/>
        <v>45135</v>
      </c>
      <c r="H163" s="1076">
        <f t="shared" si="56"/>
        <v>49279</v>
      </c>
      <c r="M163" s="1079">
        <v>106</v>
      </c>
      <c r="N163" s="1097"/>
      <c r="O163" s="1098"/>
      <c r="P163" s="1098"/>
      <c r="Q163" s="1098"/>
      <c r="R163" s="1098"/>
      <c r="S163" s="1098"/>
      <c r="T163" s="1098"/>
    </row>
    <row r="164" spans="1:20">
      <c r="A164" s="1076">
        <f>A163+31</f>
        <v>49310</v>
      </c>
      <c r="C164" s="1082">
        <f t="shared" si="51"/>
        <v>49310</v>
      </c>
      <c r="D164" s="1079" t="str">
        <f t="shared" si="52"/>
        <v/>
      </c>
      <c r="E164" s="177" t="str">
        <f t="shared" si="53"/>
        <v/>
      </c>
      <c r="F164" s="177" t="str">
        <f t="shared" si="54"/>
        <v>Original</v>
      </c>
      <c r="G164" s="1076">
        <f t="shared" si="55"/>
        <v>45135</v>
      </c>
      <c r="H164" s="1076">
        <f t="shared" si="56"/>
        <v>49310</v>
      </c>
      <c r="M164" s="1079">
        <v>107</v>
      </c>
      <c r="N164" s="1097"/>
      <c r="O164" s="1098"/>
      <c r="P164" s="1098"/>
      <c r="Q164" s="1098"/>
      <c r="R164" s="1098"/>
      <c r="S164" s="1098"/>
      <c r="T164" s="1098"/>
    </row>
    <row r="165" spans="1:20">
      <c r="A165" s="1076">
        <f>A164+31</f>
        <v>49341</v>
      </c>
      <c r="B165" s="177" t="b">
        <f>ISNA(VLOOKUP(A165,$E$4:$E$13,1,FALSE))</f>
        <v>1</v>
      </c>
      <c r="C165" s="1082">
        <f t="shared" si="51"/>
        <v>49341</v>
      </c>
      <c r="D165" s="1079" t="str">
        <f t="shared" si="52"/>
        <v/>
      </c>
      <c r="E165" s="177" t="str">
        <f t="shared" si="53"/>
        <v/>
      </c>
      <c r="F165" s="177" t="str">
        <f t="shared" si="54"/>
        <v>Original</v>
      </c>
      <c r="G165" s="1076">
        <f t="shared" si="55"/>
        <v>45135</v>
      </c>
      <c r="H165" s="1076">
        <f t="shared" si="56"/>
        <v>49341</v>
      </c>
      <c r="M165" s="1079">
        <v>108</v>
      </c>
      <c r="N165" s="1097"/>
      <c r="O165" s="1098"/>
      <c r="P165" s="1098"/>
      <c r="Q165" s="1098"/>
      <c r="R165" s="1098"/>
      <c r="S165" s="1098"/>
      <c r="T165" s="1098"/>
    </row>
    <row r="166" spans="1:20">
      <c r="A166" s="1076">
        <f>IF(B165=TRUE,(A165+28),(A165+29))</f>
        <v>49369</v>
      </c>
      <c r="C166" s="1082">
        <f t="shared" si="51"/>
        <v>49369</v>
      </c>
      <c r="D166" s="1079" t="str">
        <f t="shared" si="52"/>
        <v/>
      </c>
      <c r="E166" s="177" t="str">
        <f t="shared" si="53"/>
        <v/>
      </c>
      <c r="F166" s="177" t="str">
        <f t="shared" si="54"/>
        <v>Original</v>
      </c>
      <c r="G166" s="1076">
        <f t="shared" si="55"/>
        <v>45135</v>
      </c>
      <c r="H166" s="1076">
        <f t="shared" si="56"/>
        <v>49369</v>
      </c>
      <c r="M166" s="1079">
        <v>109</v>
      </c>
      <c r="N166" s="1097"/>
      <c r="O166" s="1098"/>
      <c r="P166" s="1098"/>
      <c r="Q166" s="1098"/>
      <c r="R166" s="1098"/>
      <c r="S166" s="1098"/>
      <c r="T166" s="1098"/>
    </row>
    <row r="167" spans="1:20">
      <c r="A167" s="1076">
        <f>A166+31</f>
        <v>49400</v>
      </c>
      <c r="C167" s="1082">
        <f t="shared" si="51"/>
        <v>49400</v>
      </c>
      <c r="D167" s="1079" t="str">
        <f t="shared" si="52"/>
        <v/>
      </c>
      <c r="E167" s="177" t="str">
        <f t="shared" si="53"/>
        <v/>
      </c>
      <c r="F167" s="177" t="str">
        <f t="shared" si="54"/>
        <v>Original</v>
      </c>
      <c r="G167" s="1076">
        <f t="shared" si="55"/>
        <v>45135</v>
      </c>
      <c r="H167" s="1076">
        <f t="shared" si="56"/>
        <v>49400</v>
      </c>
      <c r="M167" s="1079">
        <v>110</v>
      </c>
      <c r="N167" s="1097"/>
      <c r="O167" s="1098"/>
      <c r="P167" s="1098"/>
      <c r="Q167" s="1098"/>
      <c r="R167" s="1098"/>
      <c r="S167" s="1098"/>
      <c r="T167" s="1098"/>
    </row>
    <row r="168" spans="1:20">
      <c r="A168" s="1076">
        <f>A167+30</f>
        <v>49430</v>
      </c>
      <c r="C168" s="1082">
        <f t="shared" si="51"/>
        <v>49430</v>
      </c>
      <c r="D168" s="1079" t="str">
        <f t="shared" si="52"/>
        <v/>
      </c>
      <c r="E168" s="177" t="str">
        <f t="shared" si="53"/>
        <v/>
      </c>
      <c r="F168" s="177" t="str">
        <f t="shared" si="54"/>
        <v>Original</v>
      </c>
      <c r="G168" s="1076">
        <f t="shared" si="55"/>
        <v>45135</v>
      </c>
      <c r="H168" s="1076">
        <f t="shared" si="56"/>
        <v>49430</v>
      </c>
      <c r="M168" s="1079">
        <v>111</v>
      </c>
      <c r="N168" s="1097"/>
      <c r="O168" s="1098"/>
      <c r="P168" s="1098"/>
      <c r="Q168" s="1098"/>
      <c r="R168" s="1098"/>
      <c r="S168" s="1098"/>
      <c r="T168" s="1098"/>
    </row>
    <row r="169" spans="1:20">
      <c r="A169" s="1076">
        <f>A168+31</f>
        <v>49461</v>
      </c>
      <c r="C169" s="1082">
        <f t="shared" si="51"/>
        <v>49461</v>
      </c>
      <c r="D169" s="1079" t="str">
        <f t="shared" si="52"/>
        <v/>
      </c>
      <c r="E169" s="177" t="str">
        <f t="shared" si="53"/>
        <v/>
      </c>
      <c r="F169" s="177" t="str">
        <f t="shared" si="54"/>
        <v>Original</v>
      </c>
      <c r="G169" s="1076">
        <f t="shared" si="55"/>
        <v>45135</v>
      </c>
      <c r="H169" s="1076">
        <f t="shared" si="56"/>
        <v>49461</v>
      </c>
      <c r="M169" s="1079">
        <v>112</v>
      </c>
      <c r="N169" s="1097"/>
      <c r="O169" s="1098"/>
      <c r="P169" s="1098"/>
      <c r="Q169" s="1098"/>
      <c r="R169" s="1098"/>
      <c r="S169" s="1098"/>
      <c r="T169" s="1098"/>
    </row>
    <row r="170" spans="1:20">
      <c r="A170" s="1076">
        <f>A169+30</f>
        <v>49491</v>
      </c>
      <c r="C170" s="1082">
        <f t="shared" si="51"/>
        <v>49491</v>
      </c>
      <c r="D170" s="1079" t="str">
        <f t="shared" si="52"/>
        <v/>
      </c>
      <c r="E170" s="177" t="str">
        <f t="shared" si="53"/>
        <v/>
      </c>
      <c r="F170" s="177" t="str">
        <f t="shared" si="54"/>
        <v>Original</v>
      </c>
      <c r="G170" s="1076">
        <f t="shared" si="55"/>
        <v>45135</v>
      </c>
      <c r="H170" s="1076">
        <f t="shared" si="56"/>
        <v>49491</v>
      </c>
      <c r="M170" s="1079">
        <v>113</v>
      </c>
      <c r="N170" s="1097"/>
      <c r="O170" s="1098"/>
      <c r="P170" s="1098"/>
      <c r="Q170" s="1098"/>
      <c r="R170" s="1098"/>
      <c r="S170" s="1098"/>
      <c r="T170" s="1098"/>
    </row>
    <row r="171" spans="1:20">
      <c r="A171" s="1076">
        <f>A170+31</f>
        <v>49522</v>
      </c>
      <c r="C171" s="1082">
        <f t="shared" si="51"/>
        <v>49522</v>
      </c>
      <c r="D171" s="1079" t="str">
        <f t="shared" si="52"/>
        <v/>
      </c>
      <c r="E171" s="177" t="str">
        <f t="shared" si="53"/>
        <v/>
      </c>
      <c r="F171" s="177" t="str">
        <f t="shared" si="54"/>
        <v>Original</v>
      </c>
      <c r="G171" s="1076">
        <f t="shared" si="55"/>
        <v>45135</v>
      </c>
      <c r="H171" s="1076">
        <f t="shared" si="56"/>
        <v>49522</v>
      </c>
      <c r="M171" s="1079">
        <v>114</v>
      </c>
      <c r="N171" s="1097"/>
      <c r="O171" s="1098"/>
      <c r="P171" s="1098"/>
      <c r="Q171" s="1098"/>
      <c r="R171" s="1098"/>
      <c r="S171" s="1098"/>
      <c r="T171" s="1098"/>
    </row>
    <row r="172" spans="1:20">
      <c r="A172" s="1076">
        <f>A171+31</f>
        <v>49553</v>
      </c>
      <c r="C172" s="1082">
        <f t="shared" si="51"/>
        <v>49553</v>
      </c>
      <c r="D172" s="1079" t="str">
        <f t="shared" si="52"/>
        <v/>
      </c>
      <c r="E172" s="177" t="str">
        <f t="shared" si="53"/>
        <v/>
      </c>
      <c r="F172" s="177" t="str">
        <f t="shared" si="54"/>
        <v>Original</v>
      </c>
      <c r="G172" s="1076">
        <f t="shared" si="55"/>
        <v>45135</v>
      </c>
      <c r="H172" s="1076">
        <f t="shared" si="56"/>
        <v>49553</v>
      </c>
      <c r="M172" s="1079">
        <v>115</v>
      </c>
      <c r="N172" s="1097"/>
      <c r="O172" s="1098"/>
      <c r="P172" s="1098"/>
      <c r="Q172" s="1098"/>
      <c r="R172" s="1098"/>
      <c r="S172" s="1098"/>
      <c r="T172" s="1098"/>
    </row>
    <row r="173" spans="1:20">
      <c r="A173" s="1076">
        <f>A172+30</f>
        <v>49583</v>
      </c>
      <c r="C173" s="1082">
        <f t="shared" si="51"/>
        <v>49583</v>
      </c>
      <c r="D173" s="1079" t="str">
        <f t="shared" si="52"/>
        <v/>
      </c>
      <c r="E173" s="177" t="str">
        <f t="shared" si="53"/>
        <v/>
      </c>
      <c r="F173" s="177" t="str">
        <f t="shared" si="54"/>
        <v>Original</v>
      </c>
      <c r="G173" s="1076">
        <f t="shared" si="55"/>
        <v>45135</v>
      </c>
      <c r="H173" s="1076">
        <f t="shared" si="56"/>
        <v>49583</v>
      </c>
      <c r="M173" s="1079">
        <v>116</v>
      </c>
      <c r="N173" s="1097"/>
      <c r="O173" s="1098"/>
      <c r="P173" s="1098"/>
      <c r="Q173" s="1098"/>
      <c r="R173" s="1098"/>
      <c r="S173" s="1098"/>
      <c r="T173" s="1098"/>
    </row>
    <row r="174" spans="1:20">
      <c r="A174" s="1076">
        <f>A173+31</f>
        <v>49614</v>
      </c>
      <c r="C174" s="1082">
        <f t="shared" si="51"/>
        <v>49614</v>
      </c>
      <c r="D174" s="1079" t="str">
        <f t="shared" si="52"/>
        <v/>
      </c>
      <c r="E174" s="177" t="str">
        <f t="shared" si="53"/>
        <v/>
      </c>
      <c r="F174" s="177" t="str">
        <f t="shared" si="54"/>
        <v>Original</v>
      </c>
      <c r="G174" s="1076">
        <f t="shared" si="55"/>
        <v>45135</v>
      </c>
      <c r="H174" s="1076">
        <f t="shared" si="56"/>
        <v>49614</v>
      </c>
      <c r="M174" s="1079">
        <v>117</v>
      </c>
      <c r="N174" s="1097"/>
      <c r="O174" s="1098"/>
      <c r="P174" s="1098"/>
      <c r="Q174" s="1098"/>
      <c r="R174" s="1098"/>
      <c r="S174" s="1098"/>
      <c r="T174" s="1098"/>
    </row>
    <row r="175" spans="1:20">
      <c r="A175" s="1076">
        <f>A174+30</f>
        <v>49644</v>
      </c>
      <c r="C175" s="1082">
        <f t="shared" si="51"/>
        <v>49644</v>
      </c>
      <c r="D175" s="1079" t="str">
        <f t="shared" si="52"/>
        <v/>
      </c>
      <c r="E175" s="177" t="str">
        <f t="shared" si="53"/>
        <v/>
      </c>
      <c r="F175" s="177" t="str">
        <f t="shared" si="54"/>
        <v>Original</v>
      </c>
      <c r="G175" s="1076">
        <f t="shared" si="55"/>
        <v>45135</v>
      </c>
      <c r="H175" s="1076">
        <f t="shared" si="56"/>
        <v>49644</v>
      </c>
      <c r="M175" s="1079">
        <v>118</v>
      </c>
      <c r="N175" s="1097"/>
      <c r="O175" s="1098"/>
      <c r="P175" s="1098"/>
      <c r="Q175" s="1098"/>
      <c r="R175" s="1098"/>
      <c r="S175" s="1098"/>
      <c r="T175" s="1098"/>
    </row>
    <row r="176" spans="1:20">
      <c r="A176" s="1076">
        <f>A175+31</f>
        <v>49675</v>
      </c>
      <c r="C176" s="1082">
        <f t="shared" si="51"/>
        <v>49675</v>
      </c>
      <c r="D176" s="1079" t="str">
        <f t="shared" si="52"/>
        <v/>
      </c>
      <c r="E176" s="177" t="str">
        <f t="shared" si="53"/>
        <v/>
      </c>
      <c r="F176" s="177" t="str">
        <f t="shared" si="54"/>
        <v>Original</v>
      </c>
      <c r="G176" s="1076">
        <f t="shared" si="55"/>
        <v>45135</v>
      </c>
      <c r="H176" s="1076">
        <f t="shared" si="56"/>
        <v>49675</v>
      </c>
      <c r="M176" s="1079">
        <v>119</v>
      </c>
      <c r="N176" s="1097"/>
      <c r="O176" s="1098"/>
      <c r="P176" s="1098"/>
      <c r="Q176" s="1098"/>
      <c r="R176" s="1098"/>
      <c r="S176" s="1098"/>
      <c r="T176" s="1098"/>
    </row>
    <row r="177" spans="1:20">
      <c r="A177" s="1076">
        <f>A176+31</f>
        <v>49706</v>
      </c>
      <c r="B177" s="177" t="b">
        <f>ISNA(VLOOKUP(A177,$E$4:$E$13,1,FALSE))</f>
        <v>0</v>
      </c>
      <c r="C177" s="1082">
        <f t="shared" si="51"/>
        <v>49706</v>
      </c>
      <c r="D177" s="1079" t="str">
        <f t="shared" si="52"/>
        <v/>
      </c>
      <c r="E177" s="177" t="str">
        <f t="shared" si="53"/>
        <v/>
      </c>
      <c r="F177" s="177" t="str">
        <f t="shared" si="54"/>
        <v>Original</v>
      </c>
      <c r="G177" s="1076">
        <f t="shared" si="55"/>
        <v>45135</v>
      </c>
      <c r="H177" s="1076">
        <f t="shared" si="56"/>
        <v>49706</v>
      </c>
      <c r="M177" s="1079">
        <v>120</v>
      </c>
      <c r="N177" s="1097"/>
      <c r="O177" s="1098"/>
      <c r="P177" s="1098"/>
      <c r="Q177" s="1098"/>
      <c r="R177" s="1098"/>
      <c r="S177" s="1098"/>
      <c r="T177" s="1098"/>
    </row>
    <row r="178" spans="1:20">
      <c r="A178" s="1076">
        <f>IF(B177=TRUE,(A177+28),(A177+29))</f>
        <v>49735</v>
      </c>
      <c r="C178" s="1082">
        <f t="shared" si="51"/>
        <v>49735</v>
      </c>
      <c r="D178" s="1079" t="str">
        <f t="shared" si="52"/>
        <v/>
      </c>
      <c r="E178" s="177" t="str">
        <f t="shared" si="53"/>
        <v/>
      </c>
      <c r="F178" s="177" t="str">
        <f t="shared" si="54"/>
        <v>Original</v>
      </c>
      <c r="G178" s="1076">
        <f t="shared" si="55"/>
        <v>45135</v>
      </c>
      <c r="H178" s="1076">
        <f t="shared" si="56"/>
        <v>49735</v>
      </c>
      <c r="M178" s="1079">
        <v>121</v>
      </c>
      <c r="N178" s="1097"/>
      <c r="O178" s="1098"/>
      <c r="P178" s="1098"/>
      <c r="Q178" s="1098"/>
      <c r="R178" s="1098"/>
      <c r="S178" s="1098"/>
      <c r="T178" s="1098"/>
    </row>
    <row r="179" spans="1:20">
      <c r="A179" s="1076">
        <f>A178+31</f>
        <v>49766</v>
      </c>
      <c r="C179" s="1082">
        <f t="shared" si="51"/>
        <v>49766</v>
      </c>
      <c r="D179" s="1079" t="str">
        <f t="shared" si="52"/>
        <v/>
      </c>
      <c r="E179" s="177" t="str">
        <f t="shared" si="53"/>
        <v/>
      </c>
      <c r="F179" s="177" t="str">
        <f t="shared" si="54"/>
        <v>Original</v>
      </c>
      <c r="G179" s="1076">
        <f t="shared" si="55"/>
        <v>45135</v>
      </c>
      <c r="H179" s="1076">
        <f t="shared" si="56"/>
        <v>49766</v>
      </c>
      <c r="M179" s="1079">
        <v>122</v>
      </c>
      <c r="N179" s="1097"/>
      <c r="O179" s="1098"/>
      <c r="P179" s="1098"/>
      <c r="Q179" s="1098"/>
      <c r="R179" s="1098"/>
      <c r="S179" s="1098"/>
      <c r="T179" s="1098"/>
    </row>
    <row r="180" spans="1:20">
      <c r="A180" s="1076">
        <f>A179+30</f>
        <v>49796</v>
      </c>
      <c r="C180" s="1082">
        <f t="shared" si="51"/>
        <v>49796</v>
      </c>
      <c r="D180" s="1079" t="str">
        <f t="shared" si="52"/>
        <v/>
      </c>
      <c r="E180" s="177" t="str">
        <f t="shared" si="53"/>
        <v/>
      </c>
      <c r="F180" s="177" t="str">
        <f t="shared" si="54"/>
        <v>Original</v>
      </c>
      <c r="G180" s="1076">
        <f t="shared" si="55"/>
        <v>45135</v>
      </c>
      <c r="H180" s="1076">
        <f t="shared" si="56"/>
        <v>49796</v>
      </c>
      <c r="M180" s="1079">
        <v>123</v>
      </c>
      <c r="N180" s="1097"/>
      <c r="O180" s="1098"/>
      <c r="P180" s="1098"/>
      <c r="Q180" s="1098"/>
      <c r="R180" s="1098"/>
      <c r="S180" s="1098"/>
      <c r="T180" s="1098"/>
    </row>
    <row r="181" spans="1:20">
      <c r="A181" s="1076">
        <f>A180+31</f>
        <v>49827</v>
      </c>
      <c r="C181" s="1082">
        <f t="shared" si="51"/>
        <v>49827</v>
      </c>
      <c r="D181" s="1079" t="str">
        <f t="shared" si="52"/>
        <v/>
      </c>
      <c r="E181" s="177" t="str">
        <f t="shared" si="53"/>
        <v/>
      </c>
      <c r="F181" s="177" t="str">
        <f t="shared" si="54"/>
        <v>Original</v>
      </c>
      <c r="G181" s="1076">
        <f t="shared" si="55"/>
        <v>45135</v>
      </c>
      <c r="H181" s="1076">
        <f t="shared" si="56"/>
        <v>49827</v>
      </c>
      <c r="M181" s="1079">
        <v>124</v>
      </c>
      <c r="N181" s="1097"/>
      <c r="O181" s="1098"/>
      <c r="P181" s="1098"/>
      <c r="Q181" s="1098"/>
      <c r="R181" s="1098"/>
      <c r="S181" s="1098"/>
      <c r="T181" s="1098"/>
    </row>
    <row r="182" spans="1:20">
      <c r="A182" s="1076">
        <f>A181+30</f>
        <v>49857</v>
      </c>
      <c r="C182" s="1082">
        <f t="shared" si="51"/>
        <v>49857</v>
      </c>
      <c r="D182" s="1079" t="str">
        <f t="shared" si="52"/>
        <v/>
      </c>
      <c r="E182" s="177" t="str">
        <f t="shared" si="53"/>
        <v/>
      </c>
      <c r="F182" s="177" t="str">
        <f t="shared" si="54"/>
        <v>Original</v>
      </c>
      <c r="G182" s="1076">
        <f t="shared" si="55"/>
        <v>45135</v>
      </c>
      <c r="H182" s="1076">
        <f t="shared" si="56"/>
        <v>49857</v>
      </c>
      <c r="M182" s="1079">
        <v>125</v>
      </c>
      <c r="N182" s="1097"/>
      <c r="O182" s="1098"/>
      <c r="P182" s="1098"/>
      <c r="Q182" s="1098"/>
      <c r="R182" s="1098"/>
      <c r="S182" s="1098"/>
      <c r="T182" s="1098"/>
    </row>
    <row r="183" spans="1:20">
      <c r="A183" s="1076">
        <f>A182+31</f>
        <v>49888</v>
      </c>
      <c r="C183" s="1082">
        <f t="shared" si="51"/>
        <v>49888</v>
      </c>
      <c r="D183" s="1079" t="str">
        <f t="shared" si="52"/>
        <v/>
      </c>
      <c r="E183" s="177" t="str">
        <f t="shared" si="53"/>
        <v/>
      </c>
      <c r="F183" s="177" t="str">
        <f t="shared" si="54"/>
        <v>Original</v>
      </c>
      <c r="G183" s="1076">
        <f t="shared" si="55"/>
        <v>45135</v>
      </c>
      <c r="H183" s="1076">
        <f t="shared" si="56"/>
        <v>49888</v>
      </c>
      <c r="M183" s="1079">
        <v>126</v>
      </c>
      <c r="N183" s="1097"/>
      <c r="O183" s="1098"/>
      <c r="P183" s="1098"/>
      <c r="Q183" s="1098"/>
      <c r="R183" s="1098"/>
      <c r="S183" s="1098"/>
      <c r="T183" s="1098"/>
    </row>
    <row r="184" spans="1:20">
      <c r="A184" s="1076">
        <f>A183+31</f>
        <v>49919</v>
      </c>
      <c r="C184" s="1082">
        <f t="shared" si="51"/>
        <v>49919</v>
      </c>
      <c r="D184" s="1079" t="str">
        <f t="shared" si="52"/>
        <v/>
      </c>
      <c r="E184" s="177" t="str">
        <f t="shared" si="53"/>
        <v/>
      </c>
      <c r="F184" s="177" t="str">
        <f t="shared" si="54"/>
        <v>Original</v>
      </c>
      <c r="G184" s="1076">
        <f t="shared" si="55"/>
        <v>45135</v>
      </c>
      <c r="H184" s="1076">
        <f t="shared" si="56"/>
        <v>49919</v>
      </c>
      <c r="M184" s="1079">
        <v>127</v>
      </c>
      <c r="N184" s="1097"/>
      <c r="O184" s="1098"/>
      <c r="P184" s="1098"/>
      <c r="Q184" s="1098"/>
      <c r="R184" s="1098"/>
      <c r="S184" s="1098"/>
      <c r="T184" s="1098"/>
    </row>
    <row r="185" spans="1:20">
      <c r="A185" s="1076">
        <f>A184+30</f>
        <v>49949</v>
      </c>
      <c r="C185" s="1082">
        <f t="shared" si="51"/>
        <v>49949</v>
      </c>
      <c r="D185" s="1079" t="str">
        <f t="shared" si="52"/>
        <v/>
      </c>
      <c r="E185" s="177" t="str">
        <f t="shared" si="53"/>
        <v/>
      </c>
      <c r="F185" s="177" t="str">
        <f t="shared" si="54"/>
        <v>Original</v>
      </c>
      <c r="G185" s="1076">
        <f t="shared" si="55"/>
        <v>45135</v>
      </c>
      <c r="H185" s="1076">
        <f t="shared" si="56"/>
        <v>49949</v>
      </c>
      <c r="M185" s="1079">
        <v>128</v>
      </c>
      <c r="N185" s="1097"/>
      <c r="O185" s="1098"/>
      <c r="P185" s="1098"/>
      <c r="Q185" s="1098"/>
      <c r="R185" s="1098"/>
      <c r="S185" s="1098"/>
      <c r="T185" s="1098"/>
    </row>
    <row r="186" spans="1:20">
      <c r="A186" s="1076">
        <f>A185+31</f>
        <v>49980</v>
      </c>
      <c r="C186" s="1082">
        <f t="shared" si="51"/>
        <v>49980</v>
      </c>
      <c r="D186" s="1079" t="str">
        <f t="shared" si="52"/>
        <v/>
      </c>
      <c r="E186" s="177" t="str">
        <f t="shared" si="53"/>
        <v/>
      </c>
      <c r="F186" s="177" t="str">
        <f t="shared" si="54"/>
        <v>Original</v>
      </c>
      <c r="G186" s="1076">
        <f t="shared" si="55"/>
        <v>45135</v>
      </c>
      <c r="H186" s="1076">
        <f t="shared" si="56"/>
        <v>49980</v>
      </c>
      <c r="M186" s="1079">
        <v>129</v>
      </c>
      <c r="N186" s="1097"/>
      <c r="O186" s="1098"/>
      <c r="P186" s="1098"/>
      <c r="Q186" s="1098"/>
      <c r="R186" s="1098"/>
      <c r="S186" s="1098"/>
      <c r="T186" s="1098"/>
    </row>
    <row r="187" spans="1:20">
      <c r="A187" s="1076">
        <f>A186+30</f>
        <v>50010</v>
      </c>
      <c r="C187" s="1082">
        <f t="shared" si="51"/>
        <v>50010</v>
      </c>
      <c r="D187" s="1079" t="str">
        <f t="shared" si="52"/>
        <v/>
      </c>
      <c r="E187" s="177" t="str">
        <f t="shared" si="53"/>
        <v/>
      </c>
      <c r="F187" s="177" t="str">
        <f t="shared" si="54"/>
        <v>Original</v>
      </c>
      <c r="G187" s="1076">
        <f t="shared" si="55"/>
        <v>45135</v>
      </c>
      <c r="H187" s="1076">
        <f t="shared" si="56"/>
        <v>50010</v>
      </c>
      <c r="M187" s="1079">
        <v>130</v>
      </c>
      <c r="N187" s="1097"/>
      <c r="O187" s="1098"/>
      <c r="P187" s="1098"/>
      <c r="Q187" s="1098"/>
      <c r="R187" s="1098"/>
      <c r="S187" s="1098"/>
      <c r="T187" s="1098"/>
    </row>
    <row r="188" spans="1:20">
      <c r="A188" s="1076">
        <f>A187+31</f>
        <v>50041</v>
      </c>
      <c r="C188" s="1082">
        <f t="shared" si="51"/>
        <v>50041</v>
      </c>
      <c r="D188" s="1079" t="str">
        <f t="shared" si="52"/>
        <v/>
      </c>
      <c r="E188" s="177" t="str">
        <f t="shared" si="53"/>
        <v/>
      </c>
      <c r="F188" s="177" t="str">
        <f t="shared" si="54"/>
        <v>Original</v>
      </c>
      <c r="G188" s="1076">
        <f t="shared" si="55"/>
        <v>45135</v>
      </c>
      <c r="H188" s="1076">
        <f t="shared" si="56"/>
        <v>50041</v>
      </c>
      <c r="M188" s="1079">
        <v>131</v>
      </c>
      <c r="N188" s="1097"/>
      <c r="O188" s="1098"/>
      <c r="P188" s="1098"/>
      <c r="Q188" s="1098"/>
      <c r="R188" s="1098"/>
      <c r="S188" s="1098"/>
      <c r="T188" s="1098"/>
    </row>
    <row r="189" spans="1:20">
      <c r="A189" s="1076">
        <f>A188+31</f>
        <v>50072</v>
      </c>
      <c r="B189" s="177" t="b">
        <f>ISNA(VLOOKUP(A189,$E$4:$E$13,1,FALSE))</f>
        <v>1</v>
      </c>
      <c r="C189" s="1082">
        <f t="shared" si="51"/>
        <v>50072</v>
      </c>
      <c r="D189" s="1079" t="str">
        <f t="shared" si="52"/>
        <v/>
      </c>
      <c r="E189" s="177" t="str">
        <f t="shared" si="53"/>
        <v/>
      </c>
      <c r="F189" s="177" t="str">
        <f t="shared" si="54"/>
        <v>Original</v>
      </c>
      <c r="G189" s="1076">
        <f t="shared" si="55"/>
        <v>45135</v>
      </c>
      <c r="H189" s="1076">
        <f t="shared" si="56"/>
        <v>50072</v>
      </c>
      <c r="M189" s="1079">
        <v>132</v>
      </c>
      <c r="N189" s="1097"/>
      <c r="O189" s="1098"/>
      <c r="P189" s="1098"/>
      <c r="Q189" s="1098"/>
      <c r="R189" s="1098"/>
      <c r="S189" s="1098"/>
      <c r="T189" s="1098"/>
    </row>
    <row r="190" spans="1:20">
      <c r="A190" s="1076">
        <f>IF(B189=TRUE,(A189+28),(A189+29))</f>
        <v>50100</v>
      </c>
      <c r="C190" s="1082">
        <f t="shared" si="51"/>
        <v>50100</v>
      </c>
      <c r="D190" s="1079" t="str">
        <f t="shared" si="52"/>
        <v/>
      </c>
      <c r="E190" s="177" t="str">
        <f t="shared" si="53"/>
        <v/>
      </c>
      <c r="F190" s="177" t="str">
        <f t="shared" si="54"/>
        <v>Original</v>
      </c>
      <c r="G190" s="1076">
        <f t="shared" si="55"/>
        <v>45135</v>
      </c>
      <c r="H190" s="1076">
        <f t="shared" si="56"/>
        <v>50100</v>
      </c>
      <c r="M190" s="1079">
        <v>133</v>
      </c>
      <c r="N190" s="1097"/>
      <c r="O190" s="1098"/>
      <c r="P190" s="1098"/>
      <c r="Q190" s="1098"/>
      <c r="R190" s="1098"/>
      <c r="S190" s="1098"/>
      <c r="T190" s="1098"/>
    </row>
    <row r="191" spans="1:20">
      <c r="A191" s="1076">
        <f>A190+31</f>
        <v>50131</v>
      </c>
      <c r="C191" s="1082">
        <f t="shared" si="51"/>
        <v>50131</v>
      </c>
      <c r="D191" s="1079" t="str">
        <f t="shared" si="52"/>
        <v/>
      </c>
      <c r="E191" s="177" t="str">
        <f t="shared" si="53"/>
        <v/>
      </c>
      <c r="F191" s="177" t="str">
        <f t="shared" si="54"/>
        <v>Original</v>
      </c>
      <c r="G191" s="1076">
        <f t="shared" si="55"/>
        <v>45135</v>
      </c>
      <c r="H191" s="1076">
        <f t="shared" si="56"/>
        <v>50131</v>
      </c>
      <c r="M191" s="1079">
        <v>134</v>
      </c>
      <c r="N191" s="1097"/>
      <c r="O191" s="1098"/>
      <c r="P191" s="1098"/>
      <c r="Q191" s="1098"/>
      <c r="R191" s="1098"/>
      <c r="S191" s="1098"/>
      <c r="T191" s="1098"/>
    </row>
    <row r="192" spans="1:20">
      <c r="A192" s="1076">
        <f>A191+30</f>
        <v>50161</v>
      </c>
      <c r="C192" s="1082">
        <f t="shared" si="51"/>
        <v>50161</v>
      </c>
      <c r="D192" s="1079" t="str">
        <f t="shared" si="52"/>
        <v/>
      </c>
      <c r="E192" s="177" t="str">
        <f t="shared" si="53"/>
        <v/>
      </c>
      <c r="F192" s="177" t="str">
        <f t="shared" si="54"/>
        <v>Original</v>
      </c>
      <c r="G192" s="1076">
        <f t="shared" si="55"/>
        <v>45135</v>
      </c>
      <c r="H192" s="1076">
        <f t="shared" si="56"/>
        <v>50161</v>
      </c>
      <c r="M192" s="1079">
        <v>135</v>
      </c>
      <c r="N192" s="1097"/>
      <c r="O192" s="1098"/>
      <c r="P192" s="1098"/>
      <c r="Q192" s="1098"/>
      <c r="R192" s="1098"/>
      <c r="S192" s="1098"/>
      <c r="T192" s="1098"/>
    </row>
    <row r="193" spans="1:20">
      <c r="A193" s="1076">
        <f>A192+31</f>
        <v>50192</v>
      </c>
      <c r="C193" s="1082">
        <f t="shared" si="51"/>
        <v>50192</v>
      </c>
      <c r="D193" s="1079" t="str">
        <f t="shared" si="52"/>
        <v/>
      </c>
      <c r="E193" s="177" t="str">
        <f t="shared" si="53"/>
        <v/>
      </c>
      <c r="F193" s="177" t="str">
        <f t="shared" si="54"/>
        <v>Original</v>
      </c>
      <c r="G193" s="1076">
        <f t="shared" si="55"/>
        <v>45135</v>
      </c>
      <c r="H193" s="1076">
        <f t="shared" si="56"/>
        <v>50192</v>
      </c>
      <c r="M193" s="1079">
        <v>136</v>
      </c>
      <c r="N193" s="1097"/>
      <c r="O193" s="1098"/>
      <c r="P193" s="1098"/>
      <c r="Q193" s="1098"/>
      <c r="R193" s="1098"/>
      <c r="S193" s="1098"/>
      <c r="T193" s="1098"/>
    </row>
    <row r="194" spans="1:20">
      <c r="A194" s="1076">
        <f>A193+30</f>
        <v>50222</v>
      </c>
      <c r="C194" s="1082">
        <f t="shared" si="51"/>
        <v>50222</v>
      </c>
      <c r="D194" s="1079" t="str">
        <f t="shared" si="52"/>
        <v/>
      </c>
      <c r="E194" s="177" t="str">
        <f t="shared" si="53"/>
        <v/>
      </c>
      <c r="F194" s="177" t="str">
        <f t="shared" si="54"/>
        <v>Original</v>
      </c>
      <c r="G194" s="1076">
        <f t="shared" si="55"/>
        <v>45135</v>
      </c>
      <c r="H194" s="1076">
        <f t="shared" si="56"/>
        <v>50222</v>
      </c>
      <c r="M194" s="1079">
        <v>137</v>
      </c>
      <c r="N194" s="1097"/>
      <c r="O194" s="1098"/>
      <c r="P194" s="1098"/>
      <c r="Q194" s="1098"/>
      <c r="R194" s="1098"/>
      <c r="S194" s="1098"/>
      <c r="T194" s="1098"/>
    </row>
    <row r="195" spans="1:20">
      <c r="A195" s="1076">
        <f>A194+31</f>
        <v>50253</v>
      </c>
      <c r="C195" s="1082">
        <f t="shared" si="51"/>
        <v>50253</v>
      </c>
      <c r="D195" s="1079" t="str">
        <f t="shared" si="52"/>
        <v/>
      </c>
      <c r="E195" s="177" t="str">
        <f t="shared" si="53"/>
        <v/>
      </c>
      <c r="F195" s="177" t="str">
        <f t="shared" si="54"/>
        <v>Original</v>
      </c>
      <c r="G195" s="1076">
        <f t="shared" si="55"/>
        <v>45135</v>
      </c>
      <c r="H195" s="1076">
        <f t="shared" si="56"/>
        <v>50253</v>
      </c>
      <c r="M195" s="1079">
        <v>138</v>
      </c>
      <c r="N195" s="1097"/>
      <c r="O195" s="1098"/>
      <c r="P195" s="1098"/>
      <c r="Q195" s="1098"/>
      <c r="R195" s="1098"/>
      <c r="S195" s="1098"/>
      <c r="T195" s="1098"/>
    </row>
    <row r="196" spans="1:20">
      <c r="A196" s="1076">
        <f>A195+31</f>
        <v>50284</v>
      </c>
      <c r="C196" s="1082">
        <f t="shared" si="51"/>
        <v>50284</v>
      </c>
      <c r="D196" s="1079" t="str">
        <f t="shared" si="52"/>
        <v/>
      </c>
      <c r="E196" s="177" t="str">
        <f t="shared" si="53"/>
        <v/>
      </c>
      <c r="F196" s="177" t="str">
        <f t="shared" si="54"/>
        <v>Original</v>
      </c>
      <c r="G196" s="1076">
        <f t="shared" si="55"/>
        <v>45135</v>
      </c>
      <c r="H196" s="1076">
        <f t="shared" si="56"/>
        <v>50284</v>
      </c>
      <c r="M196" s="1079">
        <v>139</v>
      </c>
      <c r="N196" s="1097"/>
      <c r="O196" s="1098"/>
      <c r="P196" s="1098"/>
      <c r="Q196" s="1098"/>
      <c r="R196" s="1098"/>
      <c r="S196" s="1098"/>
      <c r="T196" s="1098"/>
    </row>
    <row r="197" spans="1:20">
      <c r="A197" s="1076">
        <f>A196+30</f>
        <v>50314</v>
      </c>
      <c r="C197" s="1082">
        <f t="shared" si="51"/>
        <v>50314</v>
      </c>
      <c r="D197" s="1079" t="str">
        <f t="shared" si="52"/>
        <v/>
      </c>
      <c r="E197" s="177" t="str">
        <f t="shared" si="53"/>
        <v/>
      </c>
      <c r="F197" s="177" t="str">
        <f t="shared" si="54"/>
        <v>Original</v>
      </c>
      <c r="G197" s="1076">
        <f t="shared" si="55"/>
        <v>45135</v>
      </c>
      <c r="H197" s="1076">
        <f t="shared" si="56"/>
        <v>50314</v>
      </c>
      <c r="M197" s="1079">
        <v>140</v>
      </c>
      <c r="N197" s="1097"/>
      <c r="O197" s="1098"/>
      <c r="P197" s="1098"/>
      <c r="Q197" s="1098"/>
      <c r="R197" s="1098"/>
      <c r="S197" s="1098"/>
      <c r="T197" s="1098"/>
    </row>
    <row r="198" spans="1:20">
      <c r="A198" s="1076">
        <f>A197+31</f>
        <v>50345</v>
      </c>
      <c r="C198" s="1082">
        <f t="shared" si="51"/>
        <v>50345</v>
      </c>
      <c r="D198" s="1079" t="str">
        <f t="shared" si="52"/>
        <v/>
      </c>
      <c r="E198" s="177" t="str">
        <f t="shared" si="53"/>
        <v/>
      </c>
      <c r="F198" s="177" t="str">
        <f t="shared" si="54"/>
        <v>Original</v>
      </c>
      <c r="G198" s="1076">
        <f t="shared" si="55"/>
        <v>45135</v>
      </c>
      <c r="H198" s="1076">
        <f t="shared" si="56"/>
        <v>50345</v>
      </c>
      <c r="M198" s="1079">
        <v>141</v>
      </c>
      <c r="N198" s="1097"/>
      <c r="O198" s="1098"/>
      <c r="P198" s="1098"/>
      <c r="Q198" s="1098"/>
      <c r="R198" s="1098"/>
      <c r="S198" s="1098"/>
      <c r="T198" s="1098"/>
    </row>
    <row r="199" spans="1:20">
      <c r="A199" s="1076">
        <f>A198+30</f>
        <v>50375</v>
      </c>
      <c r="C199" s="1082">
        <f t="shared" si="51"/>
        <v>50375</v>
      </c>
      <c r="D199" s="1079" t="str">
        <f t="shared" si="52"/>
        <v/>
      </c>
      <c r="E199" s="177" t="str">
        <f t="shared" si="53"/>
        <v/>
      </c>
      <c r="F199" s="177" t="str">
        <f t="shared" si="54"/>
        <v>Original</v>
      </c>
      <c r="G199" s="1076">
        <f t="shared" si="55"/>
        <v>45135</v>
      </c>
      <c r="H199" s="1076">
        <f t="shared" si="56"/>
        <v>50375</v>
      </c>
      <c r="M199" s="1079">
        <v>142</v>
      </c>
      <c r="N199" s="1097"/>
      <c r="O199" s="1098"/>
      <c r="P199" s="1098"/>
      <c r="Q199" s="1098"/>
      <c r="R199" s="1098"/>
      <c r="S199" s="1098"/>
      <c r="T199" s="1098"/>
    </row>
    <row r="200" spans="1:20">
      <c r="A200" s="1076">
        <f>A199+31</f>
        <v>50406</v>
      </c>
      <c r="C200" s="1082">
        <f t="shared" si="51"/>
        <v>50406</v>
      </c>
      <c r="D200" s="1079" t="str">
        <f t="shared" si="52"/>
        <v/>
      </c>
      <c r="E200" s="177" t="str">
        <f t="shared" si="53"/>
        <v/>
      </c>
      <c r="F200" s="177" t="str">
        <f t="shared" si="54"/>
        <v>Original</v>
      </c>
      <c r="G200" s="1076">
        <f t="shared" si="55"/>
        <v>45135</v>
      </c>
      <c r="H200" s="1076">
        <f t="shared" si="56"/>
        <v>50406</v>
      </c>
      <c r="M200" s="1079">
        <v>143</v>
      </c>
      <c r="N200" s="1097"/>
      <c r="O200" s="1098"/>
      <c r="P200" s="1098"/>
      <c r="Q200" s="1098"/>
      <c r="R200" s="1098"/>
      <c r="S200" s="1098"/>
      <c r="T200" s="1098"/>
    </row>
    <row r="201" spans="1:20">
      <c r="A201" s="1076">
        <f>A200+31</f>
        <v>50437</v>
      </c>
      <c r="B201" s="177" t="b">
        <f>ISNA(VLOOKUP(A201,$E$4:$E$13,1,FALSE))</f>
        <v>1</v>
      </c>
      <c r="C201" s="1082">
        <f t="shared" si="51"/>
        <v>50437</v>
      </c>
      <c r="D201" s="1079" t="str">
        <f t="shared" si="52"/>
        <v/>
      </c>
      <c r="E201" s="177" t="str">
        <f t="shared" si="53"/>
        <v/>
      </c>
      <c r="F201" s="177" t="str">
        <f t="shared" si="54"/>
        <v>Original</v>
      </c>
      <c r="G201" s="1076">
        <f t="shared" si="55"/>
        <v>45135</v>
      </c>
      <c r="H201" s="1076">
        <f t="shared" si="56"/>
        <v>50437</v>
      </c>
      <c r="M201" s="1079">
        <v>144</v>
      </c>
      <c r="N201" s="1097"/>
      <c r="O201" s="1098"/>
      <c r="P201" s="1098"/>
      <c r="Q201" s="1098"/>
      <c r="R201" s="1098"/>
      <c r="S201" s="1098"/>
      <c r="T201" s="1098"/>
    </row>
    <row r="202" spans="1:20">
      <c r="A202" s="1076">
        <f>IF(B201=TRUE,(A201+28),(A201+29))</f>
        <v>50465</v>
      </c>
      <c r="C202" s="1082">
        <f t="shared" si="51"/>
        <v>50465</v>
      </c>
      <c r="D202" s="1079" t="str">
        <f t="shared" si="52"/>
        <v/>
      </c>
      <c r="E202" s="177" t="str">
        <f t="shared" si="53"/>
        <v/>
      </c>
      <c r="F202" s="177" t="str">
        <f t="shared" si="54"/>
        <v>Original</v>
      </c>
      <c r="G202" s="1076">
        <f t="shared" si="55"/>
        <v>45135</v>
      </c>
      <c r="H202" s="1076">
        <f t="shared" si="56"/>
        <v>50465</v>
      </c>
      <c r="M202" s="1079">
        <v>145</v>
      </c>
      <c r="N202" s="1097"/>
      <c r="O202" s="1098"/>
      <c r="P202" s="1098"/>
      <c r="Q202" s="1098"/>
      <c r="R202" s="1098"/>
      <c r="S202" s="1098"/>
      <c r="T202" s="1098"/>
    </row>
    <row r="203" spans="1:20">
      <c r="A203" s="1076">
        <f>A202+31</f>
        <v>50496</v>
      </c>
      <c r="C203" s="1082">
        <f t="shared" si="51"/>
        <v>50496</v>
      </c>
      <c r="D203" s="1079" t="str">
        <f t="shared" si="52"/>
        <v/>
      </c>
      <c r="E203" s="177" t="str">
        <f t="shared" si="53"/>
        <v/>
      </c>
      <c r="F203" s="177" t="str">
        <f t="shared" si="54"/>
        <v>Original</v>
      </c>
      <c r="G203" s="1076">
        <f t="shared" si="55"/>
        <v>45135</v>
      </c>
      <c r="H203" s="1076">
        <f t="shared" si="56"/>
        <v>50496</v>
      </c>
      <c r="M203" s="1079">
        <v>146</v>
      </c>
      <c r="N203" s="1097"/>
      <c r="O203" s="1098"/>
      <c r="P203" s="1098"/>
      <c r="Q203" s="1098"/>
      <c r="R203" s="1098"/>
      <c r="S203" s="1098"/>
      <c r="T203" s="1098"/>
    </row>
    <row r="204" spans="1:20">
      <c r="A204" s="1076">
        <f>A203+30</f>
        <v>50526</v>
      </c>
      <c r="C204" s="1082">
        <f t="shared" si="51"/>
        <v>50526</v>
      </c>
      <c r="D204" s="1079" t="str">
        <f t="shared" si="52"/>
        <v/>
      </c>
      <c r="E204" s="177" t="str">
        <f t="shared" si="53"/>
        <v/>
      </c>
      <c r="F204" s="177" t="str">
        <f t="shared" si="54"/>
        <v>Original</v>
      </c>
      <c r="G204" s="1076">
        <f t="shared" si="55"/>
        <v>45135</v>
      </c>
      <c r="H204" s="1076">
        <f t="shared" si="56"/>
        <v>50526</v>
      </c>
      <c r="M204" s="1079">
        <v>147</v>
      </c>
      <c r="N204" s="1097"/>
      <c r="O204" s="1098"/>
      <c r="P204" s="1098"/>
      <c r="Q204" s="1098"/>
      <c r="R204" s="1098"/>
      <c r="S204" s="1098"/>
      <c r="T204" s="1098"/>
    </row>
    <row r="205" spans="1:20">
      <c r="A205" s="1076">
        <f>A204+31</f>
        <v>50557</v>
      </c>
      <c r="C205" s="1082">
        <f t="shared" si="51"/>
        <v>50557</v>
      </c>
      <c r="D205" s="1079" t="str">
        <f t="shared" si="52"/>
        <v/>
      </c>
      <c r="E205" s="177" t="str">
        <f t="shared" si="53"/>
        <v/>
      </c>
      <c r="F205" s="177" t="str">
        <f t="shared" si="54"/>
        <v>Original</v>
      </c>
      <c r="G205" s="1076">
        <f t="shared" si="55"/>
        <v>45135</v>
      </c>
      <c r="H205" s="1076">
        <f t="shared" si="56"/>
        <v>50557</v>
      </c>
      <c r="M205" s="1079">
        <v>148</v>
      </c>
      <c r="N205" s="1097"/>
      <c r="O205" s="1098"/>
      <c r="P205" s="1098"/>
      <c r="Q205" s="1098"/>
      <c r="R205" s="1098"/>
      <c r="S205" s="1098"/>
      <c r="T205" s="1098"/>
    </row>
    <row r="206" spans="1:20">
      <c r="A206" s="1076">
        <f>A205+30</f>
        <v>50587</v>
      </c>
      <c r="C206" s="1082">
        <f t="shared" si="51"/>
        <v>50587</v>
      </c>
      <c r="D206" s="1079" t="str">
        <f t="shared" si="52"/>
        <v/>
      </c>
      <c r="E206" s="177" t="str">
        <f t="shared" si="53"/>
        <v/>
      </c>
      <c r="F206" s="177" t="str">
        <f t="shared" si="54"/>
        <v>Original</v>
      </c>
      <c r="G206" s="1076">
        <f t="shared" si="55"/>
        <v>45135</v>
      </c>
      <c r="H206" s="1076">
        <f t="shared" si="56"/>
        <v>50587</v>
      </c>
      <c r="M206" s="1079">
        <v>149</v>
      </c>
      <c r="N206" s="1097"/>
      <c r="O206" s="1098"/>
      <c r="P206" s="1098"/>
      <c r="Q206" s="1098"/>
      <c r="R206" s="1098"/>
      <c r="S206" s="1098"/>
      <c r="T206" s="1098"/>
    </row>
    <row r="207" spans="1:20">
      <c r="A207" s="1076">
        <f>A206+31</f>
        <v>50618</v>
      </c>
      <c r="C207" s="1082">
        <f t="shared" si="51"/>
        <v>50618</v>
      </c>
      <c r="D207" s="1079" t="str">
        <f t="shared" si="52"/>
        <v/>
      </c>
      <c r="E207" s="177" t="str">
        <f t="shared" si="53"/>
        <v/>
      </c>
      <c r="F207" s="177" t="str">
        <f t="shared" si="54"/>
        <v>Original</v>
      </c>
      <c r="G207" s="1076">
        <f t="shared" si="55"/>
        <v>45135</v>
      </c>
      <c r="H207" s="1076">
        <f t="shared" si="56"/>
        <v>50618</v>
      </c>
      <c r="M207" s="1079">
        <v>150</v>
      </c>
      <c r="N207" s="1097"/>
      <c r="O207" s="1098"/>
      <c r="P207" s="1098"/>
      <c r="Q207" s="1098"/>
      <c r="R207" s="1098"/>
      <c r="S207" s="1098"/>
      <c r="T207" s="1098"/>
    </row>
    <row r="208" spans="1:20">
      <c r="A208" s="1076">
        <f>A207+31</f>
        <v>50649</v>
      </c>
      <c r="C208" s="1082">
        <f t="shared" si="51"/>
        <v>50649</v>
      </c>
      <c r="D208" s="1079" t="str">
        <f t="shared" si="52"/>
        <v/>
      </c>
      <c r="E208" s="177" t="str">
        <f t="shared" si="53"/>
        <v/>
      </c>
      <c r="F208" s="177" t="str">
        <f t="shared" si="54"/>
        <v>Original</v>
      </c>
      <c r="G208" s="1076">
        <f t="shared" si="55"/>
        <v>45135</v>
      </c>
      <c r="H208" s="1076">
        <f t="shared" si="56"/>
        <v>50649</v>
      </c>
    </row>
    <row r="209" spans="1:8">
      <c r="A209" s="1076">
        <f>A208+30</f>
        <v>50679</v>
      </c>
      <c r="C209" s="1082">
        <f t="shared" si="51"/>
        <v>50679</v>
      </c>
      <c r="D209" s="1079" t="str">
        <f t="shared" si="52"/>
        <v/>
      </c>
      <c r="E209" s="177" t="str">
        <f t="shared" si="53"/>
        <v/>
      </c>
      <c r="F209" s="177" t="str">
        <f t="shared" si="54"/>
        <v>Original</v>
      </c>
      <c r="G209" s="1076">
        <f t="shared" si="55"/>
        <v>45135</v>
      </c>
      <c r="H209" s="1076">
        <f t="shared" si="56"/>
        <v>50679</v>
      </c>
    </row>
    <row r="210" spans="1:8">
      <c r="A210" s="1076">
        <f>A209+31</f>
        <v>50710</v>
      </c>
      <c r="C210" s="1082">
        <f t="shared" si="51"/>
        <v>50710</v>
      </c>
      <c r="D210" s="1079" t="str">
        <f t="shared" si="52"/>
        <v/>
      </c>
      <c r="E210" s="177" t="str">
        <f t="shared" si="53"/>
        <v/>
      </c>
      <c r="F210" s="177" t="str">
        <f t="shared" si="54"/>
        <v>Original</v>
      </c>
      <c r="G210" s="1076">
        <f t="shared" si="55"/>
        <v>45135</v>
      </c>
      <c r="H210" s="1076">
        <f t="shared" si="56"/>
        <v>50710</v>
      </c>
    </row>
    <row r="211" spans="1:8">
      <c r="A211" s="1076">
        <f>A210+30</f>
        <v>50740</v>
      </c>
      <c r="C211" s="1082">
        <f t="shared" si="51"/>
        <v>50740</v>
      </c>
      <c r="D211" s="1079" t="str">
        <f t="shared" si="52"/>
        <v/>
      </c>
      <c r="E211" s="177" t="str">
        <f t="shared" si="53"/>
        <v/>
      </c>
      <c r="F211" s="177" t="str">
        <f t="shared" si="54"/>
        <v>Original</v>
      </c>
      <c r="G211" s="1076">
        <f t="shared" si="55"/>
        <v>45135</v>
      </c>
      <c r="H211" s="1076">
        <f t="shared" si="56"/>
        <v>50740</v>
      </c>
    </row>
    <row r="212" spans="1:8">
      <c r="A212" s="1076">
        <f>A211+31</f>
        <v>50771</v>
      </c>
      <c r="C212" s="1082">
        <f t="shared" si="51"/>
        <v>50771</v>
      </c>
      <c r="D212" s="1079" t="str">
        <f t="shared" si="52"/>
        <v/>
      </c>
      <c r="E212" s="177" t="str">
        <f t="shared" si="53"/>
        <v/>
      </c>
      <c r="F212" s="177" t="str">
        <f t="shared" si="54"/>
        <v>Original</v>
      </c>
      <c r="G212" s="1076">
        <f t="shared" si="55"/>
        <v>45135</v>
      </c>
      <c r="H212" s="1076">
        <f t="shared" si="56"/>
        <v>50771</v>
      </c>
    </row>
    <row r="213" spans="1:8">
      <c r="A213" s="1076">
        <f>A212+31</f>
        <v>50802</v>
      </c>
      <c r="B213" s="177" t="b">
        <f>ISNA(VLOOKUP(A213,$E$4:$E$13,1,FALSE))</f>
        <v>1</v>
      </c>
      <c r="C213" s="1082">
        <f t="shared" ref="C213:C224" si="57">A213</f>
        <v>50802</v>
      </c>
      <c r="D213" s="1079" t="str">
        <f t="shared" ref="D213:D224" si="58">IF(($P$23-C213)&lt;0,"",($P$23-C213))</f>
        <v/>
      </c>
      <c r="E213" s="177" t="str">
        <f t="shared" ref="E213:E224" si="59">IF(D213="","",RANK(D213,$D$20:$D$215,1))</f>
        <v/>
      </c>
      <c r="F213" s="177" t="str">
        <f t="shared" ref="F213:F224" si="60">IF(A213&lt;$L$37,$K$36,IF(A213&lt;$L$38,$K$37,IF(A213&lt;$L$39,$K$38,IF(A213&lt;$L$40,$K$39,IF(A213&lt;$L$41,$K$40,$K$41)))))</f>
        <v>Original</v>
      </c>
      <c r="G213" s="1076">
        <f t="shared" ref="G213:G224" si="61">VLOOKUP(F213,$K$36:$L$41,2,FALSE)</f>
        <v>45135</v>
      </c>
      <c r="H213" s="1076">
        <f t="shared" ref="H213:H224" si="62">A213</f>
        <v>50802</v>
      </c>
    </row>
    <row r="214" spans="1:8">
      <c r="A214" s="1076">
        <f>IF(B213=TRUE,(A213+28),(A213+29))</f>
        <v>50830</v>
      </c>
      <c r="C214" s="1082">
        <f t="shared" si="57"/>
        <v>50830</v>
      </c>
      <c r="D214" s="1079" t="str">
        <f t="shared" si="58"/>
        <v/>
      </c>
      <c r="E214" s="177" t="str">
        <f t="shared" si="59"/>
        <v/>
      </c>
      <c r="F214" s="177" t="str">
        <f t="shared" si="60"/>
        <v>Original</v>
      </c>
      <c r="G214" s="1076">
        <f t="shared" si="61"/>
        <v>45135</v>
      </c>
      <c r="H214" s="1076">
        <f t="shared" si="62"/>
        <v>50830</v>
      </c>
    </row>
    <row r="215" spans="1:8">
      <c r="A215" s="1076">
        <f>A214+31</f>
        <v>50861</v>
      </c>
      <c r="C215" s="1082">
        <f t="shared" si="57"/>
        <v>50861</v>
      </c>
      <c r="D215" s="1079" t="str">
        <f t="shared" si="58"/>
        <v/>
      </c>
      <c r="E215" s="177" t="str">
        <f t="shared" si="59"/>
        <v/>
      </c>
      <c r="F215" s="177" t="str">
        <f t="shared" si="60"/>
        <v>Original</v>
      </c>
      <c r="G215" s="1076">
        <f t="shared" si="61"/>
        <v>45135</v>
      </c>
      <c r="H215" s="1076">
        <f t="shared" si="62"/>
        <v>50861</v>
      </c>
    </row>
    <row r="216" spans="1:8">
      <c r="A216" s="1076">
        <f>A215+30</f>
        <v>50891</v>
      </c>
      <c r="C216" s="1082">
        <f t="shared" si="57"/>
        <v>50891</v>
      </c>
      <c r="D216" s="1079" t="str">
        <f t="shared" si="58"/>
        <v/>
      </c>
      <c r="E216" s="177" t="str">
        <f t="shared" si="59"/>
        <v/>
      </c>
      <c r="F216" s="177" t="str">
        <f t="shared" si="60"/>
        <v>Original</v>
      </c>
      <c r="G216" s="1076">
        <f t="shared" si="61"/>
        <v>45135</v>
      </c>
      <c r="H216" s="1076">
        <f t="shared" si="62"/>
        <v>50891</v>
      </c>
    </row>
    <row r="217" spans="1:8">
      <c r="A217" s="1076">
        <f>A216+31</f>
        <v>50922</v>
      </c>
      <c r="C217" s="1082">
        <f t="shared" si="57"/>
        <v>50922</v>
      </c>
      <c r="D217" s="1079" t="str">
        <f t="shared" si="58"/>
        <v/>
      </c>
      <c r="E217" s="177" t="str">
        <f t="shared" si="59"/>
        <v/>
      </c>
      <c r="F217" s="177" t="str">
        <f t="shared" si="60"/>
        <v>Original</v>
      </c>
      <c r="G217" s="1076">
        <f t="shared" si="61"/>
        <v>45135</v>
      </c>
      <c r="H217" s="1076">
        <f t="shared" si="62"/>
        <v>50922</v>
      </c>
    </row>
    <row r="218" spans="1:8">
      <c r="A218" s="1076">
        <f>A217+30</f>
        <v>50952</v>
      </c>
      <c r="C218" s="1082">
        <f t="shared" si="57"/>
        <v>50952</v>
      </c>
      <c r="D218" s="1079" t="str">
        <f t="shared" si="58"/>
        <v/>
      </c>
      <c r="E218" s="177" t="str">
        <f t="shared" si="59"/>
        <v/>
      </c>
      <c r="F218" s="177" t="str">
        <f t="shared" si="60"/>
        <v>Original</v>
      </c>
      <c r="G218" s="1076">
        <f t="shared" si="61"/>
        <v>45135</v>
      </c>
      <c r="H218" s="1076">
        <f t="shared" si="62"/>
        <v>50952</v>
      </c>
    </row>
    <row r="219" spans="1:8">
      <c r="A219" s="1076">
        <f>A218+31</f>
        <v>50983</v>
      </c>
      <c r="C219" s="1082">
        <f t="shared" si="57"/>
        <v>50983</v>
      </c>
      <c r="D219" s="1079" t="str">
        <f t="shared" si="58"/>
        <v/>
      </c>
      <c r="E219" s="177" t="str">
        <f t="shared" si="59"/>
        <v/>
      </c>
      <c r="F219" s="177" t="str">
        <f t="shared" si="60"/>
        <v>Original</v>
      </c>
      <c r="G219" s="1076">
        <f t="shared" si="61"/>
        <v>45135</v>
      </c>
      <c r="H219" s="1076">
        <f t="shared" si="62"/>
        <v>50983</v>
      </c>
    </row>
    <row r="220" spans="1:8">
      <c r="A220" s="1076">
        <f>A219+31</f>
        <v>51014</v>
      </c>
      <c r="C220" s="1082">
        <f t="shared" si="57"/>
        <v>51014</v>
      </c>
      <c r="D220" s="1079" t="str">
        <f t="shared" si="58"/>
        <v/>
      </c>
      <c r="E220" s="177" t="str">
        <f t="shared" si="59"/>
        <v/>
      </c>
      <c r="F220" s="177" t="str">
        <f t="shared" si="60"/>
        <v>Original</v>
      </c>
      <c r="G220" s="1076">
        <f t="shared" si="61"/>
        <v>45135</v>
      </c>
      <c r="H220" s="1076">
        <f t="shared" si="62"/>
        <v>51014</v>
      </c>
    </row>
    <row r="221" spans="1:8">
      <c r="A221" s="1076">
        <f>A220+30</f>
        <v>51044</v>
      </c>
      <c r="C221" s="1082">
        <f t="shared" si="57"/>
        <v>51044</v>
      </c>
      <c r="D221" s="1079" t="str">
        <f t="shared" si="58"/>
        <v/>
      </c>
      <c r="E221" s="177" t="str">
        <f t="shared" si="59"/>
        <v/>
      </c>
      <c r="F221" s="177" t="str">
        <f t="shared" si="60"/>
        <v>Original</v>
      </c>
      <c r="G221" s="1076">
        <f t="shared" si="61"/>
        <v>45135</v>
      </c>
      <c r="H221" s="1076">
        <f t="shared" si="62"/>
        <v>51044</v>
      </c>
    </row>
    <row r="222" spans="1:8">
      <c r="A222" s="1076">
        <f>A221+31</f>
        <v>51075</v>
      </c>
      <c r="C222" s="1082">
        <f t="shared" si="57"/>
        <v>51075</v>
      </c>
      <c r="D222" s="1079" t="str">
        <f t="shared" si="58"/>
        <v/>
      </c>
      <c r="E222" s="177" t="str">
        <f t="shared" si="59"/>
        <v/>
      </c>
      <c r="F222" s="177" t="str">
        <f t="shared" si="60"/>
        <v>Original</v>
      </c>
      <c r="G222" s="1076">
        <f t="shared" si="61"/>
        <v>45135</v>
      </c>
      <c r="H222" s="1076">
        <f t="shared" si="62"/>
        <v>51075</v>
      </c>
    </row>
    <row r="223" spans="1:8">
      <c r="A223" s="1076">
        <f>A222+30</f>
        <v>51105</v>
      </c>
      <c r="C223" s="1082">
        <f t="shared" si="57"/>
        <v>51105</v>
      </c>
      <c r="D223" s="1079" t="str">
        <f t="shared" si="58"/>
        <v/>
      </c>
      <c r="E223" s="177" t="str">
        <f t="shared" si="59"/>
        <v/>
      </c>
      <c r="F223" s="177" t="str">
        <f t="shared" si="60"/>
        <v>Original</v>
      </c>
      <c r="G223" s="1076">
        <f t="shared" si="61"/>
        <v>45135</v>
      </c>
      <c r="H223" s="1076">
        <f t="shared" si="62"/>
        <v>51105</v>
      </c>
    </row>
    <row r="224" spans="1:8">
      <c r="A224" s="1076">
        <f>A223+31</f>
        <v>51136</v>
      </c>
      <c r="C224" s="1082">
        <f t="shared" si="57"/>
        <v>51136</v>
      </c>
      <c r="D224" s="1079" t="str">
        <f t="shared" si="58"/>
        <v/>
      </c>
      <c r="E224" s="177" t="str">
        <f t="shared" si="59"/>
        <v/>
      </c>
      <c r="F224" s="177" t="str">
        <f t="shared" si="60"/>
        <v>Original</v>
      </c>
      <c r="G224" s="1076">
        <f t="shared" si="61"/>
        <v>45135</v>
      </c>
      <c r="H224" s="1076">
        <f t="shared" si="62"/>
        <v>51136</v>
      </c>
    </row>
    <row r="225" spans="1:8">
      <c r="A225" s="1076">
        <f>A224+31</f>
        <v>51167</v>
      </c>
      <c r="B225" s="177" t="b">
        <f>ISNA(VLOOKUP(A225,$E$4:$E$13,1,FALSE))</f>
        <v>0</v>
      </c>
      <c r="C225" s="1082">
        <f t="shared" ref="C225:C287" si="63">A225</f>
        <v>51167</v>
      </c>
      <c r="D225" s="1079" t="str">
        <f t="shared" ref="D225:D287" si="64">IF(($P$23-C225)&lt;0,"",($P$23-C225))</f>
        <v/>
      </c>
      <c r="E225" s="177" t="str">
        <f t="shared" ref="E225:E287" si="65">IF(D225="","",RANK(D225,$D$20:$D$215,1))</f>
        <v/>
      </c>
      <c r="F225" s="177" t="str">
        <f t="shared" ref="F225:F287" si="66">IF(A225&lt;$L$37,$K$36,IF(A225&lt;$L$38,$K$37,IF(A225&lt;$L$39,$K$38,IF(A225&lt;$L$40,$K$39,IF(A225&lt;$L$41,$K$40,$K$41)))))</f>
        <v>Original</v>
      </c>
      <c r="G225" s="1076">
        <f t="shared" ref="G225:G287" si="67">VLOOKUP(F225,$K$36:$L$41,2,FALSE)</f>
        <v>45135</v>
      </c>
      <c r="H225" s="1076">
        <f t="shared" ref="H225:H287" si="68">A225</f>
        <v>51167</v>
      </c>
    </row>
    <row r="226" spans="1:8">
      <c r="A226" s="1076">
        <f>IF(B225=TRUE,(A225+28),(A225+29))</f>
        <v>51196</v>
      </c>
      <c r="C226" s="1082">
        <f t="shared" si="63"/>
        <v>51196</v>
      </c>
      <c r="D226" s="1079" t="str">
        <f t="shared" si="64"/>
        <v/>
      </c>
      <c r="E226" s="177" t="str">
        <f t="shared" si="65"/>
        <v/>
      </c>
      <c r="F226" s="177" t="str">
        <f t="shared" si="66"/>
        <v>Original</v>
      </c>
      <c r="G226" s="1076">
        <f t="shared" si="67"/>
        <v>45135</v>
      </c>
      <c r="H226" s="1076">
        <f t="shared" si="68"/>
        <v>51196</v>
      </c>
    </row>
    <row r="227" spans="1:8">
      <c r="A227" s="1076">
        <f>A226+31</f>
        <v>51227</v>
      </c>
      <c r="C227" s="1082">
        <f t="shared" si="63"/>
        <v>51227</v>
      </c>
      <c r="D227" s="1079" t="str">
        <f t="shared" si="64"/>
        <v/>
      </c>
      <c r="E227" s="177" t="str">
        <f t="shared" si="65"/>
        <v/>
      </c>
      <c r="F227" s="177" t="str">
        <f t="shared" si="66"/>
        <v>Original</v>
      </c>
      <c r="G227" s="1076">
        <f t="shared" si="67"/>
        <v>45135</v>
      </c>
      <c r="H227" s="1076">
        <f t="shared" si="68"/>
        <v>51227</v>
      </c>
    </row>
    <row r="228" spans="1:8">
      <c r="A228" s="1076">
        <f>A227+30</f>
        <v>51257</v>
      </c>
      <c r="C228" s="1082">
        <f t="shared" si="63"/>
        <v>51257</v>
      </c>
      <c r="D228" s="1079" t="str">
        <f t="shared" si="64"/>
        <v/>
      </c>
      <c r="E228" s="177" t="str">
        <f t="shared" si="65"/>
        <v/>
      </c>
      <c r="F228" s="177" t="str">
        <f t="shared" si="66"/>
        <v>Original</v>
      </c>
      <c r="G228" s="1076">
        <f t="shared" si="67"/>
        <v>45135</v>
      </c>
      <c r="H228" s="1076">
        <f t="shared" si="68"/>
        <v>51257</v>
      </c>
    </row>
    <row r="229" spans="1:8">
      <c r="A229" s="1076">
        <f>A228+31</f>
        <v>51288</v>
      </c>
      <c r="C229" s="1082">
        <f t="shared" si="63"/>
        <v>51288</v>
      </c>
      <c r="D229" s="1079" t="str">
        <f t="shared" si="64"/>
        <v/>
      </c>
      <c r="E229" s="177" t="str">
        <f t="shared" si="65"/>
        <v/>
      </c>
      <c r="F229" s="177" t="str">
        <f t="shared" si="66"/>
        <v>Original</v>
      </c>
      <c r="G229" s="1076">
        <f t="shared" si="67"/>
        <v>45135</v>
      </c>
      <c r="H229" s="1076">
        <f t="shared" si="68"/>
        <v>51288</v>
      </c>
    </row>
    <row r="230" spans="1:8">
      <c r="A230" s="1076">
        <f>A229+30</f>
        <v>51318</v>
      </c>
      <c r="C230" s="1082">
        <f t="shared" si="63"/>
        <v>51318</v>
      </c>
      <c r="D230" s="1079" t="str">
        <f t="shared" si="64"/>
        <v/>
      </c>
      <c r="E230" s="177" t="str">
        <f t="shared" si="65"/>
        <v/>
      </c>
      <c r="F230" s="177" t="str">
        <f t="shared" si="66"/>
        <v>Original</v>
      </c>
      <c r="G230" s="1076">
        <f t="shared" si="67"/>
        <v>45135</v>
      </c>
      <c r="H230" s="1076">
        <f t="shared" si="68"/>
        <v>51318</v>
      </c>
    </row>
    <row r="231" spans="1:8">
      <c r="A231" s="1076">
        <f>A230+31</f>
        <v>51349</v>
      </c>
      <c r="C231" s="1082">
        <f t="shared" si="63"/>
        <v>51349</v>
      </c>
      <c r="D231" s="1079" t="str">
        <f t="shared" si="64"/>
        <v/>
      </c>
      <c r="E231" s="177" t="str">
        <f t="shared" si="65"/>
        <v/>
      </c>
      <c r="F231" s="177" t="str">
        <f t="shared" si="66"/>
        <v>Original</v>
      </c>
      <c r="G231" s="1076">
        <f t="shared" si="67"/>
        <v>45135</v>
      </c>
      <c r="H231" s="1076">
        <f t="shared" si="68"/>
        <v>51349</v>
      </c>
    </row>
    <row r="232" spans="1:8">
      <c r="A232" s="1076">
        <f>A231+31</f>
        <v>51380</v>
      </c>
      <c r="C232" s="1082">
        <f t="shared" si="63"/>
        <v>51380</v>
      </c>
      <c r="D232" s="1079" t="str">
        <f t="shared" si="64"/>
        <v/>
      </c>
      <c r="E232" s="177" t="str">
        <f t="shared" si="65"/>
        <v/>
      </c>
      <c r="F232" s="177" t="str">
        <f t="shared" si="66"/>
        <v>Original</v>
      </c>
      <c r="G232" s="1076">
        <f t="shared" si="67"/>
        <v>45135</v>
      </c>
      <c r="H232" s="1076">
        <f t="shared" si="68"/>
        <v>51380</v>
      </c>
    </row>
    <row r="233" spans="1:8">
      <c r="A233" s="1076">
        <f>A232+30</f>
        <v>51410</v>
      </c>
      <c r="C233" s="1082">
        <f t="shared" si="63"/>
        <v>51410</v>
      </c>
      <c r="D233" s="1079" t="str">
        <f t="shared" si="64"/>
        <v/>
      </c>
      <c r="E233" s="177" t="str">
        <f t="shared" si="65"/>
        <v/>
      </c>
      <c r="F233" s="177" t="str">
        <f t="shared" si="66"/>
        <v>Original</v>
      </c>
      <c r="G233" s="1076">
        <f t="shared" si="67"/>
        <v>45135</v>
      </c>
      <c r="H233" s="1076">
        <f t="shared" si="68"/>
        <v>51410</v>
      </c>
    </row>
    <row r="234" spans="1:8">
      <c r="A234" s="1076">
        <f>A233+31</f>
        <v>51441</v>
      </c>
      <c r="C234" s="1082">
        <f t="shared" si="63"/>
        <v>51441</v>
      </c>
      <c r="D234" s="1079" t="str">
        <f t="shared" si="64"/>
        <v/>
      </c>
      <c r="E234" s="177" t="str">
        <f t="shared" si="65"/>
        <v/>
      </c>
      <c r="F234" s="177" t="str">
        <f t="shared" si="66"/>
        <v>Original</v>
      </c>
      <c r="G234" s="1076">
        <f t="shared" si="67"/>
        <v>45135</v>
      </c>
      <c r="H234" s="1076">
        <f t="shared" si="68"/>
        <v>51441</v>
      </c>
    </row>
    <row r="235" spans="1:8">
      <c r="A235" s="1076">
        <f>A234+30</f>
        <v>51471</v>
      </c>
      <c r="C235" s="1082">
        <f t="shared" si="63"/>
        <v>51471</v>
      </c>
      <c r="D235" s="1079" t="str">
        <f t="shared" si="64"/>
        <v/>
      </c>
      <c r="E235" s="177" t="str">
        <f t="shared" si="65"/>
        <v/>
      </c>
      <c r="F235" s="177" t="str">
        <f t="shared" si="66"/>
        <v>Original</v>
      </c>
      <c r="G235" s="1076">
        <f t="shared" si="67"/>
        <v>45135</v>
      </c>
      <c r="H235" s="1076">
        <f t="shared" si="68"/>
        <v>51471</v>
      </c>
    </row>
    <row r="236" spans="1:8">
      <c r="A236" s="1076">
        <f>A235+31</f>
        <v>51502</v>
      </c>
      <c r="C236" s="1082">
        <f t="shared" si="63"/>
        <v>51502</v>
      </c>
      <c r="D236" s="1079" t="str">
        <f t="shared" si="64"/>
        <v/>
      </c>
      <c r="E236" s="177" t="str">
        <f t="shared" si="65"/>
        <v/>
      </c>
      <c r="F236" s="177" t="str">
        <f t="shared" si="66"/>
        <v>Original</v>
      </c>
      <c r="G236" s="1076">
        <f t="shared" si="67"/>
        <v>45135</v>
      </c>
      <c r="H236" s="1076">
        <f t="shared" si="68"/>
        <v>51502</v>
      </c>
    </row>
    <row r="237" spans="1:8">
      <c r="A237" s="1076">
        <f>A236+31</f>
        <v>51533</v>
      </c>
      <c r="B237" s="177" t="b">
        <f>ISNA(VLOOKUP(A237,$E$4:$E$13,1,FALSE))</f>
        <v>1</v>
      </c>
      <c r="C237" s="1082">
        <f t="shared" si="63"/>
        <v>51533</v>
      </c>
      <c r="D237" s="1079" t="str">
        <f t="shared" si="64"/>
        <v/>
      </c>
      <c r="E237" s="177" t="str">
        <f t="shared" si="65"/>
        <v/>
      </c>
      <c r="F237" s="177" t="str">
        <f t="shared" si="66"/>
        <v>Original</v>
      </c>
      <c r="G237" s="1076">
        <f t="shared" si="67"/>
        <v>45135</v>
      </c>
      <c r="H237" s="1076">
        <f t="shared" si="68"/>
        <v>51533</v>
      </c>
    </row>
    <row r="238" spans="1:8">
      <c r="A238" s="1076">
        <f>IF(B237=TRUE,(A237+28),(A237+29))</f>
        <v>51561</v>
      </c>
      <c r="C238" s="1082">
        <f t="shared" si="63"/>
        <v>51561</v>
      </c>
      <c r="D238" s="1079" t="str">
        <f t="shared" si="64"/>
        <v/>
      </c>
      <c r="E238" s="177" t="str">
        <f t="shared" si="65"/>
        <v/>
      </c>
      <c r="F238" s="177" t="str">
        <f t="shared" si="66"/>
        <v>Original</v>
      </c>
      <c r="G238" s="1076">
        <f t="shared" si="67"/>
        <v>45135</v>
      </c>
      <c r="H238" s="1076">
        <f t="shared" si="68"/>
        <v>51561</v>
      </c>
    </row>
    <row r="239" spans="1:8">
      <c r="A239" s="1076">
        <f>A238+31</f>
        <v>51592</v>
      </c>
      <c r="C239" s="1082">
        <f t="shared" si="63"/>
        <v>51592</v>
      </c>
      <c r="D239" s="1079" t="str">
        <f t="shared" si="64"/>
        <v/>
      </c>
      <c r="E239" s="177" t="str">
        <f t="shared" si="65"/>
        <v/>
      </c>
      <c r="F239" s="177" t="str">
        <f t="shared" si="66"/>
        <v>Original</v>
      </c>
      <c r="G239" s="1076">
        <f t="shared" si="67"/>
        <v>45135</v>
      </c>
      <c r="H239" s="1076">
        <f t="shared" si="68"/>
        <v>51592</v>
      </c>
    </row>
    <row r="240" spans="1:8">
      <c r="A240" s="1076">
        <f>A239+30</f>
        <v>51622</v>
      </c>
      <c r="C240" s="1082">
        <f t="shared" si="63"/>
        <v>51622</v>
      </c>
      <c r="D240" s="1079" t="str">
        <f t="shared" si="64"/>
        <v/>
      </c>
      <c r="E240" s="177" t="str">
        <f t="shared" si="65"/>
        <v/>
      </c>
      <c r="F240" s="177" t="str">
        <f t="shared" si="66"/>
        <v>Original</v>
      </c>
      <c r="G240" s="1076">
        <f t="shared" si="67"/>
        <v>45135</v>
      </c>
      <c r="H240" s="1076">
        <f t="shared" si="68"/>
        <v>51622</v>
      </c>
    </row>
    <row r="241" spans="1:8">
      <c r="A241" s="1076">
        <f>A240+31</f>
        <v>51653</v>
      </c>
      <c r="C241" s="1082">
        <f t="shared" si="63"/>
        <v>51653</v>
      </c>
      <c r="D241" s="1079" t="str">
        <f t="shared" si="64"/>
        <v/>
      </c>
      <c r="E241" s="177" t="str">
        <f t="shared" si="65"/>
        <v/>
      </c>
      <c r="F241" s="177" t="str">
        <f t="shared" si="66"/>
        <v>Original</v>
      </c>
      <c r="G241" s="1076">
        <f t="shared" si="67"/>
        <v>45135</v>
      </c>
      <c r="H241" s="1076">
        <f t="shared" si="68"/>
        <v>51653</v>
      </c>
    </row>
    <row r="242" spans="1:8">
      <c r="A242" s="1076">
        <f>A241+30</f>
        <v>51683</v>
      </c>
      <c r="C242" s="1082">
        <f t="shared" si="63"/>
        <v>51683</v>
      </c>
      <c r="D242" s="1079" t="str">
        <f t="shared" si="64"/>
        <v/>
      </c>
      <c r="E242" s="177" t="str">
        <f t="shared" si="65"/>
        <v/>
      </c>
      <c r="F242" s="177" t="str">
        <f t="shared" si="66"/>
        <v>Original</v>
      </c>
      <c r="G242" s="1076">
        <f t="shared" si="67"/>
        <v>45135</v>
      </c>
      <c r="H242" s="1076">
        <f t="shared" si="68"/>
        <v>51683</v>
      </c>
    </row>
    <row r="243" spans="1:8">
      <c r="A243" s="1076">
        <f>A242+31</f>
        <v>51714</v>
      </c>
      <c r="C243" s="1082">
        <f t="shared" si="63"/>
        <v>51714</v>
      </c>
      <c r="D243" s="1079" t="str">
        <f t="shared" si="64"/>
        <v/>
      </c>
      <c r="E243" s="177" t="str">
        <f t="shared" si="65"/>
        <v/>
      </c>
      <c r="F243" s="177" t="str">
        <f t="shared" si="66"/>
        <v>Original</v>
      </c>
      <c r="G243" s="1076">
        <f t="shared" si="67"/>
        <v>45135</v>
      </c>
      <c r="H243" s="1076">
        <f t="shared" si="68"/>
        <v>51714</v>
      </c>
    </row>
    <row r="244" spans="1:8">
      <c r="A244" s="1076">
        <f>A243+31</f>
        <v>51745</v>
      </c>
      <c r="C244" s="1082">
        <f t="shared" si="63"/>
        <v>51745</v>
      </c>
      <c r="D244" s="1079" t="str">
        <f t="shared" si="64"/>
        <v/>
      </c>
      <c r="E244" s="177" t="str">
        <f t="shared" si="65"/>
        <v/>
      </c>
      <c r="F244" s="177" t="str">
        <f t="shared" si="66"/>
        <v>Original</v>
      </c>
      <c r="G244" s="1076">
        <f t="shared" si="67"/>
        <v>45135</v>
      </c>
      <c r="H244" s="1076">
        <f t="shared" si="68"/>
        <v>51745</v>
      </c>
    </row>
    <row r="245" spans="1:8">
      <c r="A245" s="1076">
        <f>A244+30</f>
        <v>51775</v>
      </c>
      <c r="C245" s="1082">
        <f t="shared" si="63"/>
        <v>51775</v>
      </c>
      <c r="D245" s="1079" t="str">
        <f t="shared" si="64"/>
        <v/>
      </c>
      <c r="E245" s="177" t="str">
        <f t="shared" si="65"/>
        <v/>
      </c>
      <c r="F245" s="177" t="str">
        <f t="shared" si="66"/>
        <v>Original</v>
      </c>
      <c r="G245" s="1076">
        <f t="shared" si="67"/>
        <v>45135</v>
      </c>
      <c r="H245" s="1076">
        <f t="shared" si="68"/>
        <v>51775</v>
      </c>
    </row>
    <row r="246" spans="1:8">
      <c r="A246" s="1076">
        <f>A245+31</f>
        <v>51806</v>
      </c>
      <c r="C246" s="1082">
        <f t="shared" si="63"/>
        <v>51806</v>
      </c>
      <c r="D246" s="1079" t="str">
        <f t="shared" si="64"/>
        <v/>
      </c>
      <c r="E246" s="177" t="str">
        <f t="shared" si="65"/>
        <v/>
      </c>
      <c r="F246" s="177" t="str">
        <f t="shared" si="66"/>
        <v>Original</v>
      </c>
      <c r="G246" s="1076">
        <f t="shared" si="67"/>
        <v>45135</v>
      </c>
      <c r="H246" s="1076">
        <f t="shared" si="68"/>
        <v>51806</v>
      </c>
    </row>
    <row r="247" spans="1:8">
      <c r="A247" s="1076">
        <f>A246+30</f>
        <v>51836</v>
      </c>
      <c r="C247" s="1082">
        <f t="shared" si="63"/>
        <v>51836</v>
      </c>
      <c r="D247" s="1079" t="str">
        <f t="shared" si="64"/>
        <v/>
      </c>
      <c r="E247" s="177" t="str">
        <f t="shared" si="65"/>
        <v/>
      </c>
      <c r="F247" s="177" t="str">
        <f t="shared" si="66"/>
        <v>Original</v>
      </c>
      <c r="G247" s="1076">
        <f t="shared" si="67"/>
        <v>45135</v>
      </c>
      <c r="H247" s="1076">
        <f t="shared" si="68"/>
        <v>51836</v>
      </c>
    </row>
    <row r="248" spans="1:8">
      <c r="A248" s="1076">
        <f>A247+31</f>
        <v>51867</v>
      </c>
      <c r="C248" s="1082">
        <f t="shared" si="63"/>
        <v>51867</v>
      </c>
      <c r="D248" s="1079" t="str">
        <f t="shared" si="64"/>
        <v/>
      </c>
      <c r="E248" s="177" t="str">
        <f t="shared" si="65"/>
        <v/>
      </c>
      <c r="F248" s="177" t="str">
        <f t="shared" si="66"/>
        <v>Original</v>
      </c>
      <c r="G248" s="1076">
        <f t="shared" si="67"/>
        <v>45135</v>
      </c>
      <c r="H248" s="1076">
        <f t="shared" si="68"/>
        <v>51867</v>
      </c>
    </row>
    <row r="249" spans="1:8">
      <c r="A249" s="1076">
        <f>A248+31</f>
        <v>51898</v>
      </c>
      <c r="B249" s="177" t="b">
        <f>ISNA(VLOOKUP(A249,$E$4:$E$13,1,FALSE))</f>
        <v>1</v>
      </c>
      <c r="C249" s="1082">
        <f t="shared" si="63"/>
        <v>51898</v>
      </c>
      <c r="D249" s="1079" t="str">
        <f t="shared" si="64"/>
        <v/>
      </c>
      <c r="E249" s="177" t="str">
        <f t="shared" si="65"/>
        <v/>
      </c>
      <c r="F249" s="177" t="str">
        <f t="shared" si="66"/>
        <v>Original</v>
      </c>
      <c r="G249" s="1076">
        <f t="shared" si="67"/>
        <v>45135</v>
      </c>
      <c r="H249" s="1076">
        <f t="shared" si="68"/>
        <v>51898</v>
      </c>
    </row>
    <row r="250" spans="1:8">
      <c r="A250" s="1076">
        <f>IF(B249=TRUE,(A249+28),(A249+29))</f>
        <v>51926</v>
      </c>
      <c r="C250" s="1082">
        <f t="shared" si="63"/>
        <v>51926</v>
      </c>
      <c r="D250" s="1079" t="str">
        <f t="shared" si="64"/>
        <v/>
      </c>
      <c r="E250" s="177" t="str">
        <f t="shared" si="65"/>
        <v/>
      </c>
      <c r="F250" s="177" t="str">
        <f t="shared" si="66"/>
        <v>Original</v>
      </c>
      <c r="G250" s="1076">
        <f t="shared" si="67"/>
        <v>45135</v>
      </c>
      <c r="H250" s="1076">
        <f t="shared" si="68"/>
        <v>51926</v>
      </c>
    </row>
    <row r="251" spans="1:8">
      <c r="A251" s="1076">
        <f>A250+31</f>
        <v>51957</v>
      </c>
      <c r="C251" s="1082">
        <f t="shared" si="63"/>
        <v>51957</v>
      </c>
      <c r="D251" s="1079" t="str">
        <f t="shared" si="64"/>
        <v/>
      </c>
      <c r="E251" s="177" t="str">
        <f t="shared" si="65"/>
        <v/>
      </c>
      <c r="F251" s="177" t="str">
        <f t="shared" si="66"/>
        <v>Original</v>
      </c>
      <c r="G251" s="1076">
        <f t="shared" si="67"/>
        <v>45135</v>
      </c>
      <c r="H251" s="1076">
        <f t="shared" si="68"/>
        <v>51957</v>
      </c>
    </row>
    <row r="252" spans="1:8">
      <c r="A252" s="1076">
        <f>A251+30</f>
        <v>51987</v>
      </c>
      <c r="C252" s="1082">
        <f t="shared" si="63"/>
        <v>51987</v>
      </c>
      <c r="D252" s="1079" t="str">
        <f t="shared" si="64"/>
        <v/>
      </c>
      <c r="E252" s="177" t="str">
        <f t="shared" si="65"/>
        <v/>
      </c>
      <c r="F252" s="177" t="str">
        <f t="shared" si="66"/>
        <v>Original</v>
      </c>
      <c r="G252" s="1076">
        <f t="shared" si="67"/>
        <v>45135</v>
      </c>
      <c r="H252" s="1076">
        <f t="shared" si="68"/>
        <v>51987</v>
      </c>
    </row>
    <row r="253" spans="1:8">
      <c r="A253" s="1076">
        <f>A252+31</f>
        <v>52018</v>
      </c>
      <c r="C253" s="1082">
        <f t="shared" si="63"/>
        <v>52018</v>
      </c>
      <c r="D253" s="1079" t="str">
        <f t="shared" si="64"/>
        <v/>
      </c>
      <c r="E253" s="177" t="str">
        <f t="shared" si="65"/>
        <v/>
      </c>
      <c r="F253" s="177" t="str">
        <f t="shared" si="66"/>
        <v>Original</v>
      </c>
      <c r="G253" s="1076">
        <f t="shared" si="67"/>
        <v>45135</v>
      </c>
      <c r="H253" s="1076">
        <f t="shared" si="68"/>
        <v>52018</v>
      </c>
    </row>
    <row r="254" spans="1:8">
      <c r="A254" s="1076">
        <f>A253+30</f>
        <v>52048</v>
      </c>
      <c r="C254" s="1082">
        <f t="shared" si="63"/>
        <v>52048</v>
      </c>
      <c r="D254" s="1079" t="str">
        <f t="shared" si="64"/>
        <v/>
      </c>
      <c r="E254" s="177" t="str">
        <f t="shared" si="65"/>
        <v/>
      </c>
      <c r="F254" s="177" t="str">
        <f t="shared" si="66"/>
        <v>Original</v>
      </c>
      <c r="G254" s="1076">
        <f t="shared" si="67"/>
        <v>45135</v>
      </c>
      <c r="H254" s="1076">
        <f t="shared" si="68"/>
        <v>52048</v>
      </c>
    </row>
    <row r="255" spans="1:8">
      <c r="A255" s="1076">
        <f>A254+31</f>
        <v>52079</v>
      </c>
      <c r="C255" s="1082">
        <f t="shared" si="63"/>
        <v>52079</v>
      </c>
      <c r="D255" s="1079" t="str">
        <f t="shared" si="64"/>
        <v/>
      </c>
      <c r="E255" s="177" t="str">
        <f t="shared" si="65"/>
        <v/>
      </c>
      <c r="F255" s="177" t="str">
        <f t="shared" si="66"/>
        <v>Original</v>
      </c>
      <c r="G255" s="1076">
        <f t="shared" si="67"/>
        <v>45135</v>
      </c>
      <c r="H255" s="1076">
        <f t="shared" si="68"/>
        <v>52079</v>
      </c>
    </row>
    <row r="256" spans="1:8">
      <c r="A256" s="1076">
        <f>A255+31</f>
        <v>52110</v>
      </c>
      <c r="C256" s="1082">
        <f t="shared" si="63"/>
        <v>52110</v>
      </c>
      <c r="D256" s="1079" t="str">
        <f t="shared" si="64"/>
        <v/>
      </c>
      <c r="E256" s="177" t="str">
        <f t="shared" si="65"/>
        <v/>
      </c>
      <c r="F256" s="177" t="str">
        <f t="shared" si="66"/>
        <v>Original</v>
      </c>
      <c r="G256" s="1076">
        <f t="shared" si="67"/>
        <v>45135</v>
      </c>
      <c r="H256" s="1076">
        <f t="shared" si="68"/>
        <v>52110</v>
      </c>
    </row>
    <row r="257" spans="1:8">
      <c r="A257" s="1076">
        <f>A256+30</f>
        <v>52140</v>
      </c>
      <c r="C257" s="1082">
        <f t="shared" si="63"/>
        <v>52140</v>
      </c>
      <c r="D257" s="1079" t="str">
        <f t="shared" si="64"/>
        <v/>
      </c>
      <c r="E257" s="177" t="str">
        <f t="shared" si="65"/>
        <v/>
      </c>
      <c r="F257" s="177" t="str">
        <f t="shared" si="66"/>
        <v>Original</v>
      </c>
      <c r="G257" s="1076">
        <f t="shared" si="67"/>
        <v>45135</v>
      </c>
      <c r="H257" s="1076">
        <f t="shared" si="68"/>
        <v>52140</v>
      </c>
    </row>
    <row r="258" spans="1:8">
      <c r="A258" s="1076">
        <f>A257+31</f>
        <v>52171</v>
      </c>
      <c r="C258" s="1082">
        <f t="shared" si="63"/>
        <v>52171</v>
      </c>
      <c r="D258" s="1079" t="str">
        <f t="shared" si="64"/>
        <v/>
      </c>
      <c r="E258" s="177" t="str">
        <f t="shared" si="65"/>
        <v/>
      </c>
      <c r="F258" s="177" t="str">
        <f t="shared" si="66"/>
        <v>Original</v>
      </c>
      <c r="G258" s="1076">
        <f t="shared" si="67"/>
        <v>45135</v>
      </c>
      <c r="H258" s="1076">
        <f t="shared" si="68"/>
        <v>52171</v>
      </c>
    </row>
    <row r="259" spans="1:8">
      <c r="A259" s="1076">
        <f>A258+30</f>
        <v>52201</v>
      </c>
      <c r="C259" s="1082">
        <f t="shared" si="63"/>
        <v>52201</v>
      </c>
      <c r="D259" s="1079" t="str">
        <f t="shared" si="64"/>
        <v/>
      </c>
      <c r="E259" s="177" t="str">
        <f t="shared" si="65"/>
        <v/>
      </c>
      <c r="F259" s="177" t="str">
        <f t="shared" si="66"/>
        <v>Original</v>
      </c>
      <c r="G259" s="1076">
        <f t="shared" si="67"/>
        <v>45135</v>
      </c>
      <c r="H259" s="1076">
        <f t="shared" si="68"/>
        <v>52201</v>
      </c>
    </row>
    <row r="260" spans="1:8">
      <c r="A260" s="1076">
        <f>A259+31</f>
        <v>52232</v>
      </c>
      <c r="C260" s="1082">
        <f t="shared" si="63"/>
        <v>52232</v>
      </c>
      <c r="D260" s="1079" t="str">
        <f t="shared" si="64"/>
        <v/>
      </c>
      <c r="E260" s="177" t="str">
        <f t="shared" si="65"/>
        <v/>
      </c>
      <c r="F260" s="177" t="str">
        <f t="shared" si="66"/>
        <v>Original</v>
      </c>
      <c r="G260" s="1076">
        <f t="shared" si="67"/>
        <v>45135</v>
      </c>
      <c r="H260" s="1076">
        <f t="shared" si="68"/>
        <v>52232</v>
      </c>
    </row>
    <row r="261" spans="1:8">
      <c r="A261" s="1076">
        <f>A260+31</f>
        <v>52263</v>
      </c>
      <c r="B261" s="177" t="b">
        <f>ISNA(VLOOKUP(A261,$E$4:$E$13,1,FALSE))</f>
        <v>1</v>
      </c>
      <c r="C261" s="1082">
        <f t="shared" si="63"/>
        <v>52263</v>
      </c>
      <c r="D261" s="1079" t="str">
        <f t="shared" si="64"/>
        <v/>
      </c>
      <c r="E261" s="177" t="str">
        <f t="shared" si="65"/>
        <v/>
      </c>
      <c r="F261" s="177" t="str">
        <f t="shared" si="66"/>
        <v>Original</v>
      </c>
      <c r="G261" s="1076">
        <f t="shared" si="67"/>
        <v>45135</v>
      </c>
      <c r="H261" s="1076">
        <f t="shared" si="68"/>
        <v>52263</v>
      </c>
    </row>
    <row r="262" spans="1:8">
      <c r="A262" s="1076">
        <f>IF(B261=TRUE,(A261+28),(A261+29))</f>
        <v>52291</v>
      </c>
      <c r="C262" s="1082">
        <f t="shared" si="63"/>
        <v>52291</v>
      </c>
      <c r="D262" s="1079" t="str">
        <f t="shared" si="64"/>
        <v/>
      </c>
      <c r="E262" s="177" t="str">
        <f t="shared" si="65"/>
        <v/>
      </c>
      <c r="F262" s="177" t="str">
        <f t="shared" si="66"/>
        <v>Original</v>
      </c>
      <c r="G262" s="1076">
        <f t="shared" si="67"/>
        <v>45135</v>
      </c>
      <c r="H262" s="1076">
        <f t="shared" si="68"/>
        <v>52291</v>
      </c>
    </row>
    <row r="263" spans="1:8">
      <c r="A263" s="1076">
        <f>A262+31</f>
        <v>52322</v>
      </c>
      <c r="C263" s="1082">
        <f t="shared" si="63"/>
        <v>52322</v>
      </c>
      <c r="D263" s="1079" t="str">
        <f t="shared" si="64"/>
        <v/>
      </c>
      <c r="E263" s="177" t="str">
        <f t="shared" si="65"/>
        <v/>
      </c>
      <c r="F263" s="177" t="str">
        <f t="shared" si="66"/>
        <v>Original</v>
      </c>
      <c r="G263" s="1076">
        <f t="shared" si="67"/>
        <v>45135</v>
      </c>
      <c r="H263" s="1076">
        <f t="shared" si="68"/>
        <v>52322</v>
      </c>
    </row>
    <row r="264" spans="1:8">
      <c r="A264" s="1076">
        <f>A263+30</f>
        <v>52352</v>
      </c>
      <c r="C264" s="1082">
        <f t="shared" si="63"/>
        <v>52352</v>
      </c>
      <c r="D264" s="1079" t="str">
        <f t="shared" si="64"/>
        <v/>
      </c>
      <c r="E264" s="177" t="str">
        <f t="shared" si="65"/>
        <v/>
      </c>
      <c r="F264" s="177" t="str">
        <f t="shared" si="66"/>
        <v>Original</v>
      </c>
      <c r="G264" s="1076">
        <f t="shared" si="67"/>
        <v>45135</v>
      </c>
      <c r="H264" s="1076">
        <f t="shared" si="68"/>
        <v>52352</v>
      </c>
    </row>
    <row r="265" spans="1:8">
      <c r="A265" s="1076">
        <f>A264+31</f>
        <v>52383</v>
      </c>
      <c r="C265" s="1082">
        <f t="shared" si="63"/>
        <v>52383</v>
      </c>
      <c r="D265" s="1079" t="str">
        <f t="shared" si="64"/>
        <v/>
      </c>
      <c r="E265" s="177" t="str">
        <f t="shared" si="65"/>
        <v/>
      </c>
      <c r="F265" s="177" t="str">
        <f t="shared" si="66"/>
        <v>Original</v>
      </c>
      <c r="G265" s="1076">
        <f t="shared" si="67"/>
        <v>45135</v>
      </c>
      <c r="H265" s="1076">
        <f t="shared" si="68"/>
        <v>52383</v>
      </c>
    </row>
    <row r="266" spans="1:8">
      <c r="A266" s="1076">
        <f>A265+30</f>
        <v>52413</v>
      </c>
      <c r="C266" s="1082">
        <f t="shared" si="63"/>
        <v>52413</v>
      </c>
      <c r="D266" s="1079" t="str">
        <f t="shared" si="64"/>
        <v/>
      </c>
      <c r="E266" s="177" t="str">
        <f t="shared" si="65"/>
        <v/>
      </c>
      <c r="F266" s="177" t="str">
        <f t="shared" si="66"/>
        <v>Original</v>
      </c>
      <c r="G266" s="1076">
        <f t="shared" si="67"/>
        <v>45135</v>
      </c>
      <c r="H266" s="1076">
        <f t="shared" si="68"/>
        <v>52413</v>
      </c>
    </row>
    <row r="267" spans="1:8">
      <c r="A267" s="1076">
        <f>A266+31</f>
        <v>52444</v>
      </c>
      <c r="C267" s="1082">
        <f t="shared" si="63"/>
        <v>52444</v>
      </c>
      <c r="D267" s="1079" t="str">
        <f t="shared" si="64"/>
        <v/>
      </c>
      <c r="E267" s="177" t="str">
        <f t="shared" si="65"/>
        <v/>
      </c>
      <c r="F267" s="177" t="str">
        <f t="shared" si="66"/>
        <v>Original</v>
      </c>
      <c r="G267" s="1076">
        <f t="shared" si="67"/>
        <v>45135</v>
      </c>
      <c r="H267" s="1076">
        <f t="shared" si="68"/>
        <v>52444</v>
      </c>
    </row>
    <row r="268" spans="1:8">
      <c r="A268" s="1076">
        <f>A267+31</f>
        <v>52475</v>
      </c>
      <c r="C268" s="1082">
        <f t="shared" si="63"/>
        <v>52475</v>
      </c>
      <c r="D268" s="1079" t="str">
        <f t="shared" si="64"/>
        <v/>
      </c>
      <c r="E268" s="177" t="str">
        <f t="shared" si="65"/>
        <v/>
      </c>
      <c r="F268" s="177" t="str">
        <f t="shared" si="66"/>
        <v>Original</v>
      </c>
      <c r="G268" s="1076">
        <f t="shared" si="67"/>
        <v>45135</v>
      </c>
      <c r="H268" s="1076">
        <f t="shared" si="68"/>
        <v>52475</v>
      </c>
    </row>
    <row r="269" spans="1:8">
      <c r="A269" s="1076">
        <f>A268+30</f>
        <v>52505</v>
      </c>
      <c r="C269" s="1082">
        <f t="shared" si="63"/>
        <v>52505</v>
      </c>
      <c r="D269" s="1079" t="str">
        <f t="shared" si="64"/>
        <v/>
      </c>
      <c r="E269" s="177" t="str">
        <f t="shared" si="65"/>
        <v/>
      </c>
      <c r="F269" s="177" t="str">
        <f t="shared" si="66"/>
        <v>Original</v>
      </c>
      <c r="G269" s="1076">
        <f t="shared" si="67"/>
        <v>45135</v>
      </c>
      <c r="H269" s="1076">
        <f t="shared" si="68"/>
        <v>52505</v>
      </c>
    </row>
    <row r="270" spans="1:8">
      <c r="A270" s="1076">
        <f>A269+31</f>
        <v>52536</v>
      </c>
      <c r="C270" s="1082">
        <f t="shared" si="63"/>
        <v>52536</v>
      </c>
      <c r="D270" s="1079" t="str">
        <f t="shared" si="64"/>
        <v/>
      </c>
      <c r="E270" s="177" t="str">
        <f t="shared" si="65"/>
        <v/>
      </c>
      <c r="F270" s="177" t="str">
        <f t="shared" si="66"/>
        <v>Original</v>
      </c>
      <c r="G270" s="1076">
        <f t="shared" si="67"/>
        <v>45135</v>
      </c>
      <c r="H270" s="1076">
        <f t="shared" si="68"/>
        <v>52536</v>
      </c>
    </row>
    <row r="271" spans="1:8">
      <c r="A271" s="1076">
        <f>A270+30</f>
        <v>52566</v>
      </c>
      <c r="C271" s="1082">
        <f t="shared" si="63"/>
        <v>52566</v>
      </c>
      <c r="D271" s="1079" t="str">
        <f t="shared" si="64"/>
        <v/>
      </c>
      <c r="E271" s="177" t="str">
        <f t="shared" si="65"/>
        <v/>
      </c>
      <c r="F271" s="177" t="str">
        <f t="shared" si="66"/>
        <v>Original</v>
      </c>
      <c r="G271" s="1076">
        <f t="shared" si="67"/>
        <v>45135</v>
      </c>
      <c r="H271" s="1076">
        <f t="shared" si="68"/>
        <v>52566</v>
      </c>
    </row>
    <row r="272" spans="1:8">
      <c r="A272" s="1076">
        <f>A271+31</f>
        <v>52597</v>
      </c>
      <c r="C272" s="1082">
        <f t="shared" si="63"/>
        <v>52597</v>
      </c>
      <c r="D272" s="1079" t="str">
        <f t="shared" si="64"/>
        <v/>
      </c>
      <c r="E272" s="177" t="str">
        <f t="shared" si="65"/>
        <v/>
      </c>
      <c r="F272" s="177" t="str">
        <f t="shared" si="66"/>
        <v>Original</v>
      </c>
      <c r="G272" s="1076">
        <f t="shared" si="67"/>
        <v>45135</v>
      </c>
      <c r="H272" s="1076">
        <f t="shared" si="68"/>
        <v>52597</v>
      </c>
    </row>
    <row r="273" spans="1:8">
      <c r="A273" s="1076">
        <f>A272+31</f>
        <v>52628</v>
      </c>
      <c r="B273" s="177" t="b">
        <f>ISNA(VLOOKUP(A273,$E$4:$E$13,1,FALSE))</f>
        <v>0</v>
      </c>
      <c r="C273" s="1082">
        <f t="shared" si="63"/>
        <v>52628</v>
      </c>
      <c r="D273" s="1079" t="str">
        <f t="shared" si="64"/>
        <v/>
      </c>
      <c r="E273" s="177" t="str">
        <f t="shared" si="65"/>
        <v/>
      </c>
      <c r="F273" s="177" t="str">
        <f t="shared" si="66"/>
        <v>Original</v>
      </c>
      <c r="G273" s="1076">
        <f t="shared" si="67"/>
        <v>45135</v>
      </c>
      <c r="H273" s="1076">
        <f t="shared" si="68"/>
        <v>52628</v>
      </c>
    </row>
    <row r="274" spans="1:8">
      <c r="A274" s="1076">
        <f>IF(B273=TRUE,(A273+28),(A273+29))</f>
        <v>52657</v>
      </c>
      <c r="C274" s="1082">
        <f t="shared" si="63"/>
        <v>52657</v>
      </c>
      <c r="D274" s="1079" t="str">
        <f t="shared" si="64"/>
        <v/>
      </c>
      <c r="E274" s="177" t="str">
        <f t="shared" si="65"/>
        <v/>
      </c>
      <c r="F274" s="177" t="str">
        <f t="shared" si="66"/>
        <v>Original</v>
      </c>
      <c r="G274" s="1076">
        <f t="shared" si="67"/>
        <v>45135</v>
      </c>
      <c r="H274" s="1076">
        <f t="shared" si="68"/>
        <v>52657</v>
      </c>
    </row>
    <row r="275" spans="1:8">
      <c r="A275" s="1076">
        <f>A274+31</f>
        <v>52688</v>
      </c>
      <c r="C275" s="1082">
        <f t="shared" si="63"/>
        <v>52688</v>
      </c>
      <c r="D275" s="1079" t="str">
        <f t="shared" si="64"/>
        <v/>
      </c>
      <c r="E275" s="177" t="str">
        <f t="shared" si="65"/>
        <v/>
      </c>
      <c r="F275" s="177" t="str">
        <f t="shared" si="66"/>
        <v>Original</v>
      </c>
      <c r="G275" s="1076">
        <f t="shared" si="67"/>
        <v>45135</v>
      </c>
      <c r="H275" s="1076">
        <f t="shared" si="68"/>
        <v>52688</v>
      </c>
    </row>
    <row r="276" spans="1:8">
      <c r="A276" s="1076">
        <f>A275+30</f>
        <v>52718</v>
      </c>
      <c r="C276" s="1082">
        <f t="shared" si="63"/>
        <v>52718</v>
      </c>
      <c r="D276" s="1079" t="str">
        <f t="shared" si="64"/>
        <v/>
      </c>
      <c r="E276" s="177" t="str">
        <f t="shared" si="65"/>
        <v/>
      </c>
      <c r="F276" s="177" t="str">
        <f t="shared" si="66"/>
        <v>Original</v>
      </c>
      <c r="G276" s="1076">
        <f t="shared" si="67"/>
        <v>45135</v>
      </c>
      <c r="H276" s="1076">
        <f t="shared" si="68"/>
        <v>52718</v>
      </c>
    </row>
    <row r="277" spans="1:8">
      <c r="A277" s="1076">
        <f>A276+31</f>
        <v>52749</v>
      </c>
      <c r="C277" s="1082">
        <f t="shared" si="63"/>
        <v>52749</v>
      </c>
      <c r="D277" s="1079" t="str">
        <f t="shared" si="64"/>
        <v/>
      </c>
      <c r="E277" s="177" t="str">
        <f t="shared" si="65"/>
        <v/>
      </c>
      <c r="F277" s="177" t="str">
        <f t="shared" si="66"/>
        <v>Original</v>
      </c>
      <c r="G277" s="1076">
        <f t="shared" si="67"/>
        <v>45135</v>
      </c>
      <c r="H277" s="1076">
        <f t="shared" si="68"/>
        <v>52749</v>
      </c>
    </row>
    <row r="278" spans="1:8">
      <c r="A278" s="1076">
        <f>A277+30</f>
        <v>52779</v>
      </c>
      <c r="C278" s="1082">
        <f t="shared" si="63"/>
        <v>52779</v>
      </c>
      <c r="D278" s="1079" t="str">
        <f t="shared" si="64"/>
        <v/>
      </c>
      <c r="E278" s="177" t="str">
        <f t="shared" si="65"/>
        <v/>
      </c>
      <c r="F278" s="177" t="str">
        <f t="shared" si="66"/>
        <v>Original</v>
      </c>
      <c r="G278" s="1076">
        <f t="shared" si="67"/>
        <v>45135</v>
      </c>
      <c r="H278" s="1076">
        <f t="shared" si="68"/>
        <v>52779</v>
      </c>
    </row>
    <row r="279" spans="1:8">
      <c r="A279" s="1076">
        <f>A278+31</f>
        <v>52810</v>
      </c>
      <c r="C279" s="1082">
        <f t="shared" si="63"/>
        <v>52810</v>
      </c>
      <c r="D279" s="1079" t="str">
        <f t="shared" si="64"/>
        <v/>
      </c>
      <c r="E279" s="177" t="str">
        <f t="shared" si="65"/>
        <v/>
      </c>
      <c r="F279" s="177" t="str">
        <f t="shared" si="66"/>
        <v>Original</v>
      </c>
      <c r="G279" s="1076">
        <f t="shared" si="67"/>
        <v>45135</v>
      </c>
      <c r="H279" s="1076">
        <f t="shared" si="68"/>
        <v>52810</v>
      </c>
    </row>
    <row r="280" spans="1:8">
      <c r="A280" s="1076">
        <f>A279+31</f>
        <v>52841</v>
      </c>
      <c r="C280" s="1082">
        <f t="shared" si="63"/>
        <v>52841</v>
      </c>
      <c r="D280" s="1079" t="str">
        <f t="shared" si="64"/>
        <v/>
      </c>
      <c r="E280" s="177" t="str">
        <f t="shared" si="65"/>
        <v/>
      </c>
      <c r="F280" s="177" t="str">
        <f t="shared" si="66"/>
        <v>Original</v>
      </c>
      <c r="G280" s="1076">
        <f t="shared" si="67"/>
        <v>45135</v>
      </c>
      <c r="H280" s="1076">
        <f t="shared" si="68"/>
        <v>52841</v>
      </c>
    </row>
    <row r="281" spans="1:8">
      <c r="A281" s="1076">
        <f>A280+30</f>
        <v>52871</v>
      </c>
      <c r="C281" s="1082">
        <f t="shared" si="63"/>
        <v>52871</v>
      </c>
      <c r="D281" s="1079" t="str">
        <f t="shared" si="64"/>
        <v/>
      </c>
      <c r="E281" s="177" t="str">
        <f t="shared" si="65"/>
        <v/>
      </c>
      <c r="F281" s="177" t="str">
        <f t="shared" si="66"/>
        <v>Original</v>
      </c>
      <c r="G281" s="1076">
        <f t="shared" si="67"/>
        <v>45135</v>
      </c>
      <c r="H281" s="1076">
        <f t="shared" si="68"/>
        <v>52871</v>
      </c>
    </row>
    <row r="282" spans="1:8">
      <c r="A282" s="1076">
        <f>A281+31</f>
        <v>52902</v>
      </c>
      <c r="C282" s="1082">
        <f t="shared" si="63"/>
        <v>52902</v>
      </c>
      <c r="D282" s="1079" t="str">
        <f t="shared" si="64"/>
        <v/>
      </c>
      <c r="E282" s="177" t="str">
        <f t="shared" si="65"/>
        <v/>
      </c>
      <c r="F282" s="177" t="str">
        <f t="shared" si="66"/>
        <v>Original</v>
      </c>
      <c r="G282" s="1076">
        <f t="shared" si="67"/>
        <v>45135</v>
      </c>
      <c r="H282" s="1076">
        <f t="shared" si="68"/>
        <v>52902</v>
      </c>
    </row>
    <row r="283" spans="1:8">
      <c r="A283" s="1076">
        <f>A282+30</f>
        <v>52932</v>
      </c>
      <c r="C283" s="1082">
        <f t="shared" si="63"/>
        <v>52932</v>
      </c>
      <c r="D283" s="1079" t="str">
        <f t="shared" si="64"/>
        <v/>
      </c>
      <c r="E283" s="177" t="str">
        <f t="shared" si="65"/>
        <v/>
      </c>
      <c r="F283" s="177" t="str">
        <f t="shared" si="66"/>
        <v>Original</v>
      </c>
      <c r="G283" s="1076">
        <f t="shared" si="67"/>
        <v>45135</v>
      </c>
      <c r="H283" s="1076">
        <f t="shared" si="68"/>
        <v>52932</v>
      </c>
    </row>
    <row r="284" spans="1:8">
      <c r="A284" s="1076">
        <f>A283+31</f>
        <v>52963</v>
      </c>
      <c r="C284" s="1082">
        <f t="shared" si="63"/>
        <v>52963</v>
      </c>
      <c r="D284" s="1079" t="str">
        <f t="shared" si="64"/>
        <v/>
      </c>
      <c r="E284" s="177" t="str">
        <f t="shared" si="65"/>
        <v/>
      </c>
      <c r="F284" s="177" t="str">
        <f t="shared" si="66"/>
        <v>Original</v>
      </c>
      <c r="G284" s="1076">
        <f t="shared" si="67"/>
        <v>45135</v>
      </c>
      <c r="H284" s="1076">
        <f t="shared" si="68"/>
        <v>52963</v>
      </c>
    </row>
    <row r="285" spans="1:8">
      <c r="A285" s="1076">
        <f>A284+31</f>
        <v>52994</v>
      </c>
      <c r="B285" s="177" t="b">
        <f>ISNA(VLOOKUP(A285,$E$4:$E$13,1,FALSE))</f>
        <v>1</v>
      </c>
      <c r="C285" s="1082">
        <f t="shared" si="63"/>
        <v>52994</v>
      </c>
      <c r="D285" s="1079" t="str">
        <f t="shared" si="64"/>
        <v/>
      </c>
      <c r="E285" s="177" t="str">
        <f t="shared" si="65"/>
        <v/>
      </c>
      <c r="F285" s="177" t="str">
        <f t="shared" si="66"/>
        <v>Original</v>
      </c>
      <c r="G285" s="1076">
        <f t="shared" si="67"/>
        <v>45135</v>
      </c>
      <c r="H285" s="1076">
        <f t="shared" si="68"/>
        <v>52994</v>
      </c>
    </row>
    <row r="286" spans="1:8">
      <c r="A286" s="1076">
        <f>IF(B285=TRUE,(A285+28),(A285+29))</f>
        <v>53022</v>
      </c>
      <c r="C286" s="1082">
        <f t="shared" si="63"/>
        <v>53022</v>
      </c>
      <c r="D286" s="1079" t="str">
        <f t="shared" si="64"/>
        <v/>
      </c>
      <c r="E286" s="177" t="str">
        <f t="shared" si="65"/>
        <v/>
      </c>
      <c r="F286" s="177" t="str">
        <f t="shared" si="66"/>
        <v>Original</v>
      </c>
      <c r="G286" s="1076">
        <f t="shared" si="67"/>
        <v>45135</v>
      </c>
      <c r="H286" s="1076">
        <f t="shared" si="68"/>
        <v>53022</v>
      </c>
    </row>
    <row r="287" spans="1:8">
      <c r="A287" s="1076">
        <f>A286+31</f>
        <v>53053</v>
      </c>
      <c r="C287" s="1082">
        <f t="shared" si="63"/>
        <v>53053</v>
      </c>
      <c r="D287" s="1079" t="str">
        <f t="shared" si="64"/>
        <v/>
      </c>
      <c r="E287" s="177" t="str">
        <f t="shared" si="65"/>
        <v/>
      </c>
      <c r="F287" s="177" t="str">
        <f t="shared" si="66"/>
        <v>Original</v>
      </c>
      <c r="G287" s="1076">
        <f t="shared" si="67"/>
        <v>45135</v>
      </c>
      <c r="H287" s="1076">
        <f t="shared" si="68"/>
        <v>53053</v>
      </c>
    </row>
    <row r="300" spans="2:8">
      <c r="B300" s="1083" t="s">
        <v>695</v>
      </c>
      <c r="C300" s="1076">
        <f>'F1  Cover'!$L$8</f>
        <v>45169</v>
      </c>
    </row>
    <row r="301" spans="2:8">
      <c r="B301" s="1083" t="s">
        <v>696</v>
      </c>
      <c r="C301" s="1076">
        <f>VLOOKUP(1,$G$301:$H$505,2,FALSE)</f>
        <v>45139</v>
      </c>
      <c r="F301" s="1076">
        <f>W2</f>
        <v>41730</v>
      </c>
      <c r="G301" s="177">
        <f>IF($C$300&lt;F301,1,0)</f>
        <v>0</v>
      </c>
    </row>
    <row r="302" spans="2:8">
      <c r="F302" s="1076">
        <f>F301+30</f>
        <v>41760</v>
      </c>
      <c r="G302" s="177">
        <f>IF(G301=1,0,IF($C$300&lt;F302,1,0))</f>
        <v>0</v>
      </c>
      <c r="H302" s="1076">
        <f>F301</f>
        <v>41730</v>
      </c>
    </row>
    <row r="303" spans="2:8">
      <c r="F303" s="1076">
        <f>F302+31</f>
        <v>41791</v>
      </c>
      <c r="G303" s="177">
        <f>IF(SUM($G$301:G302)=1,0,IF($C$300&lt;F303,1,0))</f>
        <v>0</v>
      </c>
      <c r="H303" s="1076">
        <f>F302</f>
        <v>41760</v>
      </c>
    </row>
    <row r="304" spans="2:8">
      <c r="F304" s="1076">
        <f t="shared" ref="F304:F321" si="69">F303+30</f>
        <v>41821</v>
      </c>
      <c r="G304" s="177">
        <f>IF(SUM($G$301:G303)=1,0,IF($C$300&lt;F304,1,0))</f>
        <v>0</v>
      </c>
      <c r="H304" s="1076">
        <f t="shared" ref="H304:H367" si="70">F303</f>
        <v>41791</v>
      </c>
    </row>
    <row r="305" spans="6:8">
      <c r="F305" s="1076">
        <f>F304+31</f>
        <v>41852</v>
      </c>
      <c r="G305" s="177">
        <f>IF(SUM($G$301:G304)=1,0,IF($C$300&lt;F305,1,0))</f>
        <v>0</v>
      </c>
      <c r="H305" s="1076">
        <f t="shared" si="70"/>
        <v>41821</v>
      </c>
    </row>
    <row r="306" spans="6:8">
      <c r="F306" s="1076">
        <f>F305+31</f>
        <v>41883</v>
      </c>
      <c r="G306" s="177">
        <f>IF(SUM($G$301:G305)=1,0,IF($C$300&lt;F306,1,0))</f>
        <v>0</v>
      </c>
      <c r="H306" s="1076">
        <f t="shared" si="70"/>
        <v>41852</v>
      </c>
    </row>
    <row r="307" spans="6:8">
      <c r="F307" s="1076">
        <f t="shared" si="69"/>
        <v>41913</v>
      </c>
      <c r="G307" s="177">
        <f>IF(SUM($G$301:G306)=1,0,IF($C$300&lt;F307,1,0))</f>
        <v>0</v>
      </c>
      <c r="H307" s="1076">
        <f t="shared" si="70"/>
        <v>41883</v>
      </c>
    </row>
    <row r="308" spans="6:8">
      <c r="F308" s="1076">
        <f>F307+31</f>
        <v>41944</v>
      </c>
      <c r="G308" s="177">
        <f>IF(SUM($G$301:G307)=1,0,IF($C$300&lt;F308,1,0))</f>
        <v>0</v>
      </c>
      <c r="H308" s="1076">
        <f t="shared" si="70"/>
        <v>41913</v>
      </c>
    </row>
    <row r="309" spans="6:8">
      <c r="F309" s="1076">
        <f t="shared" si="69"/>
        <v>41974</v>
      </c>
      <c r="G309" s="177">
        <f>IF(SUM($G$301:G308)=1,0,IF($C$300&lt;F309,1,0))</f>
        <v>0</v>
      </c>
      <c r="H309" s="1076">
        <f t="shared" si="70"/>
        <v>41944</v>
      </c>
    </row>
    <row r="310" spans="6:8">
      <c r="F310" s="1076">
        <f>F309+31</f>
        <v>42005</v>
      </c>
      <c r="G310" s="177">
        <f>IF(SUM($G$301:G309)=1,0,IF($C$300&lt;F310,1,0))</f>
        <v>0</v>
      </c>
      <c r="H310" s="1076">
        <f t="shared" si="70"/>
        <v>41974</v>
      </c>
    </row>
    <row r="311" spans="6:8">
      <c r="F311" s="1076">
        <f>F310+31</f>
        <v>42036</v>
      </c>
      <c r="G311" s="177">
        <f>IF(SUM($G$301:G310)=1,0,IF($C$300&lt;F311,1,0))</f>
        <v>0</v>
      </c>
      <c r="H311" s="1076">
        <f t="shared" si="70"/>
        <v>42005</v>
      </c>
    </row>
    <row r="312" spans="6:8">
      <c r="F312" s="1076">
        <f>IF(ISNA(VLOOKUP(F311,$E$4:$E$13,1,FALSE))=TRUE,F311+28,F311+29)</f>
        <v>42064</v>
      </c>
      <c r="G312" s="177">
        <f>IF(SUM($G$301:G311)=1,0,IF($C$300&lt;F312,1,0))</f>
        <v>0</v>
      </c>
      <c r="H312" s="1076">
        <f t="shared" si="70"/>
        <v>42036</v>
      </c>
    </row>
    <row r="313" spans="6:8">
      <c r="F313" s="1076">
        <f>F312+31</f>
        <v>42095</v>
      </c>
      <c r="G313" s="177">
        <f>IF(SUM($G$301:G312)=1,0,IF($C$300&lt;F313,1,0))</f>
        <v>0</v>
      </c>
      <c r="H313" s="1076">
        <f t="shared" si="70"/>
        <v>42064</v>
      </c>
    </row>
    <row r="314" spans="6:8">
      <c r="F314" s="1076">
        <f>F313+30</f>
        <v>42125</v>
      </c>
      <c r="G314" s="177">
        <f>IF(SUM($G$301:G313)=1,0,IF($C$300&lt;F314,1,0))</f>
        <v>0</v>
      </c>
      <c r="H314" s="1076">
        <f t="shared" si="70"/>
        <v>42095</v>
      </c>
    </row>
    <row r="315" spans="6:8">
      <c r="F315" s="1076">
        <f>F314+31</f>
        <v>42156</v>
      </c>
      <c r="G315" s="177">
        <f>IF(SUM($G$301:G314)=1,0,IF($C$300&lt;F315,1,0))</f>
        <v>0</v>
      </c>
      <c r="H315" s="1076">
        <f t="shared" si="70"/>
        <v>42125</v>
      </c>
    </row>
    <row r="316" spans="6:8">
      <c r="F316" s="1076">
        <f t="shared" si="69"/>
        <v>42186</v>
      </c>
      <c r="G316" s="177">
        <f>IF(SUM($G$301:G315)=1,0,IF($C$300&lt;F316,1,0))</f>
        <v>0</v>
      </c>
      <c r="H316" s="1076">
        <f t="shared" si="70"/>
        <v>42156</v>
      </c>
    </row>
    <row r="317" spans="6:8">
      <c r="F317" s="1076">
        <f>F316+31</f>
        <v>42217</v>
      </c>
      <c r="G317" s="177">
        <f>IF(SUM($G$301:G316)=1,0,IF($C$300&lt;F317,1,0))</f>
        <v>0</v>
      </c>
      <c r="H317" s="1076">
        <f t="shared" si="70"/>
        <v>42186</v>
      </c>
    </row>
    <row r="318" spans="6:8">
      <c r="F318" s="1076">
        <f>F317+31</f>
        <v>42248</v>
      </c>
      <c r="G318" s="177">
        <f>IF(SUM($G$301:G317)=1,0,IF($C$300&lt;F318,1,0))</f>
        <v>0</v>
      </c>
      <c r="H318" s="1076">
        <f t="shared" si="70"/>
        <v>42217</v>
      </c>
    </row>
    <row r="319" spans="6:8">
      <c r="F319" s="1076">
        <f t="shared" si="69"/>
        <v>42278</v>
      </c>
      <c r="G319" s="177">
        <f>IF(SUM($G$301:G318)=1,0,IF($C$300&lt;F319,1,0))</f>
        <v>0</v>
      </c>
      <c r="H319" s="1076">
        <f t="shared" si="70"/>
        <v>42248</v>
      </c>
    </row>
    <row r="320" spans="6:8">
      <c r="F320" s="1076">
        <f>F319+31</f>
        <v>42309</v>
      </c>
      <c r="G320" s="177">
        <f>IF(SUM($G$301:G319)=1,0,IF($C$300&lt;F320,1,0))</f>
        <v>0</v>
      </c>
      <c r="H320" s="1076">
        <f t="shared" si="70"/>
        <v>42278</v>
      </c>
    </row>
    <row r="321" spans="6:8">
      <c r="F321" s="1076">
        <f t="shared" si="69"/>
        <v>42339</v>
      </c>
      <c r="G321" s="177">
        <f>IF(SUM($G$301:G320)=1,0,IF($C$300&lt;F321,1,0))</f>
        <v>0</v>
      </c>
      <c r="H321" s="1076">
        <f t="shared" si="70"/>
        <v>42309</v>
      </c>
    </row>
    <row r="322" spans="6:8">
      <c r="F322" s="1076">
        <f>F321+31</f>
        <v>42370</v>
      </c>
      <c r="G322" s="177">
        <f>IF(SUM($G$301:G321)=1,0,IF($C$300&lt;F322,1,0))</f>
        <v>0</v>
      </c>
      <c r="H322" s="1076">
        <f t="shared" si="70"/>
        <v>42339</v>
      </c>
    </row>
    <row r="323" spans="6:8">
      <c r="F323" s="1076">
        <f>F322+31</f>
        <v>42401</v>
      </c>
      <c r="G323" s="177">
        <f>IF(SUM($G$301:G322)=1,0,IF($C$300&lt;F323,1,0))</f>
        <v>0</v>
      </c>
      <c r="H323" s="1076">
        <f t="shared" si="70"/>
        <v>42370</v>
      </c>
    </row>
    <row r="324" spans="6:8">
      <c r="F324" s="1076">
        <f>IF(ISNA(VLOOKUP(F323,$E$4:$E$13,1,FALSE))=TRUE,F323+28,F323+29)</f>
        <v>42430</v>
      </c>
      <c r="G324" s="177">
        <f>IF(SUM($G$301:G323)=1,0,IF($C$300&lt;F324,1,0))</f>
        <v>0</v>
      </c>
      <c r="H324" s="1076">
        <f t="shared" si="70"/>
        <v>42401</v>
      </c>
    </row>
    <row r="325" spans="6:8">
      <c r="F325" s="1076">
        <f>F324+31</f>
        <v>42461</v>
      </c>
      <c r="G325" s="177">
        <f>IF(SUM($G$301:G324)=1,0,IF($C$300&lt;F325,1,0))</f>
        <v>0</v>
      </c>
      <c r="H325" s="1076">
        <f t="shared" si="70"/>
        <v>42430</v>
      </c>
    </row>
    <row r="326" spans="6:8">
      <c r="F326" s="1076">
        <f>F325+30</f>
        <v>42491</v>
      </c>
      <c r="G326" s="177">
        <f>IF(SUM($G$301:G325)=1,0,IF($C$300&lt;F326,1,0))</f>
        <v>0</v>
      </c>
      <c r="H326" s="1076">
        <f t="shared" si="70"/>
        <v>42461</v>
      </c>
    </row>
    <row r="327" spans="6:8">
      <c r="F327" s="1076">
        <f>F326+31</f>
        <v>42522</v>
      </c>
      <c r="G327" s="177">
        <f>IF(SUM($G$301:G326)=1,0,IF($C$300&lt;F327,1,0))</f>
        <v>0</v>
      </c>
      <c r="H327" s="1076">
        <f t="shared" si="70"/>
        <v>42491</v>
      </c>
    </row>
    <row r="328" spans="6:8">
      <c r="F328" s="1076">
        <f t="shared" ref="F328:F333" si="71">F327+30</f>
        <v>42552</v>
      </c>
      <c r="G328" s="177">
        <f>IF(SUM($G$301:G327)=1,0,IF($C$300&lt;F328,1,0))</f>
        <v>0</v>
      </c>
      <c r="H328" s="1076">
        <f t="shared" si="70"/>
        <v>42522</v>
      </c>
    </row>
    <row r="329" spans="6:8">
      <c r="F329" s="1076">
        <f>F328+31</f>
        <v>42583</v>
      </c>
      <c r="G329" s="177">
        <f>IF(SUM($G$301:G328)=1,0,IF($C$300&lt;F329,1,0))</f>
        <v>0</v>
      </c>
      <c r="H329" s="1076">
        <f t="shared" si="70"/>
        <v>42552</v>
      </c>
    </row>
    <row r="330" spans="6:8">
      <c r="F330" s="1076">
        <f>F329+31</f>
        <v>42614</v>
      </c>
      <c r="G330" s="177">
        <f>IF(SUM($G$301:G329)=1,0,IF($C$300&lt;F330,1,0))</f>
        <v>0</v>
      </c>
      <c r="H330" s="1076">
        <f t="shared" si="70"/>
        <v>42583</v>
      </c>
    </row>
    <row r="331" spans="6:8">
      <c r="F331" s="1076">
        <f t="shared" si="71"/>
        <v>42644</v>
      </c>
      <c r="G331" s="177">
        <f>IF(SUM($G$301:G330)=1,0,IF($C$300&lt;F331,1,0))</f>
        <v>0</v>
      </c>
      <c r="H331" s="1076">
        <f t="shared" si="70"/>
        <v>42614</v>
      </c>
    </row>
    <row r="332" spans="6:8">
      <c r="F332" s="1076">
        <f>F331+31</f>
        <v>42675</v>
      </c>
      <c r="G332" s="177">
        <f>IF(SUM($G$301:G331)=1,0,IF($C$300&lt;F332,1,0))</f>
        <v>0</v>
      </c>
      <c r="H332" s="1076">
        <f t="shared" si="70"/>
        <v>42644</v>
      </c>
    </row>
    <row r="333" spans="6:8">
      <c r="F333" s="1076">
        <f t="shared" si="71"/>
        <v>42705</v>
      </c>
      <c r="G333" s="177">
        <f>IF(SUM($G$301:G332)=1,0,IF($C$300&lt;F333,1,0))</f>
        <v>0</v>
      </c>
      <c r="H333" s="1076">
        <f t="shared" si="70"/>
        <v>42675</v>
      </c>
    </row>
    <row r="334" spans="6:8">
      <c r="F334" s="1076">
        <f>F333+31</f>
        <v>42736</v>
      </c>
      <c r="G334" s="177">
        <f>IF(SUM($G$301:G333)=1,0,IF($C$300&lt;F334,1,0))</f>
        <v>0</v>
      </c>
      <c r="H334" s="1076">
        <f t="shared" si="70"/>
        <v>42705</v>
      </c>
    </row>
    <row r="335" spans="6:8">
      <c r="F335" s="1076">
        <f>F334+31</f>
        <v>42767</v>
      </c>
      <c r="G335" s="177">
        <f>IF(SUM($G$301:G334)=1,0,IF($C$300&lt;F335,1,0))</f>
        <v>0</v>
      </c>
      <c r="H335" s="1076">
        <f t="shared" si="70"/>
        <v>42736</v>
      </c>
    </row>
    <row r="336" spans="6:8">
      <c r="F336" s="1076">
        <f>IF(ISNA(VLOOKUP(F335,$E$4:$E$13,1,FALSE))=TRUE,F335+28,F335+29)</f>
        <v>42795</v>
      </c>
      <c r="G336" s="177">
        <f>IF(SUM($G$301:G335)=1,0,IF($C$300&lt;F336,1,0))</f>
        <v>0</v>
      </c>
      <c r="H336" s="1076">
        <f t="shared" si="70"/>
        <v>42767</v>
      </c>
    </row>
    <row r="337" spans="1:8">
      <c r="F337" s="1076">
        <f>F336+31</f>
        <v>42826</v>
      </c>
      <c r="G337" s="177">
        <f>IF(SUM($G$301:G336)=1,0,IF($C$300&lt;F337,1,0))</f>
        <v>0</v>
      </c>
      <c r="H337" s="1076">
        <f t="shared" si="70"/>
        <v>42795</v>
      </c>
    </row>
    <row r="338" spans="1:8">
      <c r="F338" s="1076">
        <f>F337+30</f>
        <v>42856</v>
      </c>
      <c r="G338" s="177">
        <f>IF(SUM($G$301:G337)=1,0,IF($C$300&lt;F338,1,0))</f>
        <v>0</v>
      </c>
      <c r="H338" s="1076">
        <f t="shared" si="70"/>
        <v>42826</v>
      </c>
    </row>
    <row r="339" spans="1:8">
      <c r="F339" s="1076">
        <f>F338+31</f>
        <v>42887</v>
      </c>
      <c r="G339" s="177">
        <f>IF(SUM($G$301:G338)=1,0,IF($C$300&lt;F339,1,0))</f>
        <v>0</v>
      </c>
      <c r="H339" s="1076">
        <f t="shared" si="70"/>
        <v>42856</v>
      </c>
    </row>
    <row r="340" spans="1:8">
      <c r="F340" s="1076">
        <f t="shared" ref="F340:F345" si="72">F339+30</f>
        <v>42917</v>
      </c>
      <c r="G340" s="177">
        <f>IF(SUM($G$301:G339)=1,0,IF($C$300&lt;F340,1,0))</f>
        <v>0</v>
      </c>
      <c r="H340" s="1076">
        <f t="shared" si="70"/>
        <v>42887</v>
      </c>
    </row>
    <row r="341" spans="1:8">
      <c r="F341" s="1076">
        <f>F340+31</f>
        <v>42948</v>
      </c>
      <c r="G341" s="177">
        <f>IF(SUM($G$301:G340)=1,0,IF($C$300&lt;F341,1,0))</f>
        <v>0</v>
      </c>
      <c r="H341" s="1076">
        <f t="shared" si="70"/>
        <v>42917</v>
      </c>
    </row>
    <row r="342" spans="1:8">
      <c r="F342" s="1076">
        <f>F341+31</f>
        <v>42979</v>
      </c>
      <c r="G342" s="177">
        <f>IF(SUM($G$301:G341)=1,0,IF($C$300&lt;F342,1,0))</f>
        <v>0</v>
      </c>
      <c r="H342" s="1076">
        <f t="shared" si="70"/>
        <v>42948</v>
      </c>
    </row>
    <row r="343" spans="1:8">
      <c r="F343" s="1076">
        <f t="shared" si="72"/>
        <v>43009</v>
      </c>
      <c r="G343" s="177">
        <f>IF(SUM($G$301:G342)=1,0,IF($C$300&lt;F343,1,0))</f>
        <v>0</v>
      </c>
      <c r="H343" s="1076">
        <f t="shared" si="70"/>
        <v>42979</v>
      </c>
    </row>
    <row r="344" spans="1:8">
      <c r="F344" s="1076">
        <f>F343+31</f>
        <v>43040</v>
      </c>
      <c r="G344" s="177">
        <f>IF(SUM($G$301:G343)=1,0,IF($C$300&lt;F344,1,0))</f>
        <v>0</v>
      </c>
      <c r="H344" s="1076">
        <f t="shared" si="70"/>
        <v>43009</v>
      </c>
    </row>
    <row r="345" spans="1:8">
      <c r="F345" s="1076">
        <f t="shared" si="72"/>
        <v>43070</v>
      </c>
      <c r="G345" s="177">
        <f>IF(SUM($G$301:G344)=1,0,IF($C$300&lt;F345,1,0))</f>
        <v>0</v>
      </c>
      <c r="H345" s="1076">
        <f t="shared" si="70"/>
        <v>43040</v>
      </c>
    </row>
    <row r="346" spans="1:8">
      <c r="F346" s="1076">
        <f>F345+31</f>
        <v>43101</v>
      </c>
      <c r="G346" s="177">
        <f>IF(SUM($G$301:G345)=1,0,IF($C$300&lt;F346,1,0))</f>
        <v>0</v>
      </c>
      <c r="H346" s="1076">
        <f t="shared" si="70"/>
        <v>43070</v>
      </c>
    </row>
    <row r="347" spans="1:8">
      <c r="F347" s="1076">
        <f>F346+31</f>
        <v>43132</v>
      </c>
      <c r="G347" s="177">
        <f>IF(SUM($G$301:G346)=1,0,IF($C$300&lt;F347,1,0))</f>
        <v>0</v>
      </c>
      <c r="H347" s="1076">
        <f t="shared" si="70"/>
        <v>43101</v>
      </c>
    </row>
    <row r="348" spans="1:8">
      <c r="F348" s="1076">
        <f>IF(ISNA(VLOOKUP(F347,$E$4:$E$13,1,FALSE))=TRUE,F347+28,F347+29)</f>
        <v>43160</v>
      </c>
      <c r="G348" s="177">
        <f>IF(SUM($G$301:G347)=1,0,IF($C$300&lt;F348,1,0))</f>
        <v>0</v>
      </c>
      <c r="H348" s="1076">
        <f t="shared" si="70"/>
        <v>43132</v>
      </c>
    </row>
    <row r="349" spans="1:8">
      <c r="A349" s="1093"/>
      <c r="B349" s="1093"/>
      <c r="C349" s="1093"/>
      <c r="D349" s="1093"/>
      <c r="E349" s="1093"/>
      <c r="F349" s="1092">
        <f>F348+31</f>
        <v>43191</v>
      </c>
      <c r="G349" s="1093">
        <f>IF(SUM($G$301:G348)=1,0,IF($C$300&lt;F349,1,0))</f>
        <v>0</v>
      </c>
      <c r="H349" s="1092">
        <f t="shared" si="70"/>
        <v>43160</v>
      </c>
    </row>
    <row r="350" spans="1:8">
      <c r="F350" s="1076">
        <f>F349+30</f>
        <v>43221</v>
      </c>
      <c r="G350" s="177">
        <f>IF(SUM($G$301:G349)=1,0,IF($C$300&lt;F350,1,0))</f>
        <v>0</v>
      </c>
      <c r="H350" s="1076">
        <f t="shared" si="70"/>
        <v>43191</v>
      </c>
    </row>
    <row r="351" spans="1:8">
      <c r="F351" s="1076">
        <f>F350+31</f>
        <v>43252</v>
      </c>
      <c r="G351" s="177">
        <f>IF(SUM($G$301:G350)=1,0,IF($C$300&lt;F351,1,0))</f>
        <v>0</v>
      </c>
      <c r="H351" s="1076">
        <f t="shared" si="70"/>
        <v>43221</v>
      </c>
    </row>
    <row r="352" spans="1:8">
      <c r="F352" s="1076">
        <f t="shared" ref="F352:F355" si="73">F351+30</f>
        <v>43282</v>
      </c>
      <c r="G352" s="177">
        <f>IF(SUM($G$301:G351)=1,0,IF($C$300&lt;F352,1,0))</f>
        <v>0</v>
      </c>
      <c r="H352" s="1076">
        <f t="shared" si="70"/>
        <v>43252</v>
      </c>
    </row>
    <row r="353" spans="6:8">
      <c r="F353" s="1076">
        <f>F352+31</f>
        <v>43313</v>
      </c>
      <c r="G353" s="177">
        <f>IF(SUM($G$301:G352)=1,0,IF($C$300&lt;F353,1,0))</f>
        <v>0</v>
      </c>
      <c r="H353" s="1076">
        <f t="shared" si="70"/>
        <v>43282</v>
      </c>
    </row>
    <row r="354" spans="6:8">
      <c r="F354" s="1076">
        <f>F353+31</f>
        <v>43344</v>
      </c>
      <c r="G354" s="177">
        <f>IF(SUM($G$301:G353)=1,0,IF($C$300&lt;F354,1,0))</f>
        <v>0</v>
      </c>
      <c r="H354" s="1076">
        <f t="shared" si="70"/>
        <v>43313</v>
      </c>
    </row>
    <row r="355" spans="6:8">
      <c r="F355" s="1076">
        <f t="shared" si="73"/>
        <v>43374</v>
      </c>
      <c r="G355" s="177">
        <f>IF(SUM($G$301:G354)=1,0,IF($C$300&lt;F355,1,0))</f>
        <v>0</v>
      </c>
      <c r="H355" s="1076">
        <f t="shared" si="70"/>
        <v>43344</v>
      </c>
    </row>
    <row r="356" spans="6:8">
      <c r="F356" s="1076">
        <f>F355+31</f>
        <v>43405</v>
      </c>
      <c r="G356" s="177">
        <f>IF(SUM($G$301:G355)=1,0,IF($C$300&lt;F356,1,0))</f>
        <v>0</v>
      </c>
      <c r="H356" s="1076">
        <f t="shared" si="70"/>
        <v>43374</v>
      </c>
    </row>
    <row r="357" spans="6:8">
      <c r="F357" s="1076">
        <f>F356+30</f>
        <v>43435</v>
      </c>
      <c r="G357" s="177">
        <v>0</v>
      </c>
      <c r="H357" s="1076">
        <v>43252</v>
      </c>
    </row>
    <row r="358" spans="6:8">
      <c r="F358" s="1076">
        <f t="shared" ref="F358" si="74">F357+31</f>
        <v>43466</v>
      </c>
      <c r="G358" s="177">
        <v>0</v>
      </c>
      <c r="H358" s="1076">
        <v>43252</v>
      </c>
    </row>
    <row r="359" spans="6:8">
      <c r="F359" s="1076">
        <f>F358+31</f>
        <v>43497</v>
      </c>
      <c r="G359" s="177">
        <f>IF(SUM($G$301:G358)=1,0,IF($C$300&lt;F359,1,0))</f>
        <v>0</v>
      </c>
      <c r="H359" s="1076">
        <f t="shared" si="70"/>
        <v>43466</v>
      </c>
    </row>
    <row r="360" spans="6:8">
      <c r="F360" s="1076">
        <f>IF(ISNA(VLOOKUP(F359,$E$4:$E$13,1,FALSE))=TRUE,F359+28,F359+29)</f>
        <v>43525</v>
      </c>
      <c r="G360" s="177">
        <f>IF(SUM($G$301:G359)=1,0,IF($C$300&lt;F360,1,0))</f>
        <v>0</v>
      </c>
      <c r="H360" s="1076">
        <f t="shared" si="70"/>
        <v>43497</v>
      </c>
    </row>
    <row r="361" spans="6:8">
      <c r="F361" s="1076">
        <f>F360+31</f>
        <v>43556</v>
      </c>
      <c r="G361" s="177">
        <f>IF(SUM($G$301:G360)=1,0,IF($C$300&lt;F361,1,0))</f>
        <v>0</v>
      </c>
      <c r="H361" s="1076">
        <f t="shared" si="70"/>
        <v>43525</v>
      </c>
    </row>
    <row r="362" spans="6:8">
      <c r="F362" s="1076">
        <f>F361+30</f>
        <v>43586</v>
      </c>
      <c r="G362" s="177">
        <f>IF(SUM($G$301:G361)=1,0,IF($C$300&lt;F362,1,0))</f>
        <v>0</v>
      </c>
      <c r="H362" s="1076">
        <f t="shared" si="70"/>
        <v>43556</v>
      </c>
    </row>
    <row r="363" spans="6:8">
      <c r="F363" s="1076">
        <f>F362+31</f>
        <v>43617</v>
      </c>
      <c r="G363" s="177">
        <f>IF(SUM($G$301:G362)=1,0,IF($C$300&lt;F363,1,0))</f>
        <v>0</v>
      </c>
      <c r="H363" s="1076">
        <f t="shared" si="70"/>
        <v>43586</v>
      </c>
    </row>
    <row r="364" spans="6:8">
      <c r="F364" s="1076">
        <f t="shared" ref="F364:F369" si="75">F363+30</f>
        <v>43647</v>
      </c>
      <c r="G364" s="177">
        <f>IF(SUM($G$301:G363)=1,0,IF($C$300&lt;F364,1,0))</f>
        <v>0</v>
      </c>
      <c r="H364" s="1076">
        <f t="shared" si="70"/>
        <v>43617</v>
      </c>
    </row>
    <row r="365" spans="6:8">
      <c r="F365" s="1076">
        <f>F364+31</f>
        <v>43678</v>
      </c>
      <c r="G365" s="177">
        <f>IF(SUM($G$301:G364)=1,0,IF($C$300&lt;F365,1,0))</f>
        <v>0</v>
      </c>
      <c r="H365" s="1076">
        <f t="shared" si="70"/>
        <v>43647</v>
      </c>
    </row>
    <row r="366" spans="6:8">
      <c r="F366" s="1076">
        <f>F365+31</f>
        <v>43709</v>
      </c>
      <c r="G366" s="177">
        <f>IF(SUM($G$301:G365)=1,0,IF($C$300&lt;F366,1,0))</f>
        <v>0</v>
      </c>
      <c r="H366" s="1076">
        <f t="shared" si="70"/>
        <v>43678</v>
      </c>
    </row>
    <row r="367" spans="6:8">
      <c r="F367" s="1076">
        <f t="shared" si="75"/>
        <v>43739</v>
      </c>
      <c r="G367" s="177">
        <f>IF(SUM($G$301:G366)=1,0,IF($C$300&lt;F367,1,0))</f>
        <v>0</v>
      </c>
      <c r="H367" s="1076">
        <f t="shared" si="70"/>
        <v>43709</v>
      </c>
    </row>
    <row r="368" spans="6:8">
      <c r="F368" s="1076">
        <f>F367+31</f>
        <v>43770</v>
      </c>
      <c r="G368" s="177">
        <f>IF(SUM($G$301:G367)=1,0,IF($C$300&lt;F368,1,0))</f>
        <v>0</v>
      </c>
      <c r="H368" s="1076">
        <f t="shared" ref="H368:H431" si="76">F367</f>
        <v>43739</v>
      </c>
    </row>
    <row r="369" spans="6:8">
      <c r="F369" s="1076">
        <f t="shared" si="75"/>
        <v>43800</v>
      </c>
      <c r="G369" s="177">
        <f>IF(SUM($G$301:G368)=1,0,IF($C$300&lt;F369,1,0))</f>
        <v>0</v>
      </c>
      <c r="H369" s="1076">
        <f t="shared" si="76"/>
        <v>43770</v>
      </c>
    </row>
    <row r="370" spans="6:8">
      <c r="F370" s="1076">
        <f>F369+31</f>
        <v>43831</v>
      </c>
      <c r="G370" s="177">
        <f>IF(SUM($G$301:G369)=1,0,IF($C$300&lt;F370,1,0))</f>
        <v>0</v>
      </c>
      <c r="H370" s="1076">
        <f t="shared" si="76"/>
        <v>43800</v>
      </c>
    </row>
    <row r="371" spans="6:8">
      <c r="F371" s="1076">
        <f>F370+31</f>
        <v>43862</v>
      </c>
      <c r="G371" s="177">
        <f>IF(SUM($G$301:G370)=1,0,IF($C$300&lt;F371,1,0))</f>
        <v>0</v>
      </c>
      <c r="H371" s="1076">
        <f t="shared" si="76"/>
        <v>43831</v>
      </c>
    </row>
    <row r="372" spans="6:8">
      <c r="F372" s="1076">
        <f>IF(ISNA(VLOOKUP(F371,$E$4:$E$13,1,FALSE))=TRUE,F371+28,F371+29)</f>
        <v>43891</v>
      </c>
      <c r="G372" s="177">
        <f>IF(SUM($G$301:G371)=1,0,IF($C$300&lt;F372,1,0))</f>
        <v>0</v>
      </c>
      <c r="H372" s="1076">
        <f t="shared" si="76"/>
        <v>43862</v>
      </c>
    </row>
    <row r="373" spans="6:8">
      <c r="F373" s="1076">
        <f>F372+31</f>
        <v>43922</v>
      </c>
      <c r="G373" s="177">
        <f>IF(SUM($G$301:G372)=1,0,IF($C$300&lt;F373,1,0))</f>
        <v>0</v>
      </c>
      <c r="H373" s="1076">
        <f t="shared" si="76"/>
        <v>43891</v>
      </c>
    </row>
    <row r="374" spans="6:8">
      <c r="F374" s="1076">
        <f>F373+30</f>
        <v>43952</v>
      </c>
      <c r="G374" s="177">
        <f>IF(SUM($G$301:G373)=1,0,IF($C$300&lt;F374,1,0))</f>
        <v>0</v>
      </c>
      <c r="H374" s="1076">
        <f t="shared" si="76"/>
        <v>43922</v>
      </c>
    </row>
    <row r="375" spans="6:8">
      <c r="F375" s="1076">
        <f>F374+31</f>
        <v>43983</v>
      </c>
      <c r="G375" s="177">
        <f>IF(SUM($G$301:G374)=1,0,IF($C$300&lt;F375,1,0))</f>
        <v>0</v>
      </c>
      <c r="H375" s="1076">
        <f t="shared" si="76"/>
        <v>43952</v>
      </c>
    </row>
    <row r="376" spans="6:8">
      <c r="F376" s="1076">
        <f t="shared" ref="F376:F381" si="77">F375+30</f>
        <v>44013</v>
      </c>
      <c r="G376" s="177">
        <f>IF(SUM($G$301:G375)=1,0,IF($C$300&lt;F376,1,0))</f>
        <v>0</v>
      </c>
      <c r="H376" s="1076">
        <f t="shared" si="76"/>
        <v>43983</v>
      </c>
    </row>
    <row r="377" spans="6:8">
      <c r="F377" s="1076">
        <f>F376+31</f>
        <v>44044</v>
      </c>
      <c r="G377" s="177">
        <f>IF(SUM($G$301:G376)=1,0,IF($C$300&lt;F377,1,0))</f>
        <v>0</v>
      </c>
      <c r="H377" s="1076">
        <f t="shared" si="76"/>
        <v>44013</v>
      </c>
    </row>
    <row r="378" spans="6:8">
      <c r="F378" s="1076">
        <f>F377+31</f>
        <v>44075</v>
      </c>
      <c r="G378" s="177">
        <f>IF(SUM($G$301:G377)=1,0,IF($C$300&lt;F378,1,0))</f>
        <v>0</v>
      </c>
      <c r="H378" s="1076">
        <f t="shared" si="76"/>
        <v>44044</v>
      </c>
    </row>
    <row r="379" spans="6:8">
      <c r="F379" s="1076">
        <f t="shared" si="77"/>
        <v>44105</v>
      </c>
      <c r="G379" s="177">
        <f>IF(SUM($G$301:G378)=1,0,IF($C$300&lt;F379,1,0))</f>
        <v>0</v>
      </c>
      <c r="H379" s="1076">
        <f t="shared" si="76"/>
        <v>44075</v>
      </c>
    </row>
    <row r="380" spans="6:8">
      <c r="F380" s="1076">
        <f>F379+31</f>
        <v>44136</v>
      </c>
      <c r="G380" s="177">
        <f>IF(SUM($G$301:G379)=1,0,IF($C$300&lt;F380,1,0))</f>
        <v>0</v>
      </c>
      <c r="H380" s="1076">
        <f t="shared" si="76"/>
        <v>44105</v>
      </c>
    </row>
    <row r="381" spans="6:8">
      <c r="F381" s="1076">
        <f t="shared" si="77"/>
        <v>44166</v>
      </c>
      <c r="G381" s="177">
        <f>IF(SUM($G$301:G380)=1,0,IF($C$300&lt;F381,1,0))</f>
        <v>0</v>
      </c>
      <c r="H381" s="1076">
        <f t="shared" si="76"/>
        <v>44136</v>
      </c>
    </row>
    <row r="382" spans="6:8">
      <c r="F382" s="1076">
        <f>F381+31</f>
        <v>44197</v>
      </c>
      <c r="G382" s="177">
        <f>IF(SUM($G$301:G381)=1,0,IF($C$300&lt;F382,1,0))</f>
        <v>0</v>
      </c>
      <c r="H382" s="1076">
        <f t="shared" si="76"/>
        <v>44166</v>
      </c>
    </row>
    <row r="383" spans="6:8">
      <c r="F383" s="1076">
        <f>F382+31</f>
        <v>44228</v>
      </c>
      <c r="G383" s="177">
        <f>IF(SUM($G$301:G382)=1,0,IF($C$300&lt;F383,1,0))</f>
        <v>0</v>
      </c>
      <c r="H383" s="1076">
        <f t="shared" si="76"/>
        <v>44197</v>
      </c>
    </row>
    <row r="384" spans="6:8">
      <c r="F384" s="1076">
        <f>IF(ISNA(VLOOKUP(F383,$E$4:$E$13,1,FALSE))=TRUE,F383+28,F383+29)</f>
        <v>44256</v>
      </c>
      <c r="G384" s="177">
        <f>IF(SUM($G$301:G383)=1,0,IF($C$300&lt;F384,1,0))</f>
        <v>0</v>
      </c>
      <c r="H384" s="1076">
        <f t="shared" si="76"/>
        <v>44228</v>
      </c>
    </row>
    <row r="385" spans="6:8">
      <c r="F385" s="1076">
        <f>F384+31</f>
        <v>44287</v>
      </c>
      <c r="G385" s="177">
        <f>IF(SUM($G$301:G384)=1,0,IF($C$300&lt;F385,1,0))</f>
        <v>0</v>
      </c>
      <c r="H385" s="1076">
        <f t="shared" si="76"/>
        <v>44256</v>
      </c>
    </row>
    <row r="386" spans="6:8">
      <c r="F386" s="1076">
        <f>F385+30</f>
        <v>44317</v>
      </c>
      <c r="G386" s="177">
        <f>IF(SUM($G$301:G385)=1,0,IF($C$300&lt;F386,1,0))</f>
        <v>0</v>
      </c>
      <c r="H386" s="1076">
        <f t="shared" si="76"/>
        <v>44287</v>
      </c>
    </row>
    <row r="387" spans="6:8">
      <c r="F387" s="1076">
        <f>F386+31</f>
        <v>44348</v>
      </c>
      <c r="G387" s="177">
        <f>IF(SUM($G$301:G386)=1,0,IF($C$300&lt;F387,1,0))</f>
        <v>0</v>
      </c>
      <c r="H387" s="1076">
        <f t="shared" si="76"/>
        <v>44317</v>
      </c>
    </row>
    <row r="388" spans="6:8">
      <c r="F388" s="1076">
        <f t="shared" ref="F388:F393" si="78">F387+30</f>
        <v>44378</v>
      </c>
      <c r="G388" s="177">
        <f>IF(SUM($G$301:G387)=1,0,IF($C$300&lt;F388,1,0))</f>
        <v>0</v>
      </c>
      <c r="H388" s="1076">
        <f t="shared" si="76"/>
        <v>44348</v>
      </c>
    </row>
    <row r="389" spans="6:8">
      <c r="F389" s="1076">
        <f>F388+31</f>
        <v>44409</v>
      </c>
      <c r="G389" s="177">
        <f>IF(SUM($G$301:G388)=1,0,IF($C$300&lt;F389,1,0))</f>
        <v>0</v>
      </c>
      <c r="H389" s="1076">
        <f t="shared" si="76"/>
        <v>44378</v>
      </c>
    </row>
    <row r="390" spans="6:8">
      <c r="F390" s="1076">
        <f>F389+31</f>
        <v>44440</v>
      </c>
      <c r="G390" s="177">
        <f>IF(SUM($G$301:G389)=1,0,IF($C$300&lt;F390,1,0))</f>
        <v>0</v>
      </c>
      <c r="H390" s="1076">
        <f t="shared" si="76"/>
        <v>44409</v>
      </c>
    </row>
    <row r="391" spans="6:8">
      <c r="F391" s="1076">
        <f t="shared" si="78"/>
        <v>44470</v>
      </c>
      <c r="G391" s="177">
        <f>IF(SUM($G$301:G390)=1,0,IF($C$300&lt;F391,1,0))</f>
        <v>0</v>
      </c>
      <c r="H391" s="1076">
        <f t="shared" si="76"/>
        <v>44440</v>
      </c>
    </row>
    <row r="392" spans="6:8">
      <c r="F392" s="1076">
        <f>F391+31</f>
        <v>44501</v>
      </c>
      <c r="G392" s="177">
        <f>IF(SUM($G$301:G391)=1,0,IF($C$300&lt;F392,1,0))</f>
        <v>0</v>
      </c>
      <c r="H392" s="1076">
        <f t="shared" si="76"/>
        <v>44470</v>
      </c>
    </row>
    <row r="393" spans="6:8">
      <c r="F393" s="1076">
        <f t="shared" si="78"/>
        <v>44531</v>
      </c>
      <c r="G393" s="177">
        <f>IF(SUM($G$301:G392)=1,0,IF($C$300&lt;F393,1,0))</f>
        <v>0</v>
      </c>
      <c r="H393" s="1076">
        <f t="shared" si="76"/>
        <v>44501</v>
      </c>
    </row>
    <row r="394" spans="6:8">
      <c r="F394" s="1076">
        <f>F393+31</f>
        <v>44562</v>
      </c>
      <c r="G394" s="177">
        <f>IF(SUM($G$301:G393)=1,0,IF($C$300&lt;F394,1,0))</f>
        <v>0</v>
      </c>
      <c r="H394" s="1076">
        <f t="shared" si="76"/>
        <v>44531</v>
      </c>
    </row>
    <row r="395" spans="6:8">
      <c r="F395" s="1076">
        <f>F394+31</f>
        <v>44593</v>
      </c>
      <c r="G395" s="177">
        <f>IF(SUM($G$301:G394)=1,0,IF($C$300&lt;F395,1,0))</f>
        <v>0</v>
      </c>
      <c r="H395" s="1076">
        <f t="shared" si="76"/>
        <v>44562</v>
      </c>
    </row>
    <row r="396" spans="6:8">
      <c r="F396" s="1076">
        <f>IF(ISNA(VLOOKUP(F395,$E$4:$E$13,1,FALSE))=TRUE,F395+28,F395+29)</f>
        <v>44621</v>
      </c>
      <c r="G396" s="177">
        <f>IF(SUM($G$301:G395)=1,0,IF($C$300&lt;F396,1,0))</f>
        <v>0</v>
      </c>
      <c r="H396" s="1076">
        <f t="shared" si="76"/>
        <v>44593</v>
      </c>
    </row>
    <row r="397" spans="6:8">
      <c r="F397" s="1076">
        <f>F396+31</f>
        <v>44652</v>
      </c>
      <c r="G397" s="177">
        <f>IF(SUM($G$301:G396)=1,0,IF($C$300&lt;F397,1,0))</f>
        <v>0</v>
      </c>
      <c r="H397" s="1076">
        <f t="shared" si="76"/>
        <v>44621</v>
      </c>
    </row>
    <row r="398" spans="6:8">
      <c r="F398" s="1076">
        <f>F397+30</f>
        <v>44682</v>
      </c>
      <c r="G398" s="177">
        <f>IF(SUM($G$301:G397)=1,0,IF($C$300&lt;F398,1,0))</f>
        <v>0</v>
      </c>
      <c r="H398" s="1076">
        <f t="shared" si="76"/>
        <v>44652</v>
      </c>
    </row>
    <row r="399" spans="6:8">
      <c r="F399" s="1076">
        <f>F398+31</f>
        <v>44713</v>
      </c>
      <c r="G399" s="177">
        <f>IF(SUM($G$301:G398)=1,0,IF($C$300&lt;F399,1,0))</f>
        <v>0</v>
      </c>
      <c r="H399" s="1076">
        <f t="shared" si="76"/>
        <v>44682</v>
      </c>
    </row>
    <row r="400" spans="6:8">
      <c r="F400" s="1076">
        <f t="shared" ref="F400:F405" si="79">F399+30</f>
        <v>44743</v>
      </c>
      <c r="G400" s="177">
        <f>IF(SUM($G$301:G399)=1,0,IF($C$300&lt;F400,1,0))</f>
        <v>0</v>
      </c>
      <c r="H400" s="1076">
        <f t="shared" si="76"/>
        <v>44713</v>
      </c>
    </row>
    <row r="401" spans="6:8">
      <c r="F401" s="1076">
        <f>F400+31</f>
        <v>44774</v>
      </c>
      <c r="G401" s="177">
        <f>IF(SUM($G$301:G400)=1,0,IF($C$300&lt;F401,1,0))</f>
        <v>0</v>
      </c>
      <c r="H401" s="1076">
        <f t="shared" si="76"/>
        <v>44743</v>
      </c>
    </row>
    <row r="402" spans="6:8">
      <c r="F402" s="1076">
        <f>F401+31</f>
        <v>44805</v>
      </c>
      <c r="G402" s="177">
        <f>IF(SUM($G$301:G401)=1,0,IF($C$300&lt;F402,1,0))</f>
        <v>0</v>
      </c>
      <c r="H402" s="1076">
        <f t="shared" si="76"/>
        <v>44774</v>
      </c>
    </row>
    <row r="403" spans="6:8">
      <c r="F403" s="1076">
        <f t="shared" si="79"/>
        <v>44835</v>
      </c>
      <c r="G403" s="177">
        <f>IF(SUM($G$301:G402)=1,0,IF($C$300&lt;F403,1,0))</f>
        <v>0</v>
      </c>
      <c r="H403" s="1076">
        <f t="shared" si="76"/>
        <v>44805</v>
      </c>
    </row>
    <row r="404" spans="6:8">
      <c r="F404" s="1076">
        <f>F403+31</f>
        <v>44866</v>
      </c>
      <c r="G404" s="177">
        <f>IF(SUM($G$301:G403)=1,0,IF($C$300&lt;F404,1,0))</f>
        <v>0</v>
      </c>
      <c r="H404" s="1076">
        <f t="shared" si="76"/>
        <v>44835</v>
      </c>
    </row>
    <row r="405" spans="6:8">
      <c r="F405" s="1076">
        <f t="shared" si="79"/>
        <v>44896</v>
      </c>
      <c r="G405" s="177">
        <f>IF(SUM($G$301:G404)=1,0,IF($C$300&lt;F405,1,0))</f>
        <v>0</v>
      </c>
      <c r="H405" s="1076">
        <f t="shared" si="76"/>
        <v>44866</v>
      </c>
    </row>
    <row r="406" spans="6:8">
      <c r="F406" s="1076">
        <f>F405+31</f>
        <v>44927</v>
      </c>
      <c r="G406" s="177">
        <f>IF(SUM($G$301:G405)=1,0,IF($C$300&lt;F406,1,0))</f>
        <v>0</v>
      </c>
      <c r="H406" s="1076">
        <f t="shared" si="76"/>
        <v>44896</v>
      </c>
    </row>
    <row r="407" spans="6:8">
      <c r="F407" s="1076">
        <f>F406+31</f>
        <v>44958</v>
      </c>
      <c r="G407" s="177">
        <f>IF(SUM($G$301:G406)=1,0,IF($C$300&lt;F407,1,0))</f>
        <v>0</v>
      </c>
      <c r="H407" s="1076">
        <f t="shared" si="76"/>
        <v>44927</v>
      </c>
    </row>
    <row r="408" spans="6:8">
      <c r="F408" s="1076">
        <f>IF(ISNA(VLOOKUP(F407,$E$4:$E$13,1,FALSE))=TRUE,F407+28,F407+29)</f>
        <v>44986</v>
      </c>
      <c r="G408" s="177">
        <f>IF(SUM($G$301:G407)=1,0,IF($C$300&lt;F408,1,0))</f>
        <v>0</v>
      </c>
      <c r="H408" s="1076">
        <f t="shared" si="76"/>
        <v>44958</v>
      </c>
    </row>
    <row r="409" spans="6:8">
      <c r="F409" s="1076">
        <f>F408+31</f>
        <v>45017</v>
      </c>
      <c r="G409" s="177">
        <f>IF(SUM($G$301:G408)=1,0,IF($C$300&lt;F409,1,0))</f>
        <v>0</v>
      </c>
      <c r="H409" s="1076">
        <f t="shared" si="76"/>
        <v>44986</v>
      </c>
    </row>
    <row r="410" spans="6:8">
      <c r="F410" s="1076">
        <f>F409+30</f>
        <v>45047</v>
      </c>
      <c r="G410" s="177">
        <f>IF(SUM($G$301:G409)=1,0,IF($C$300&lt;F410,1,0))</f>
        <v>0</v>
      </c>
      <c r="H410" s="1076">
        <f t="shared" si="76"/>
        <v>45017</v>
      </c>
    </row>
    <row r="411" spans="6:8">
      <c r="F411" s="1076">
        <f>F410+31</f>
        <v>45078</v>
      </c>
      <c r="G411" s="177">
        <f>IF(SUM($G$301:G410)=1,0,IF($C$300&lt;F411,1,0))</f>
        <v>0</v>
      </c>
      <c r="H411" s="1076">
        <f t="shared" si="76"/>
        <v>45047</v>
      </c>
    </row>
    <row r="412" spans="6:8">
      <c r="F412" s="1076">
        <f t="shared" ref="F412:F417" si="80">F411+30</f>
        <v>45108</v>
      </c>
      <c r="G412" s="177">
        <f>IF(SUM($G$301:G411)=1,0,IF($C$300&lt;F412,1,0))</f>
        <v>0</v>
      </c>
      <c r="H412" s="1076">
        <f t="shared" si="76"/>
        <v>45078</v>
      </c>
    </row>
    <row r="413" spans="6:8">
      <c r="F413" s="1076">
        <f>F412+31</f>
        <v>45139</v>
      </c>
      <c r="G413" s="177">
        <f>IF(SUM($G$301:G412)=1,0,IF($C$300&lt;F413,1,0))</f>
        <v>0</v>
      </c>
      <c r="H413" s="1076">
        <f t="shared" si="76"/>
        <v>45108</v>
      </c>
    </row>
    <row r="414" spans="6:8">
      <c r="F414" s="1076">
        <f>F413+31</f>
        <v>45170</v>
      </c>
      <c r="G414" s="177">
        <f>IF(SUM($G$301:G413)=1,0,IF($C$300&lt;F414,1,0))</f>
        <v>1</v>
      </c>
      <c r="H414" s="1076">
        <f t="shared" si="76"/>
        <v>45139</v>
      </c>
    </row>
    <row r="415" spans="6:8">
      <c r="F415" s="1076">
        <f t="shared" si="80"/>
        <v>45200</v>
      </c>
      <c r="G415" s="177">
        <f>IF(SUM($G$301:G414)=1,0,IF($C$300&lt;F415,1,0))</f>
        <v>0</v>
      </c>
      <c r="H415" s="1076">
        <f t="shared" si="76"/>
        <v>45170</v>
      </c>
    </row>
    <row r="416" spans="6:8">
      <c r="F416" s="1076">
        <f>F415+31</f>
        <v>45231</v>
      </c>
      <c r="G416" s="177">
        <f>IF(SUM($G$301:G415)=1,0,IF($C$300&lt;F416,1,0))</f>
        <v>0</v>
      </c>
      <c r="H416" s="1076">
        <f t="shared" si="76"/>
        <v>45200</v>
      </c>
    </row>
    <row r="417" spans="6:8">
      <c r="F417" s="1076">
        <f t="shared" si="80"/>
        <v>45261</v>
      </c>
      <c r="G417" s="177">
        <f>IF(SUM($G$301:G416)=1,0,IF($C$300&lt;F417,1,0))</f>
        <v>0</v>
      </c>
      <c r="H417" s="1076">
        <f t="shared" si="76"/>
        <v>45231</v>
      </c>
    </row>
    <row r="418" spans="6:8">
      <c r="F418" s="1076">
        <f>F417+31</f>
        <v>45292</v>
      </c>
      <c r="G418" s="177">
        <f>IF(SUM($G$301:G417)=1,0,IF($C$300&lt;F418,1,0))</f>
        <v>0</v>
      </c>
      <c r="H418" s="1076">
        <f t="shared" si="76"/>
        <v>45261</v>
      </c>
    </row>
    <row r="419" spans="6:8">
      <c r="F419" s="1076">
        <f>F418+31</f>
        <v>45323</v>
      </c>
      <c r="G419" s="177">
        <f>IF(SUM($G$301:G418)=1,0,IF($C$300&lt;F419,1,0))</f>
        <v>0</v>
      </c>
      <c r="H419" s="1076">
        <f t="shared" si="76"/>
        <v>45292</v>
      </c>
    </row>
    <row r="420" spans="6:8">
      <c r="F420" s="1076">
        <f>IF(ISNA(VLOOKUP(F419,$E$4:$E$13,1,FALSE))=TRUE,F419+28,F419+29)</f>
        <v>45352</v>
      </c>
      <c r="G420" s="177">
        <f>IF(SUM($G$301:G419)=1,0,IF($C$300&lt;F420,1,0))</f>
        <v>0</v>
      </c>
      <c r="H420" s="1076">
        <f t="shared" si="76"/>
        <v>45323</v>
      </c>
    </row>
    <row r="421" spans="6:8">
      <c r="F421" s="1076">
        <f>F420+31</f>
        <v>45383</v>
      </c>
      <c r="G421" s="177">
        <f>IF(SUM($G$301:G420)=1,0,IF($C$300&lt;F421,1,0))</f>
        <v>0</v>
      </c>
      <c r="H421" s="1076">
        <f t="shared" si="76"/>
        <v>45352</v>
      </c>
    </row>
    <row r="422" spans="6:8">
      <c r="F422" s="1076">
        <f>F421+30</f>
        <v>45413</v>
      </c>
      <c r="G422" s="177">
        <f>IF(SUM($G$301:G421)=1,0,IF($C$300&lt;F422,1,0))</f>
        <v>0</v>
      </c>
      <c r="H422" s="1076">
        <f t="shared" si="76"/>
        <v>45383</v>
      </c>
    </row>
    <row r="423" spans="6:8">
      <c r="F423" s="1076">
        <f>F422+31</f>
        <v>45444</v>
      </c>
      <c r="G423" s="177">
        <f>IF(SUM($G$301:G422)=1,0,IF($C$300&lt;F423,1,0))</f>
        <v>0</v>
      </c>
      <c r="H423" s="1076">
        <f t="shared" si="76"/>
        <v>45413</v>
      </c>
    </row>
    <row r="424" spans="6:8">
      <c r="F424" s="1076">
        <f t="shared" ref="F424:F429" si="81">F423+30</f>
        <v>45474</v>
      </c>
      <c r="G424" s="177">
        <f>IF(SUM($G$301:G423)=1,0,IF($C$300&lt;F424,1,0))</f>
        <v>0</v>
      </c>
      <c r="H424" s="1076">
        <f t="shared" si="76"/>
        <v>45444</v>
      </c>
    </row>
    <row r="425" spans="6:8">
      <c r="F425" s="1076">
        <f>F424+31</f>
        <v>45505</v>
      </c>
      <c r="G425" s="177">
        <f>IF(SUM($G$301:G424)=1,0,IF($C$300&lt;F425,1,0))</f>
        <v>0</v>
      </c>
      <c r="H425" s="1076">
        <f t="shared" si="76"/>
        <v>45474</v>
      </c>
    </row>
    <row r="426" spans="6:8">
      <c r="F426" s="1076">
        <f>F425+31</f>
        <v>45536</v>
      </c>
      <c r="G426" s="177">
        <f>IF(SUM($G$301:G425)=1,0,IF($C$300&lt;F426,1,0))</f>
        <v>0</v>
      </c>
      <c r="H426" s="1076">
        <f t="shared" si="76"/>
        <v>45505</v>
      </c>
    </row>
    <row r="427" spans="6:8">
      <c r="F427" s="1076">
        <f t="shared" si="81"/>
        <v>45566</v>
      </c>
      <c r="G427" s="177">
        <f>IF(SUM($G$301:G426)=1,0,IF($C$300&lt;F427,1,0))</f>
        <v>0</v>
      </c>
      <c r="H427" s="1076">
        <f t="shared" si="76"/>
        <v>45536</v>
      </c>
    </row>
    <row r="428" spans="6:8">
      <c r="F428" s="1076">
        <f>F427+31</f>
        <v>45597</v>
      </c>
      <c r="G428" s="177">
        <f>IF(SUM($G$301:G427)=1,0,IF($C$300&lt;F428,1,0))</f>
        <v>0</v>
      </c>
      <c r="H428" s="1076">
        <f t="shared" si="76"/>
        <v>45566</v>
      </c>
    </row>
    <row r="429" spans="6:8">
      <c r="F429" s="1076">
        <f t="shared" si="81"/>
        <v>45627</v>
      </c>
      <c r="G429" s="177">
        <f>IF(SUM($G$301:G428)=1,0,IF($C$300&lt;F429,1,0))</f>
        <v>0</v>
      </c>
      <c r="H429" s="1076">
        <f t="shared" si="76"/>
        <v>45597</v>
      </c>
    </row>
    <row r="430" spans="6:8">
      <c r="F430" s="1076">
        <f>F429+31</f>
        <v>45658</v>
      </c>
      <c r="G430" s="177">
        <f>IF(SUM($G$301:G429)=1,0,IF($C$300&lt;F430,1,0))</f>
        <v>0</v>
      </c>
      <c r="H430" s="1076">
        <f t="shared" si="76"/>
        <v>45627</v>
      </c>
    </row>
    <row r="431" spans="6:8">
      <c r="F431" s="1076">
        <f>F430+31</f>
        <v>45689</v>
      </c>
      <c r="G431" s="177">
        <f>IF(SUM($G$301:G430)=1,0,IF($C$300&lt;F431,1,0))</f>
        <v>0</v>
      </c>
      <c r="H431" s="1076">
        <f t="shared" si="76"/>
        <v>45658</v>
      </c>
    </row>
    <row r="432" spans="6:8">
      <c r="F432" s="1076">
        <f>IF(ISNA(VLOOKUP(F431,$E$4:$E$13,1,FALSE))=TRUE,F431+28,F431+29)</f>
        <v>45717</v>
      </c>
      <c r="G432" s="177">
        <f>IF(SUM($G$301:G431)=1,0,IF($C$300&lt;F432,1,0))</f>
        <v>0</v>
      </c>
      <c r="H432" s="1076">
        <f t="shared" ref="H432:H495" si="82">F431</f>
        <v>45689</v>
      </c>
    </row>
    <row r="433" spans="6:8">
      <c r="F433" s="1076">
        <f>F432+31</f>
        <v>45748</v>
      </c>
      <c r="G433" s="177">
        <f>IF(SUM($G$301:G432)=1,0,IF($C$300&lt;F433,1,0))</f>
        <v>0</v>
      </c>
      <c r="H433" s="1076">
        <f t="shared" si="82"/>
        <v>45717</v>
      </c>
    </row>
    <row r="434" spans="6:8">
      <c r="F434" s="1076">
        <f>F433+30</f>
        <v>45778</v>
      </c>
      <c r="G434" s="177">
        <f>IF(SUM($G$301:G433)=1,0,IF($C$300&lt;F434,1,0))</f>
        <v>0</v>
      </c>
      <c r="H434" s="1076">
        <f t="shared" si="82"/>
        <v>45748</v>
      </c>
    </row>
    <row r="435" spans="6:8">
      <c r="F435" s="1076">
        <f>F434+31</f>
        <v>45809</v>
      </c>
      <c r="G435" s="177">
        <f>IF(SUM($G$301:G434)=1,0,IF($C$300&lt;F435,1,0))</f>
        <v>0</v>
      </c>
      <c r="H435" s="1076">
        <f t="shared" si="82"/>
        <v>45778</v>
      </c>
    </row>
    <row r="436" spans="6:8">
      <c r="F436" s="1076">
        <f t="shared" ref="F436:F441" si="83">F435+30</f>
        <v>45839</v>
      </c>
      <c r="G436" s="177">
        <f>IF(SUM($G$301:G435)=1,0,IF($C$300&lt;F436,1,0))</f>
        <v>0</v>
      </c>
      <c r="H436" s="1076">
        <f t="shared" si="82"/>
        <v>45809</v>
      </c>
    </row>
    <row r="437" spans="6:8">
      <c r="F437" s="1076">
        <f>F436+31</f>
        <v>45870</v>
      </c>
      <c r="G437" s="177">
        <f>IF(SUM($G$301:G436)=1,0,IF($C$300&lt;F437,1,0))</f>
        <v>0</v>
      </c>
      <c r="H437" s="1076">
        <f t="shared" si="82"/>
        <v>45839</v>
      </c>
    </row>
    <row r="438" spans="6:8">
      <c r="F438" s="1076">
        <f>F437+31</f>
        <v>45901</v>
      </c>
      <c r="G438" s="177">
        <f>IF(SUM($G$301:G437)=1,0,IF($C$300&lt;F438,1,0))</f>
        <v>0</v>
      </c>
      <c r="H438" s="1076">
        <f t="shared" si="82"/>
        <v>45870</v>
      </c>
    </row>
    <row r="439" spans="6:8">
      <c r="F439" s="1076">
        <f t="shared" si="83"/>
        <v>45931</v>
      </c>
      <c r="G439" s="177">
        <f>IF(SUM($G$301:G438)=1,0,IF($C$300&lt;F439,1,0))</f>
        <v>0</v>
      </c>
      <c r="H439" s="1076">
        <f t="shared" si="82"/>
        <v>45901</v>
      </c>
    </row>
    <row r="440" spans="6:8">
      <c r="F440" s="1076">
        <f>F439+31</f>
        <v>45962</v>
      </c>
      <c r="G440" s="177">
        <f>IF(SUM($G$301:G439)=1,0,IF($C$300&lt;F440,1,0))</f>
        <v>0</v>
      </c>
      <c r="H440" s="1076">
        <f t="shared" si="82"/>
        <v>45931</v>
      </c>
    </row>
    <row r="441" spans="6:8">
      <c r="F441" s="1076">
        <f t="shared" si="83"/>
        <v>45992</v>
      </c>
      <c r="G441" s="177">
        <f>IF(SUM($G$301:G440)=1,0,IF($C$300&lt;F441,1,0))</f>
        <v>0</v>
      </c>
      <c r="H441" s="1076">
        <f t="shared" si="82"/>
        <v>45962</v>
      </c>
    </row>
    <row r="442" spans="6:8">
      <c r="F442" s="1076">
        <f>F441+31</f>
        <v>46023</v>
      </c>
      <c r="G442" s="177">
        <f>IF(SUM($G$301:G441)=1,0,IF($C$300&lt;F442,1,0))</f>
        <v>0</v>
      </c>
      <c r="H442" s="1076">
        <f t="shared" si="82"/>
        <v>45992</v>
      </c>
    </row>
    <row r="443" spans="6:8">
      <c r="F443" s="1076">
        <f>F442+31</f>
        <v>46054</v>
      </c>
      <c r="G443" s="177">
        <f>IF(SUM($G$301:G442)=1,0,IF($C$300&lt;F443,1,0))</f>
        <v>0</v>
      </c>
      <c r="H443" s="1076">
        <f t="shared" si="82"/>
        <v>46023</v>
      </c>
    </row>
    <row r="444" spans="6:8">
      <c r="F444" s="1076">
        <f>IF(ISNA(VLOOKUP(F443,$E$4:$E$13,1,FALSE))=TRUE,F443+28,F443+29)</f>
        <v>46082</v>
      </c>
      <c r="G444" s="177">
        <f>IF(SUM($G$301:G443)=1,0,IF($C$300&lt;F444,1,0))</f>
        <v>0</v>
      </c>
      <c r="H444" s="1076">
        <f t="shared" si="82"/>
        <v>46054</v>
      </c>
    </row>
    <row r="445" spans="6:8">
      <c r="F445" s="1076">
        <f>F444+31</f>
        <v>46113</v>
      </c>
      <c r="G445" s="177">
        <f>IF(SUM($G$301:G444)=1,0,IF($C$300&lt;F445,1,0))</f>
        <v>0</v>
      </c>
      <c r="H445" s="1076">
        <f t="shared" si="82"/>
        <v>46082</v>
      </c>
    </row>
    <row r="446" spans="6:8">
      <c r="F446" s="1076">
        <f>F445+30</f>
        <v>46143</v>
      </c>
      <c r="G446" s="177">
        <f>IF(SUM($G$301:G445)=1,0,IF($C$300&lt;F446,1,0))</f>
        <v>0</v>
      </c>
      <c r="H446" s="1076">
        <f t="shared" si="82"/>
        <v>46113</v>
      </c>
    </row>
    <row r="447" spans="6:8">
      <c r="F447" s="1076">
        <f>F446+31</f>
        <v>46174</v>
      </c>
      <c r="G447" s="177">
        <f>IF(SUM($G$301:G446)=1,0,IF($C$300&lt;F447,1,0))</f>
        <v>0</v>
      </c>
      <c r="H447" s="1076">
        <f t="shared" si="82"/>
        <v>46143</v>
      </c>
    </row>
    <row r="448" spans="6:8">
      <c r="F448" s="1076">
        <f t="shared" ref="F448:F453" si="84">F447+30</f>
        <v>46204</v>
      </c>
      <c r="G448" s="177">
        <f>IF(SUM($G$301:G447)=1,0,IF($C$300&lt;F448,1,0))</f>
        <v>0</v>
      </c>
      <c r="H448" s="1076">
        <f t="shared" si="82"/>
        <v>46174</v>
      </c>
    </row>
    <row r="449" spans="6:8">
      <c r="F449" s="1076">
        <f>F448+31</f>
        <v>46235</v>
      </c>
      <c r="G449" s="177">
        <f>IF(SUM($G$301:G448)=1,0,IF($C$300&lt;F449,1,0))</f>
        <v>0</v>
      </c>
      <c r="H449" s="1076">
        <f t="shared" si="82"/>
        <v>46204</v>
      </c>
    </row>
    <row r="450" spans="6:8">
      <c r="F450" s="1076">
        <f>F449+31</f>
        <v>46266</v>
      </c>
      <c r="G450" s="177">
        <f>IF(SUM($G$301:G449)=1,0,IF($C$300&lt;F450,1,0))</f>
        <v>0</v>
      </c>
      <c r="H450" s="1076">
        <f t="shared" si="82"/>
        <v>46235</v>
      </c>
    </row>
    <row r="451" spans="6:8">
      <c r="F451" s="1076">
        <f t="shared" si="84"/>
        <v>46296</v>
      </c>
      <c r="G451" s="177">
        <f>IF(SUM($G$301:G450)=1,0,IF($C$300&lt;F451,1,0))</f>
        <v>0</v>
      </c>
      <c r="H451" s="1076">
        <f t="shared" si="82"/>
        <v>46266</v>
      </c>
    </row>
    <row r="452" spans="6:8">
      <c r="F452" s="1076">
        <f>F451+31</f>
        <v>46327</v>
      </c>
      <c r="G452" s="177">
        <f>IF(SUM($G$301:G451)=1,0,IF($C$300&lt;F452,1,0))</f>
        <v>0</v>
      </c>
      <c r="H452" s="1076">
        <f t="shared" si="82"/>
        <v>46296</v>
      </c>
    </row>
    <row r="453" spans="6:8">
      <c r="F453" s="1076">
        <f t="shared" si="84"/>
        <v>46357</v>
      </c>
      <c r="G453" s="177">
        <f>IF(SUM($G$301:G452)=1,0,IF($C$300&lt;F453,1,0))</f>
        <v>0</v>
      </c>
      <c r="H453" s="1076">
        <f t="shared" si="82"/>
        <v>46327</v>
      </c>
    </row>
    <row r="454" spans="6:8">
      <c r="F454" s="1076">
        <f>F453+31</f>
        <v>46388</v>
      </c>
      <c r="G454" s="177">
        <f>IF(SUM($G$301:G453)=1,0,IF($C$300&lt;F454,1,0))</f>
        <v>0</v>
      </c>
      <c r="H454" s="1076">
        <f t="shared" si="82"/>
        <v>46357</v>
      </c>
    </row>
    <row r="455" spans="6:8">
      <c r="F455" s="1076">
        <f>F454+31</f>
        <v>46419</v>
      </c>
      <c r="G455" s="177">
        <f>IF(SUM($G$301:G454)=1,0,IF($C$300&lt;F455,1,0))</f>
        <v>0</v>
      </c>
      <c r="H455" s="1076">
        <f t="shared" si="82"/>
        <v>46388</v>
      </c>
    </row>
    <row r="456" spans="6:8">
      <c r="F456" s="1076">
        <f>IF(ISNA(VLOOKUP(F455,$E$4:$E$13,1,FALSE))=TRUE,F455+28,F455+29)</f>
        <v>46447</v>
      </c>
      <c r="G456" s="177">
        <f>IF(SUM($G$301:G455)=1,0,IF($C$300&lt;F456,1,0))</f>
        <v>0</v>
      </c>
      <c r="H456" s="1076">
        <f t="shared" si="82"/>
        <v>46419</v>
      </c>
    </row>
    <row r="457" spans="6:8">
      <c r="F457" s="1076">
        <f>F456+31</f>
        <v>46478</v>
      </c>
      <c r="G457" s="177">
        <f>IF(SUM($G$301:G456)=1,0,IF($C$300&lt;F457,1,0))</f>
        <v>0</v>
      </c>
      <c r="H457" s="1076">
        <f t="shared" si="82"/>
        <v>46447</v>
      </c>
    </row>
    <row r="458" spans="6:8">
      <c r="F458" s="1076">
        <f>F457+30</f>
        <v>46508</v>
      </c>
      <c r="G458" s="177">
        <f>IF(SUM($G$301:G457)=1,0,IF($C$300&lt;F458,1,0))</f>
        <v>0</v>
      </c>
      <c r="H458" s="1076">
        <f t="shared" si="82"/>
        <v>46478</v>
      </c>
    </row>
    <row r="459" spans="6:8">
      <c r="F459" s="1076">
        <f>F458+31</f>
        <v>46539</v>
      </c>
      <c r="G459" s="177">
        <f>IF(SUM($G$301:G458)=1,0,IF($C$300&lt;F459,1,0))</f>
        <v>0</v>
      </c>
      <c r="H459" s="1076">
        <f t="shared" si="82"/>
        <v>46508</v>
      </c>
    </row>
    <row r="460" spans="6:8">
      <c r="F460" s="1076">
        <f t="shared" ref="F460:F465" si="85">F459+30</f>
        <v>46569</v>
      </c>
      <c r="G460" s="177">
        <f>IF(SUM($G$301:G459)=1,0,IF($C$300&lt;F460,1,0))</f>
        <v>0</v>
      </c>
      <c r="H460" s="1076">
        <f t="shared" si="82"/>
        <v>46539</v>
      </c>
    </row>
    <row r="461" spans="6:8">
      <c r="F461" s="1076">
        <f>F460+31</f>
        <v>46600</v>
      </c>
      <c r="G461" s="177">
        <f>IF(SUM($G$301:G460)=1,0,IF($C$300&lt;F461,1,0))</f>
        <v>0</v>
      </c>
      <c r="H461" s="1076">
        <f t="shared" si="82"/>
        <v>46569</v>
      </c>
    </row>
    <row r="462" spans="6:8">
      <c r="F462" s="1076">
        <f>F461+31</f>
        <v>46631</v>
      </c>
      <c r="G462" s="177">
        <f>IF(SUM($G$301:G461)=1,0,IF($C$300&lt;F462,1,0))</f>
        <v>0</v>
      </c>
      <c r="H462" s="1076">
        <f t="shared" si="82"/>
        <v>46600</v>
      </c>
    </row>
    <row r="463" spans="6:8">
      <c r="F463" s="1076">
        <f t="shared" si="85"/>
        <v>46661</v>
      </c>
      <c r="G463" s="177">
        <f>IF(SUM($G$301:G462)=1,0,IF($C$300&lt;F463,1,0))</f>
        <v>0</v>
      </c>
      <c r="H463" s="1076">
        <f t="shared" si="82"/>
        <v>46631</v>
      </c>
    </row>
    <row r="464" spans="6:8">
      <c r="F464" s="1076">
        <f>F463+31</f>
        <v>46692</v>
      </c>
      <c r="G464" s="177">
        <f>IF(SUM($G$301:G463)=1,0,IF($C$300&lt;F464,1,0))</f>
        <v>0</v>
      </c>
      <c r="H464" s="1076">
        <f t="shared" si="82"/>
        <v>46661</v>
      </c>
    </row>
    <row r="465" spans="6:8">
      <c r="F465" s="1076">
        <f t="shared" si="85"/>
        <v>46722</v>
      </c>
      <c r="G465" s="177">
        <f>IF(SUM($G$301:G464)=1,0,IF($C$300&lt;F465,1,0))</f>
        <v>0</v>
      </c>
      <c r="H465" s="1076">
        <f t="shared" si="82"/>
        <v>46692</v>
      </c>
    </row>
    <row r="466" spans="6:8">
      <c r="F466" s="1076">
        <f>F465+31</f>
        <v>46753</v>
      </c>
      <c r="G466" s="177">
        <f>IF(SUM($G$301:G465)=1,0,IF($C$300&lt;F466,1,0))</f>
        <v>0</v>
      </c>
      <c r="H466" s="1076">
        <f t="shared" si="82"/>
        <v>46722</v>
      </c>
    </row>
    <row r="467" spans="6:8">
      <c r="F467" s="1076">
        <f>F466+31</f>
        <v>46784</v>
      </c>
      <c r="G467" s="177">
        <f>IF(SUM($G$301:G466)=1,0,IF($C$300&lt;F467,1,0))</f>
        <v>0</v>
      </c>
      <c r="H467" s="1076">
        <f t="shared" si="82"/>
        <v>46753</v>
      </c>
    </row>
    <row r="468" spans="6:8">
      <c r="F468" s="1076">
        <f>IF(ISNA(VLOOKUP(F467,$E$4:$E$13,1,FALSE))=TRUE,F467+28,F467+29)</f>
        <v>46813</v>
      </c>
      <c r="G468" s="177">
        <f>IF(SUM($G$301:G467)=1,0,IF($C$300&lt;F468,1,0))</f>
        <v>0</v>
      </c>
      <c r="H468" s="1076">
        <f t="shared" si="82"/>
        <v>46784</v>
      </c>
    </row>
    <row r="469" spans="6:8">
      <c r="F469" s="1076">
        <f>F468+31</f>
        <v>46844</v>
      </c>
      <c r="G469" s="177">
        <f>IF(SUM($G$301:G468)=1,0,IF($C$300&lt;F469,1,0))</f>
        <v>0</v>
      </c>
      <c r="H469" s="1076">
        <f t="shared" si="82"/>
        <v>46813</v>
      </c>
    </row>
    <row r="470" spans="6:8">
      <c r="F470" s="1076">
        <f>F469+30</f>
        <v>46874</v>
      </c>
      <c r="G470" s="177">
        <f>IF(SUM($G$301:G469)=1,0,IF($C$300&lt;F470,1,0))</f>
        <v>0</v>
      </c>
      <c r="H470" s="1076">
        <f t="shared" si="82"/>
        <v>46844</v>
      </c>
    </row>
    <row r="471" spans="6:8">
      <c r="F471" s="1076">
        <f>F470+31</f>
        <v>46905</v>
      </c>
      <c r="G471" s="177">
        <f>IF(SUM($G$301:G470)=1,0,IF($C$300&lt;F471,1,0))</f>
        <v>0</v>
      </c>
      <c r="H471" s="1076">
        <f t="shared" si="82"/>
        <v>46874</v>
      </c>
    </row>
    <row r="472" spans="6:8">
      <c r="F472" s="1076">
        <f t="shared" ref="F472:F477" si="86">F471+30</f>
        <v>46935</v>
      </c>
      <c r="G472" s="177">
        <f>IF(SUM($G$301:G471)=1,0,IF($C$300&lt;F472,1,0))</f>
        <v>0</v>
      </c>
      <c r="H472" s="1076">
        <f t="shared" si="82"/>
        <v>46905</v>
      </c>
    </row>
    <row r="473" spans="6:8">
      <c r="F473" s="1076">
        <f>F472+31</f>
        <v>46966</v>
      </c>
      <c r="G473" s="177">
        <f>IF(SUM($G$301:G472)=1,0,IF($C$300&lt;F473,1,0))</f>
        <v>0</v>
      </c>
      <c r="H473" s="1076">
        <f t="shared" si="82"/>
        <v>46935</v>
      </c>
    </row>
    <row r="474" spans="6:8">
      <c r="F474" s="1076">
        <f>F473+31</f>
        <v>46997</v>
      </c>
      <c r="G474" s="177">
        <f>IF(SUM($G$301:G473)=1,0,IF($C$300&lt;F474,1,0))</f>
        <v>0</v>
      </c>
      <c r="H474" s="1076">
        <f t="shared" si="82"/>
        <v>46966</v>
      </c>
    </row>
    <row r="475" spans="6:8">
      <c r="F475" s="1076">
        <f t="shared" si="86"/>
        <v>47027</v>
      </c>
      <c r="G475" s="177">
        <f>IF(SUM($G$301:G474)=1,0,IF($C$300&lt;F475,1,0))</f>
        <v>0</v>
      </c>
      <c r="H475" s="1076">
        <f t="shared" si="82"/>
        <v>46997</v>
      </c>
    </row>
    <row r="476" spans="6:8">
      <c r="F476" s="1076">
        <f>F475+31</f>
        <v>47058</v>
      </c>
      <c r="G476" s="177">
        <f>IF(SUM($G$301:G475)=1,0,IF($C$300&lt;F476,1,0))</f>
        <v>0</v>
      </c>
      <c r="H476" s="1076">
        <f t="shared" si="82"/>
        <v>47027</v>
      </c>
    </row>
    <row r="477" spans="6:8">
      <c r="F477" s="1076">
        <f t="shared" si="86"/>
        <v>47088</v>
      </c>
      <c r="G477" s="177">
        <f>IF(SUM($G$301:G476)=1,0,IF($C$300&lt;F477,1,0))</f>
        <v>0</v>
      </c>
      <c r="H477" s="1076">
        <f t="shared" si="82"/>
        <v>47058</v>
      </c>
    </row>
    <row r="478" spans="6:8">
      <c r="F478" s="1076">
        <f>F477+31</f>
        <v>47119</v>
      </c>
      <c r="G478" s="177">
        <f>IF(SUM($G$301:G477)=1,0,IF($C$300&lt;F478,1,0))</f>
        <v>0</v>
      </c>
      <c r="H478" s="1076">
        <f t="shared" si="82"/>
        <v>47088</v>
      </c>
    </row>
    <row r="479" spans="6:8">
      <c r="F479" s="1076">
        <f>F478+31</f>
        <v>47150</v>
      </c>
      <c r="G479" s="177">
        <f>IF(SUM($G$301:G478)=1,0,IF($C$300&lt;F479,1,0))</f>
        <v>0</v>
      </c>
      <c r="H479" s="1076">
        <f t="shared" si="82"/>
        <v>47119</v>
      </c>
    </row>
    <row r="480" spans="6:8">
      <c r="F480" s="1076">
        <f>IF(ISNA(VLOOKUP(F479,$E$4:$E$13,1,FALSE))=TRUE,F479+28,F479+29)</f>
        <v>47178</v>
      </c>
      <c r="G480" s="177">
        <f>IF(SUM($G$301:G479)=1,0,IF($C$300&lt;F480,1,0))</f>
        <v>0</v>
      </c>
      <c r="H480" s="1076">
        <f t="shared" si="82"/>
        <v>47150</v>
      </c>
    </row>
    <row r="481" spans="6:8">
      <c r="F481" s="1076">
        <f>F480+31</f>
        <v>47209</v>
      </c>
      <c r="G481" s="177">
        <f>IF(SUM($G$301:G480)=1,0,IF($C$300&lt;F481,1,0))</f>
        <v>0</v>
      </c>
      <c r="H481" s="1076">
        <f t="shared" si="82"/>
        <v>47178</v>
      </c>
    </row>
    <row r="482" spans="6:8">
      <c r="F482" s="1076">
        <f>F481+30</f>
        <v>47239</v>
      </c>
      <c r="G482" s="177">
        <f>IF(SUM($G$301:G481)=1,0,IF($C$300&lt;F482,1,0))</f>
        <v>0</v>
      </c>
      <c r="H482" s="1076">
        <f t="shared" si="82"/>
        <v>47209</v>
      </c>
    </row>
    <row r="483" spans="6:8">
      <c r="F483" s="1076">
        <f>F482+31</f>
        <v>47270</v>
      </c>
      <c r="G483" s="177">
        <f>IF(SUM($G$301:G482)=1,0,IF($C$300&lt;F483,1,0))</f>
        <v>0</v>
      </c>
      <c r="H483" s="1076">
        <f t="shared" si="82"/>
        <v>47239</v>
      </c>
    </row>
    <row r="484" spans="6:8">
      <c r="F484" s="1076">
        <f t="shared" ref="F484:F489" si="87">F483+30</f>
        <v>47300</v>
      </c>
      <c r="G484" s="177">
        <f>IF(SUM($G$301:G483)=1,0,IF($C$300&lt;F484,1,0))</f>
        <v>0</v>
      </c>
      <c r="H484" s="1076">
        <f t="shared" si="82"/>
        <v>47270</v>
      </c>
    </row>
    <row r="485" spans="6:8">
      <c r="F485" s="1076">
        <f>F484+31</f>
        <v>47331</v>
      </c>
      <c r="G485" s="177">
        <f>IF(SUM($G$301:G484)=1,0,IF($C$300&lt;F485,1,0))</f>
        <v>0</v>
      </c>
      <c r="H485" s="1076">
        <f t="shared" si="82"/>
        <v>47300</v>
      </c>
    </row>
    <row r="486" spans="6:8">
      <c r="F486" s="1076">
        <f>F485+31</f>
        <v>47362</v>
      </c>
      <c r="G486" s="177">
        <f>IF(SUM($G$301:G485)=1,0,IF($C$300&lt;F486,1,0))</f>
        <v>0</v>
      </c>
      <c r="H486" s="1076">
        <f t="shared" si="82"/>
        <v>47331</v>
      </c>
    </row>
    <row r="487" spans="6:8">
      <c r="F487" s="1076">
        <f t="shared" si="87"/>
        <v>47392</v>
      </c>
      <c r="G487" s="177">
        <f>IF(SUM($G$301:G486)=1,0,IF($C$300&lt;F487,1,0))</f>
        <v>0</v>
      </c>
      <c r="H487" s="1076">
        <f t="shared" si="82"/>
        <v>47362</v>
      </c>
    </row>
    <row r="488" spans="6:8">
      <c r="F488" s="1076">
        <f>F487+31</f>
        <v>47423</v>
      </c>
      <c r="G488" s="177">
        <f>IF(SUM($G$301:G487)=1,0,IF($C$300&lt;F488,1,0))</f>
        <v>0</v>
      </c>
      <c r="H488" s="1076">
        <f t="shared" si="82"/>
        <v>47392</v>
      </c>
    </row>
    <row r="489" spans="6:8">
      <c r="F489" s="1076">
        <f t="shared" si="87"/>
        <v>47453</v>
      </c>
      <c r="G489" s="177">
        <f>IF(SUM($G$301:G488)=1,0,IF($C$300&lt;F489,1,0))</f>
        <v>0</v>
      </c>
      <c r="H489" s="1076">
        <f t="shared" si="82"/>
        <v>47423</v>
      </c>
    </row>
    <row r="490" spans="6:8">
      <c r="F490" s="1076">
        <f>F489+31</f>
        <v>47484</v>
      </c>
      <c r="G490" s="177">
        <f>IF(SUM($G$301:G489)=1,0,IF($C$300&lt;F490,1,0))</f>
        <v>0</v>
      </c>
      <c r="H490" s="1076">
        <f t="shared" si="82"/>
        <v>47453</v>
      </c>
    </row>
    <row r="491" spans="6:8">
      <c r="F491" s="1076">
        <f>F490+31</f>
        <v>47515</v>
      </c>
      <c r="G491" s="177">
        <f>IF(SUM($G$301:G490)=1,0,IF($C$300&lt;F491,1,0))</f>
        <v>0</v>
      </c>
      <c r="H491" s="1076">
        <f t="shared" si="82"/>
        <v>47484</v>
      </c>
    </row>
    <row r="492" spans="6:8">
      <c r="F492" s="1076">
        <f>IF(ISNA(VLOOKUP(F491,$E$4:$E$13,1,FALSE))=TRUE,F491+28,F491+29)</f>
        <v>47543</v>
      </c>
      <c r="G492" s="177">
        <f>IF(SUM($G$301:G491)=1,0,IF($C$300&lt;F492,1,0))</f>
        <v>0</v>
      </c>
      <c r="H492" s="1076">
        <f t="shared" si="82"/>
        <v>47515</v>
      </c>
    </row>
    <row r="493" spans="6:8">
      <c r="F493" s="1076">
        <f>F492+31</f>
        <v>47574</v>
      </c>
      <c r="G493" s="177">
        <f>IF(SUM($G$301:G492)=1,0,IF($C$300&lt;F493,1,0))</f>
        <v>0</v>
      </c>
      <c r="H493" s="1076">
        <f t="shared" si="82"/>
        <v>47543</v>
      </c>
    </row>
    <row r="494" spans="6:8">
      <c r="F494" s="1076">
        <f>F493+30</f>
        <v>47604</v>
      </c>
      <c r="G494" s="177">
        <f>IF(SUM($G$301:G493)=1,0,IF($C$300&lt;F494,1,0))</f>
        <v>0</v>
      </c>
      <c r="H494" s="1076">
        <f t="shared" si="82"/>
        <v>47574</v>
      </c>
    </row>
    <row r="495" spans="6:8">
      <c r="F495" s="1076">
        <f>F494+31</f>
        <v>47635</v>
      </c>
      <c r="G495" s="177">
        <f>IF(SUM($G$301:G494)=1,0,IF($C$300&lt;F495,1,0))</f>
        <v>0</v>
      </c>
      <c r="H495" s="1076">
        <f t="shared" si="82"/>
        <v>47604</v>
      </c>
    </row>
    <row r="496" spans="6:8">
      <c r="F496" s="1076">
        <f t="shared" ref="F496:F501" si="88">F495+30</f>
        <v>47665</v>
      </c>
      <c r="G496" s="177">
        <f>IF(SUM($G$301:G495)=1,0,IF($C$300&lt;F496,1,0))</f>
        <v>0</v>
      </c>
      <c r="H496" s="1076">
        <f t="shared" ref="H496:H505" si="89">F495</f>
        <v>47635</v>
      </c>
    </row>
    <row r="497" spans="6:8">
      <c r="F497" s="1076">
        <f>F496+31</f>
        <v>47696</v>
      </c>
      <c r="G497" s="177">
        <f>IF(SUM($G$301:G496)=1,0,IF($C$300&lt;F497,1,0))</f>
        <v>0</v>
      </c>
      <c r="H497" s="1076">
        <f t="shared" si="89"/>
        <v>47665</v>
      </c>
    </row>
    <row r="498" spans="6:8">
      <c r="F498" s="1076">
        <f>F497+31</f>
        <v>47727</v>
      </c>
      <c r="G498" s="177">
        <f>IF(SUM($G$301:G497)=1,0,IF($C$300&lt;F498,1,0))</f>
        <v>0</v>
      </c>
      <c r="H498" s="1076">
        <f t="shared" si="89"/>
        <v>47696</v>
      </c>
    </row>
    <row r="499" spans="6:8">
      <c r="F499" s="1076">
        <f t="shared" si="88"/>
        <v>47757</v>
      </c>
      <c r="G499" s="177">
        <f>IF(SUM($G$301:G498)=1,0,IF($C$300&lt;F499,1,0))</f>
        <v>0</v>
      </c>
      <c r="H499" s="1076">
        <f t="shared" si="89"/>
        <v>47727</v>
      </c>
    </row>
    <row r="500" spans="6:8">
      <c r="F500" s="1076">
        <f>F499+31</f>
        <v>47788</v>
      </c>
      <c r="G500" s="177">
        <f>IF(SUM($G$301:G499)=1,0,IF($C$300&lt;F500,1,0))</f>
        <v>0</v>
      </c>
      <c r="H500" s="1076">
        <f t="shared" si="89"/>
        <v>47757</v>
      </c>
    </row>
    <row r="501" spans="6:8">
      <c r="F501" s="1076">
        <f t="shared" si="88"/>
        <v>47818</v>
      </c>
      <c r="G501" s="177">
        <f>IF(SUM($G$301:G500)=1,0,IF($C$300&lt;F501,1,0))</f>
        <v>0</v>
      </c>
      <c r="H501" s="1076">
        <f t="shared" si="89"/>
        <v>47788</v>
      </c>
    </row>
    <row r="502" spans="6:8">
      <c r="F502" s="1076">
        <f>F501+31</f>
        <v>47849</v>
      </c>
      <c r="G502" s="177">
        <f>IF(SUM($G$301:G501)=1,0,IF($C$300&lt;F502,1,0))</f>
        <v>0</v>
      </c>
      <c r="H502" s="1076">
        <f t="shared" si="89"/>
        <v>47818</v>
      </c>
    </row>
    <row r="503" spans="6:8">
      <c r="F503" s="1076">
        <f>F502+31</f>
        <v>47880</v>
      </c>
      <c r="G503" s="177">
        <f>IF(SUM($G$301:G502)=1,0,IF($C$300&lt;F503,1,0))</f>
        <v>0</v>
      </c>
      <c r="H503" s="1076">
        <f t="shared" si="89"/>
        <v>47849</v>
      </c>
    </row>
    <row r="504" spans="6:8">
      <c r="F504" s="1076">
        <f>IF(ISNA(VLOOKUP(F503,$E$4:$E$13,1,FALSE))=TRUE,F503+28,F503+29)</f>
        <v>47908</v>
      </c>
      <c r="G504" s="177">
        <f>IF(SUM($G$301:G503)=1,0,IF($C$300&lt;F504,1,0))</f>
        <v>0</v>
      </c>
      <c r="H504" s="1076">
        <f t="shared" si="89"/>
        <v>47880</v>
      </c>
    </row>
    <row r="505" spans="6:8">
      <c r="F505" s="1076">
        <f>F504+31</f>
        <v>47939</v>
      </c>
      <c r="G505" s="177">
        <f>IF(SUM($G$301:G504)=1,0,IF($C$300&lt;F505,1,0))</f>
        <v>0</v>
      </c>
      <c r="H505" s="1076">
        <f t="shared" si="89"/>
        <v>47908</v>
      </c>
    </row>
    <row r="1000" spans="2:22" ht="15.6">
      <c r="B1000" s="1102" t="s">
        <v>49</v>
      </c>
      <c r="I1000" s="177" t="s">
        <v>50</v>
      </c>
    </row>
    <row r="1001" spans="2:22">
      <c r="I1001" s="177" t="s">
        <v>53</v>
      </c>
      <c r="R1001" s="177" t="s">
        <v>51</v>
      </c>
    </row>
    <row r="1002" spans="2:22">
      <c r="B1002" s="177" t="s">
        <v>52</v>
      </c>
      <c r="I1002" s="177" t="s">
        <v>55</v>
      </c>
      <c r="R1002" s="177" t="s">
        <v>54</v>
      </c>
    </row>
    <row r="1003" spans="2:22">
      <c r="I1003" s="177" t="s">
        <v>792</v>
      </c>
      <c r="R1003" s="177" t="s">
        <v>56</v>
      </c>
    </row>
    <row r="1004" spans="2:22">
      <c r="B1004" s="1083" t="s">
        <v>219</v>
      </c>
      <c r="C1004" s="1103" t="s">
        <v>990</v>
      </c>
      <c r="D1004" s="1103"/>
      <c r="I1004" s="177" t="s">
        <v>649</v>
      </c>
      <c r="R1004" s="177" t="s">
        <v>57</v>
      </c>
    </row>
    <row r="1005" spans="2:22">
      <c r="B1005" s="1083" t="s">
        <v>216</v>
      </c>
      <c r="C1005" s="1104" t="s">
        <v>991</v>
      </c>
      <c r="D1005" s="1104"/>
      <c r="E1005" s="1104"/>
      <c r="F1005" s="1104"/>
      <c r="G1005" s="1104"/>
      <c r="H1005" s="1104"/>
      <c r="R1005" s="177" t="s">
        <v>58</v>
      </c>
    </row>
    <row r="1006" spans="2:22">
      <c r="C1006" s="1104"/>
      <c r="D1006" s="1104"/>
      <c r="E1006" s="1104"/>
      <c r="F1006" s="1104"/>
      <c r="G1006" s="1104"/>
      <c r="H1006" s="1104"/>
      <c r="J1006" s="177" t="s">
        <v>986</v>
      </c>
      <c r="L1006" s="177" t="s">
        <v>993</v>
      </c>
      <c r="R1006" s="177" t="s">
        <v>59</v>
      </c>
      <c r="U1006" s="177" t="s">
        <v>573</v>
      </c>
    </row>
    <row r="1007" spans="2:22">
      <c r="R1007" s="177" t="s">
        <v>567</v>
      </c>
      <c r="U1007" s="177" t="s">
        <v>565</v>
      </c>
      <c r="V1007" s="1103" t="s">
        <v>566</v>
      </c>
    </row>
    <row r="1008" spans="2:22">
      <c r="E1008" s="177" t="s">
        <v>60</v>
      </c>
      <c r="J1008" s="177" t="s">
        <v>61</v>
      </c>
      <c r="R1008" s="177" t="s">
        <v>26</v>
      </c>
    </row>
    <row r="1009" spans="1:26" ht="43.2">
      <c r="B1009" s="177" t="s">
        <v>62</v>
      </c>
      <c r="C1009" s="1105" t="s">
        <v>63</v>
      </c>
      <c r="D1009" s="1105" t="s">
        <v>64</v>
      </c>
      <c r="E1009" s="1105" t="s">
        <v>65</v>
      </c>
      <c r="F1009" s="1105" t="s">
        <v>66</v>
      </c>
      <c r="G1009" s="1105" t="s">
        <v>67</v>
      </c>
      <c r="H1009" s="1105" t="s">
        <v>68</v>
      </c>
      <c r="I1009" s="1105" t="s">
        <v>69</v>
      </c>
      <c r="J1009" s="1105" t="s">
        <v>70</v>
      </c>
      <c r="K1009" s="1085" t="s">
        <v>603</v>
      </c>
      <c r="L1009" s="1105" t="s">
        <v>612</v>
      </c>
    </row>
    <row r="1010" spans="1:26">
      <c r="A1010" s="177">
        <v>1</v>
      </c>
      <c r="B1010" s="1103" t="s">
        <v>51</v>
      </c>
      <c r="C1010" s="1103" t="s">
        <v>51</v>
      </c>
      <c r="D1010" s="1103" t="s">
        <v>88</v>
      </c>
      <c r="E1010" s="958">
        <v>0</v>
      </c>
      <c r="F1010" s="958">
        <v>0.22</v>
      </c>
      <c r="G1010" s="958">
        <v>0.44</v>
      </c>
      <c r="H1010" s="958">
        <v>0.28000000000000003</v>
      </c>
      <c r="I1010" s="958">
        <v>0.06</v>
      </c>
      <c r="J1010" s="962">
        <v>145000000</v>
      </c>
      <c r="K1010" s="963">
        <v>1</v>
      </c>
      <c r="L1010" s="963">
        <v>0.95000000000000007</v>
      </c>
      <c r="R1010" s="177" t="s">
        <v>572</v>
      </c>
    </row>
    <row r="1011" spans="1:26">
      <c r="A1011" s="177">
        <v>2</v>
      </c>
      <c r="B1011" s="1103" t="s">
        <v>54</v>
      </c>
      <c r="C1011" s="1103" t="s">
        <v>54</v>
      </c>
      <c r="D1011" s="1103" t="s">
        <v>26</v>
      </c>
      <c r="E1011" s="958">
        <v>0</v>
      </c>
      <c r="F1011" s="958">
        <v>0</v>
      </c>
      <c r="G1011" s="958">
        <v>0</v>
      </c>
      <c r="H1011" s="958">
        <v>0</v>
      </c>
      <c r="I1011" s="958">
        <v>0</v>
      </c>
      <c r="J1011" s="962"/>
      <c r="K1011" s="963">
        <v>0</v>
      </c>
      <c r="L1011" s="963">
        <v>0</v>
      </c>
      <c r="R1011" s="958"/>
      <c r="T1011" s="177" t="s">
        <v>73</v>
      </c>
      <c r="U1011" s="177" t="s">
        <v>74</v>
      </c>
      <c r="V1011" s="177" t="s">
        <v>75</v>
      </c>
      <c r="W1011" s="177" t="s">
        <v>76</v>
      </c>
      <c r="X1011" s="177" t="s">
        <v>77</v>
      </c>
    </row>
    <row r="1012" spans="1:26">
      <c r="A1012" s="177">
        <v>3</v>
      </c>
      <c r="B1012" s="1103" t="s">
        <v>56</v>
      </c>
      <c r="C1012" s="1103" t="s">
        <v>56</v>
      </c>
      <c r="D1012" s="1103" t="s">
        <v>26</v>
      </c>
      <c r="E1012" s="958">
        <v>0</v>
      </c>
      <c r="F1012" s="958">
        <v>0</v>
      </c>
      <c r="G1012" s="958">
        <v>0</v>
      </c>
      <c r="H1012" s="958">
        <v>0</v>
      </c>
      <c r="I1012" s="958">
        <v>0</v>
      </c>
      <c r="J1012" s="962"/>
      <c r="K1012" s="963">
        <v>0</v>
      </c>
      <c r="L1012" s="963">
        <v>0</v>
      </c>
      <c r="R1012" s="958"/>
      <c r="T1012" s="177" t="s">
        <v>78</v>
      </c>
      <c r="U1012" s="177" t="s">
        <v>79</v>
      </c>
      <c r="V1012" s="177" t="s">
        <v>80</v>
      </c>
      <c r="W1012" s="177" t="s">
        <v>81</v>
      </c>
      <c r="X1012" s="177" t="s">
        <v>82</v>
      </c>
      <c r="Z1012" s="177" t="s">
        <v>571</v>
      </c>
    </row>
    <row r="1013" spans="1:26">
      <c r="A1013" s="177">
        <v>4</v>
      </c>
      <c r="B1013" s="1103" t="s">
        <v>83</v>
      </c>
      <c r="C1013" s="1103" t="s">
        <v>57</v>
      </c>
      <c r="D1013" s="1103" t="s">
        <v>26</v>
      </c>
      <c r="E1013" s="958">
        <v>0</v>
      </c>
      <c r="F1013" s="958">
        <v>0</v>
      </c>
      <c r="G1013" s="958">
        <v>0</v>
      </c>
      <c r="H1013" s="958">
        <v>0</v>
      </c>
      <c r="I1013" s="958">
        <v>0</v>
      </c>
      <c r="J1013" s="962"/>
      <c r="K1013" s="963">
        <v>0</v>
      </c>
      <c r="L1013" s="963">
        <v>0</v>
      </c>
      <c r="S1013" s="177" t="s">
        <v>71</v>
      </c>
      <c r="T1013" s="958">
        <v>0.05</v>
      </c>
      <c r="U1013" s="958">
        <v>0.21</v>
      </c>
      <c r="V1013" s="958">
        <v>0.42</v>
      </c>
      <c r="W1013" s="958">
        <v>0.27</v>
      </c>
      <c r="X1013" s="958">
        <v>0.05</v>
      </c>
      <c r="Y1013" s="964">
        <v>1</v>
      </c>
      <c r="Z1013" s="1080">
        <v>1</v>
      </c>
    </row>
    <row r="1014" spans="1:26">
      <c r="A1014" s="177">
        <v>5</v>
      </c>
      <c r="B1014" s="1103" t="s">
        <v>58</v>
      </c>
      <c r="C1014" s="1103" t="s">
        <v>58</v>
      </c>
      <c r="D1014" s="1103" t="s">
        <v>26</v>
      </c>
      <c r="E1014" s="958">
        <v>0</v>
      </c>
      <c r="F1014" s="958">
        <v>0</v>
      </c>
      <c r="G1014" s="958">
        <v>0</v>
      </c>
      <c r="H1014" s="958">
        <v>0</v>
      </c>
      <c r="I1014" s="958">
        <v>0</v>
      </c>
      <c r="J1014" s="962"/>
      <c r="K1014" s="963">
        <v>0</v>
      </c>
      <c r="L1014" s="963">
        <v>0</v>
      </c>
      <c r="S1014" s="177" t="s">
        <v>73</v>
      </c>
      <c r="T1014" s="958">
        <v>1</v>
      </c>
      <c r="U1014" s="958">
        <v>0</v>
      </c>
      <c r="V1014" s="958">
        <v>0</v>
      </c>
      <c r="W1014" s="958">
        <v>0</v>
      </c>
      <c r="X1014" s="958">
        <v>0</v>
      </c>
      <c r="Y1014" s="964">
        <v>1</v>
      </c>
      <c r="Z1014" s="1080">
        <v>0.05</v>
      </c>
    </row>
    <row r="1015" spans="1:26">
      <c r="A1015" s="177">
        <v>6</v>
      </c>
      <c r="B1015" s="1103" t="s">
        <v>59</v>
      </c>
      <c r="C1015" s="1103" t="s">
        <v>59</v>
      </c>
      <c r="D1015" s="1103" t="s">
        <v>26</v>
      </c>
      <c r="E1015" s="958">
        <v>0</v>
      </c>
      <c r="F1015" s="958">
        <v>0</v>
      </c>
      <c r="G1015" s="958">
        <v>0</v>
      </c>
      <c r="H1015" s="958">
        <v>0</v>
      </c>
      <c r="I1015" s="958">
        <v>0</v>
      </c>
      <c r="J1015" s="962"/>
      <c r="K1015" s="963">
        <v>0</v>
      </c>
      <c r="L1015" s="963">
        <v>0</v>
      </c>
      <c r="S1015" s="177" t="s">
        <v>84</v>
      </c>
      <c r="T1015" s="958">
        <v>0.2</v>
      </c>
      <c r="U1015" s="958">
        <v>0.8</v>
      </c>
      <c r="V1015" s="958">
        <v>0</v>
      </c>
      <c r="W1015" s="958">
        <v>0</v>
      </c>
      <c r="X1015" s="958">
        <v>0</v>
      </c>
      <c r="Y1015" s="964">
        <v>1</v>
      </c>
      <c r="Z1015" s="1080">
        <v>0.26</v>
      </c>
    </row>
    <row r="1016" spans="1:26">
      <c r="A1016" s="177">
        <v>7</v>
      </c>
      <c r="B1016" s="1103" t="s">
        <v>85</v>
      </c>
      <c r="C1016" s="1103" t="s">
        <v>567</v>
      </c>
      <c r="D1016" s="1103" t="s">
        <v>26</v>
      </c>
      <c r="E1016" s="958">
        <v>0</v>
      </c>
      <c r="F1016" s="958">
        <v>0</v>
      </c>
      <c r="G1016" s="958">
        <v>0</v>
      </c>
      <c r="H1016" s="958">
        <v>0</v>
      </c>
      <c r="I1016" s="958">
        <v>0</v>
      </c>
      <c r="J1016" s="962"/>
      <c r="K1016" s="963">
        <v>0</v>
      </c>
      <c r="L1016" s="963">
        <v>0</v>
      </c>
      <c r="S1016" s="177" t="s">
        <v>86</v>
      </c>
      <c r="T1016" s="958">
        <v>0.08</v>
      </c>
      <c r="U1016" s="958">
        <v>0.31</v>
      </c>
      <c r="V1016" s="958">
        <v>0.61</v>
      </c>
      <c r="W1016" s="958">
        <v>0</v>
      </c>
      <c r="X1016" s="958">
        <v>0</v>
      </c>
      <c r="Y1016" s="964">
        <v>1</v>
      </c>
      <c r="Z1016" s="1080">
        <v>0.67999999999999994</v>
      </c>
    </row>
    <row r="1017" spans="1:26">
      <c r="J1017" s="960">
        <v>145000000</v>
      </c>
      <c r="S1017" s="177" t="s">
        <v>74</v>
      </c>
      <c r="T1017" s="958">
        <v>0</v>
      </c>
      <c r="U1017" s="958">
        <v>1</v>
      </c>
      <c r="V1017" s="958">
        <v>0</v>
      </c>
      <c r="W1017" s="958">
        <v>0</v>
      </c>
      <c r="X1017" s="958">
        <v>0</v>
      </c>
      <c r="Y1017" s="964">
        <v>1</v>
      </c>
      <c r="Z1017" s="1080">
        <v>0.21</v>
      </c>
    </row>
    <row r="1018" spans="1:26">
      <c r="Q1018" s="1105"/>
      <c r="S1018" s="177" t="s">
        <v>87</v>
      </c>
      <c r="T1018" s="958">
        <v>0</v>
      </c>
      <c r="U1018" s="958">
        <v>0.33</v>
      </c>
      <c r="V1018" s="958">
        <v>0.67</v>
      </c>
      <c r="W1018" s="958">
        <v>0</v>
      </c>
      <c r="X1018" s="958">
        <v>0</v>
      </c>
      <c r="Y1018" s="964">
        <v>1</v>
      </c>
      <c r="Z1018" s="1080">
        <v>0.63</v>
      </c>
    </row>
    <row r="1019" spans="1:26">
      <c r="Q1019" s="958"/>
      <c r="S1019" s="177" t="s">
        <v>72</v>
      </c>
      <c r="T1019" s="958">
        <v>0</v>
      </c>
      <c r="U1019" s="958">
        <v>0</v>
      </c>
      <c r="V1019" s="958">
        <v>0.63</v>
      </c>
      <c r="W1019" s="958">
        <v>0.31</v>
      </c>
      <c r="X1019" s="958">
        <v>0.06</v>
      </c>
      <c r="Y1019" s="964">
        <v>1</v>
      </c>
      <c r="Z1019" s="1080">
        <v>0.74</v>
      </c>
    </row>
    <row r="1020" spans="1:26">
      <c r="Q1020" s="958"/>
      <c r="S1020" s="177" t="s">
        <v>88</v>
      </c>
      <c r="T1020" s="958">
        <v>0</v>
      </c>
      <c r="U1020" s="958">
        <v>0.22</v>
      </c>
      <c r="V1020" s="958">
        <v>0.44</v>
      </c>
      <c r="W1020" s="958">
        <v>0.28000000000000003</v>
      </c>
      <c r="X1020" s="958">
        <v>0.06</v>
      </c>
      <c r="Y1020" s="964">
        <v>1</v>
      </c>
      <c r="Z1020" s="1080">
        <v>0.95000000000000007</v>
      </c>
    </row>
    <row r="1021" spans="1:26">
      <c r="B1021" s="1106" t="s">
        <v>564</v>
      </c>
      <c r="C1021" s="1106" t="s">
        <v>24</v>
      </c>
      <c r="E1021" s="177" t="s">
        <v>605</v>
      </c>
      <c r="Q1021" s="958"/>
      <c r="S1021" s="177" t="s">
        <v>89</v>
      </c>
      <c r="T1021" s="958">
        <v>0</v>
      </c>
      <c r="U1021" s="958">
        <v>0</v>
      </c>
      <c r="V1021" s="958">
        <v>0</v>
      </c>
      <c r="W1021" s="958">
        <v>0.83</v>
      </c>
      <c r="X1021" s="958">
        <v>0.17</v>
      </c>
      <c r="Y1021" s="964">
        <v>1</v>
      </c>
      <c r="Z1021" s="1080">
        <v>0.32</v>
      </c>
    </row>
    <row r="1022" spans="1:26">
      <c r="B1022" s="1079" t="s">
        <v>20</v>
      </c>
      <c r="C1022" s="965">
        <v>3534</v>
      </c>
      <c r="F1022" s="1079" t="s">
        <v>169</v>
      </c>
      <c r="G1022" s="1079" t="s">
        <v>170</v>
      </c>
      <c r="H1022" s="1079" t="s">
        <v>171</v>
      </c>
      <c r="K1022" s="177" t="s">
        <v>172</v>
      </c>
      <c r="Q1022" s="958"/>
      <c r="S1022" s="177" t="s">
        <v>26</v>
      </c>
    </row>
    <row r="1023" spans="1:26">
      <c r="B1023" s="1079" t="s">
        <v>21</v>
      </c>
      <c r="C1023" s="965">
        <v>2796</v>
      </c>
      <c r="E1023" s="1083" t="s">
        <v>173</v>
      </c>
      <c r="F1023" s="1081">
        <v>28</v>
      </c>
      <c r="G1023" s="1081">
        <v>7</v>
      </c>
      <c r="H1023" s="1081">
        <v>2023</v>
      </c>
      <c r="K1023" s="177">
        <v>45135</v>
      </c>
      <c r="M1023" s="1076"/>
      <c r="Q1023" s="958"/>
      <c r="R1023" s="177" t="s">
        <v>90</v>
      </c>
    </row>
    <row r="1024" spans="1:26">
      <c r="B1024" s="1079" t="s">
        <v>22</v>
      </c>
      <c r="C1024" s="965">
        <v>2403</v>
      </c>
      <c r="Q1024" s="958"/>
      <c r="T1024" s="177" t="s">
        <v>73</v>
      </c>
      <c r="U1024" s="177" t="s">
        <v>74</v>
      </c>
      <c r="V1024" s="177" t="s">
        <v>75</v>
      </c>
      <c r="W1024" s="177" t="s">
        <v>76</v>
      </c>
      <c r="X1024" s="177" t="s">
        <v>77</v>
      </c>
    </row>
    <row r="1025" spans="2:26">
      <c r="B1025" s="1079" t="s">
        <v>23</v>
      </c>
      <c r="C1025" s="965">
        <v>1167</v>
      </c>
      <c r="Q1025" s="958"/>
      <c r="T1025" s="177" t="s">
        <v>78</v>
      </c>
      <c r="U1025" s="177" t="s">
        <v>79</v>
      </c>
      <c r="V1025" s="177" t="s">
        <v>80</v>
      </c>
      <c r="W1025" s="177" t="s">
        <v>81</v>
      </c>
      <c r="X1025" s="177" t="s">
        <v>82</v>
      </c>
    </row>
    <row r="1026" spans="2:26">
      <c r="B1026" s="177" t="s">
        <v>973</v>
      </c>
      <c r="S1026" s="177" t="s">
        <v>71</v>
      </c>
      <c r="T1026" s="958">
        <v>0.05</v>
      </c>
      <c r="U1026" s="958">
        <v>0.16</v>
      </c>
      <c r="V1026" s="958">
        <v>0.37</v>
      </c>
      <c r="W1026" s="958">
        <v>0.37</v>
      </c>
      <c r="X1026" s="958">
        <v>0.05</v>
      </c>
      <c r="Y1026" s="964">
        <v>1</v>
      </c>
      <c r="Z1026" s="1080">
        <v>1</v>
      </c>
    </row>
    <row r="1027" spans="2:26">
      <c r="S1027" s="177" t="s">
        <v>73</v>
      </c>
      <c r="T1027" s="958">
        <v>1</v>
      </c>
      <c r="U1027" s="958">
        <v>0</v>
      </c>
      <c r="V1027" s="958">
        <v>0</v>
      </c>
      <c r="W1027" s="958">
        <v>0</v>
      </c>
      <c r="X1027" s="958">
        <v>0</v>
      </c>
      <c r="Y1027" s="964">
        <v>1</v>
      </c>
      <c r="Z1027" s="1080">
        <v>0.05</v>
      </c>
    </row>
    <row r="1028" spans="2:26">
      <c r="B1028" s="1079" t="s">
        <v>611</v>
      </c>
      <c r="C1028" s="1081">
        <v>3</v>
      </c>
      <c r="S1028" s="177" t="s">
        <v>84</v>
      </c>
      <c r="T1028" s="958">
        <v>0.25</v>
      </c>
      <c r="U1028" s="958">
        <v>0.75</v>
      </c>
      <c r="V1028" s="958">
        <v>0</v>
      </c>
      <c r="W1028" s="958">
        <v>0</v>
      </c>
      <c r="X1028" s="958">
        <v>0</v>
      </c>
      <c r="Y1028" s="964">
        <v>1</v>
      </c>
      <c r="Z1028" s="1080">
        <v>0.21000000000000002</v>
      </c>
    </row>
    <row r="1029" spans="2:26">
      <c r="B1029" s="1079" t="s">
        <v>664</v>
      </c>
      <c r="C1029" s="961">
        <v>300000</v>
      </c>
      <c r="S1029" s="177" t="s">
        <v>86</v>
      </c>
      <c r="T1029" s="958">
        <v>0.09</v>
      </c>
      <c r="U1029" s="958">
        <v>0.27</v>
      </c>
      <c r="V1029" s="958">
        <v>0.64</v>
      </c>
      <c r="W1029" s="958">
        <v>0</v>
      </c>
      <c r="X1029" s="958">
        <v>0</v>
      </c>
      <c r="Y1029" s="964">
        <v>1</v>
      </c>
      <c r="Z1029" s="1080">
        <v>0.58000000000000007</v>
      </c>
    </row>
    <row r="1030" spans="2:26">
      <c r="E1030" s="177" t="s">
        <v>568</v>
      </c>
      <c r="J1030" s="177" t="s">
        <v>856</v>
      </c>
      <c r="S1030" s="177" t="s">
        <v>74</v>
      </c>
      <c r="T1030" s="958">
        <v>0</v>
      </c>
      <c r="U1030" s="958">
        <v>1</v>
      </c>
      <c r="V1030" s="958">
        <v>0</v>
      </c>
      <c r="W1030" s="958">
        <v>0</v>
      </c>
      <c r="X1030" s="958">
        <v>0</v>
      </c>
      <c r="Y1030" s="964">
        <v>1</v>
      </c>
      <c r="Z1030" s="1080">
        <v>0.16</v>
      </c>
    </row>
    <row r="1031" spans="2:26">
      <c r="B1031" s="1079"/>
      <c r="E1031" s="177" t="s">
        <v>562</v>
      </c>
      <c r="H1031" s="1107">
        <v>3</v>
      </c>
      <c r="J1031" s="177" t="s">
        <v>857</v>
      </c>
      <c r="S1031" s="177" t="s">
        <v>87</v>
      </c>
      <c r="T1031" s="958">
        <v>0</v>
      </c>
      <c r="U1031" s="958">
        <v>0.3</v>
      </c>
      <c r="V1031" s="958">
        <v>0.7</v>
      </c>
      <c r="W1031" s="958">
        <v>0</v>
      </c>
      <c r="X1031" s="958">
        <v>0</v>
      </c>
      <c r="Y1031" s="964">
        <v>1</v>
      </c>
      <c r="Z1031" s="1080">
        <v>0.53</v>
      </c>
    </row>
    <row r="1032" spans="2:26">
      <c r="B1032" s="1083" t="s">
        <v>879</v>
      </c>
      <c r="C1032" s="1080">
        <v>0.15</v>
      </c>
      <c r="E1032" s="177" t="s">
        <v>563</v>
      </c>
      <c r="H1032" s="1107">
        <v>0.3</v>
      </c>
      <c r="J1032" s="177" t="s">
        <v>986</v>
      </c>
      <c r="S1032" s="177" t="s">
        <v>72</v>
      </c>
      <c r="T1032" s="958">
        <v>0</v>
      </c>
      <c r="U1032" s="958">
        <v>0</v>
      </c>
      <c r="V1032" s="958">
        <v>0.47</v>
      </c>
      <c r="W1032" s="958">
        <v>0.47</v>
      </c>
      <c r="X1032" s="958">
        <v>0.06</v>
      </c>
      <c r="Y1032" s="964">
        <v>1</v>
      </c>
      <c r="Z1032" s="1080">
        <v>0.79</v>
      </c>
    </row>
    <row r="1033" spans="2:26" ht="15.75" customHeight="1">
      <c r="E1033" s="1108" t="s">
        <v>650</v>
      </c>
      <c r="F1033" s="1108"/>
      <c r="G1033" s="1108"/>
      <c r="H1033" s="1108"/>
      <c r="S1033" s="177" t="s">
        <v>88</v>
      </c>
      <c r="T1033" s="958">
        <v>0</v>
      </c>
      <c r="U1033" s="958">
        <v>0.17</v>
      </c>
      <c r="V1033" s="958">
        <v>0.39</v>
      </c>
      <c r="W1033" s="958">
        <v>0.39</v>
      </c>
      <c r="X1033" s="958">
        <v>0.05</v>
      </c>
      <c r="Y1033" s="964">
        <v>1</v>
      </c>
      <c r="Z1033" s="1080">
        <v>0.95000000000000007</v>
      </c>
    </row>
    <row r="1034" spans="2:26">
      <c r="E1034" s="1108"/>
      <c r="F1034" s="1108"/>
      <c r="G1034" s="1108"/>
      <c r="H1034" s="1108"/>
      <c r="S1034" s="177" t="s">
        <v>89</v>
      </c>
      <c r="T1034" s="958">
        <v>0</v>
      </c>
      <c r="U1034" s="958">
        <v>0</v>
      </c>
      <c r="V1034" s="958">
        <v>0</v>
      </c>
      <c r="W1034" s="958">
        <v>0.88</v>
      </c>
      <c r="X1034" s="958">
        <v>0.12</v>
      </c>
      <c r="Y1034" s="964">
        <v>1</v>
      </c>
      <c r="Z1034" s="1080">
        <v>0.42</v>
      </c>
    </row>
    <row r="1035" spans="2:26">
      <c r="E1035" s="1108"/>
      <c r="F1035" s="1108"/>
      <c r="G1035" s="1108"/>
      <c r="H1035" s="1108"/>
    </row>
    <row r="1036" spans="2:26">
      <c r="E1036" s="177" t="s">
        <v>569</v>
      </c>
      <c r="H1036" s="1107">
        <v>1.2</v>
      </c>
    </row>
    <row r="1037" spans="2:26">
      <c r="E1037" s="177" t="s">
        <v>570</v>
      </c>
      <c r="H1037" s="1107">
        <v>0.8</v>
      </c>
    </row>
    <row r="1038" spans="2:26">
      <c r="B1038" s="177" t="s">
        <v>985</v>
      </c>
      <c r="H1038" s="966"/>
    </row>
    <row r="1043" spans="1:26">
      <c r="Z1043" s="964"/>
    </row>
    <row r="1044" spans="1:26">
      <c r="Z1044" s="964"/>
    </row>
    <row r="1045" spans="1:26">
      <c r="Z1045" s="964"/>
    </row>
    <row r="1046" spans="1:26">
      <c r="Z1046" s="964"/>
    </row>
    <row r="1047" spans="1:26">
      <c r="Z1047" s="964"/>
    </row>
    <row r="1048" spans="1:26">
      <c r="Z1048" s="964"/>
    </row>
    <row r="1049" spans="1:26">
      <c r="Z1049" s="964"/>
    </row>
    <row r="1050" spans="1:26">
      <c r="A1050" s="1109" t="s">
        <v>604</v>
      </c>
      <c r="Z1050" s="964"/>
    </row>
    <row r="1051" spans="1:26">
      <c r="A1051" s="177" t="s">
        <v>13</v>
      </c>
      <c r="B1051" s="177" t="s">
        <v>14</v>
      </c>
      <c r="Z1051" s="964"/>
    </row>
    <row r="1052" spans="1:26">
      <c r="A1052" s="177" t="s">
        <v>17</v>
      </c>
      <c r="B1052" s="177" t="s">
        <v>44</v>
      </c>
    </row>
    <row r="1053" spans="1:26">
      <c r="A1053" s="177" t="s">
        <v>18</v>
      </c>
      <c r="B1053" s="177" t="s">
        <v>18</v>
      </c>
    </row>
    <row r="1054" spans="1:26">
      <c r="A1054" s="177" t="s">
        <v>18</v>
      </c>
      <c r="B1054" s="177" t="s">
        <v>18</v>
      </c>
    </row>
    <row r="1055" spans="1:26">
      <c r="A1055" s="177" t="s">
        <v>18</v>
      </c>
      <c r="B1055" s="177" t="s">
        <v>18</v>
      </c>
    </row>
    <row r="1056" spans="1:26">
      <c r="A1056" s="177" t="s">
        <v>18</v>
      </c>
      <c r="B1056" s="177" t="s">
        <v>18</v>
      </c>
    </row>
    <row r="1057" spans="1:2">
      <c r="A1057" s="177" t="s">
        <v>18</v>
      </c>
      <c r="B1057" s="177" t="s">
        <v>18</v>
      </c>
    </row>
    <row r="1058" spans="1:2">
      <c r="A1058" s="177" t="s">
        <v>18</v>
      </c>
      <c r="B1058" s="177" t="s">
        <v>18</v>
      </c>
    </row>
    <row r="1059" spans="1:2">
      <c r="A1059" s="177" t="s">
        <v>18</v>
      </c>
      <c r="B1059" s="177" t="s">
        <v>18</v>
      </c>
    </row>
    <row r="1060" spans="1:2">
      <c r="A1060" s="177" t="s">
        <v>18</v>
      </c>
      <c r="B1060" s="177" t="s">
        <v>18</v>
      </c>
    </row>
    <row r="1061" spans="1:2">
      <c r="A1061" s="177" t="s">
        <v>13</v>
      </c>
      <c r="B1061" s="177" t="s">
        <v>14</v>
      </c>
    </row>
    <row r="1062" spans="1:2">
      <c r="A1062" s="177" t="s">
        <v>17</v>
      </c>
      <c r="B1062" s="177" t="s">
        <v>44</v>
      </c>
    </row>
    <row r="1063" spans="1:2">
      <c r="A1063" s="177" t="s">
        <v>18</v>
      </c>
      <c r="B1063" s="177" t="s">
        <v>18</v>
      </c>
    </row>
    <row r="1064" spans="1:2">
      <c r="A1064" s="177" t="s">
        <v>18</v>
      </c>
      <c r="B1064" s="177" t="s">
        <v>18</v>
      </c>
    </row>
    <row r="1065" spans="1:2">
      <c r="A1065" s="177" t="s">
        <v>18</v>
      </c>
      <c r="B1065" s="177" t="s">
        <v>18</v>
      </c>
    </row>
    <row r="1066" spans="1:2">
      <c r="A1066" s="177" t="s">
        <v>18</v>
      </c>
      <c r="B1066" s="177" t="s">
        <v>18</v>
      </c>
    </row>
    <row r="1067" spans="1:2">
      <c r="A1067" s="177" t="s">
        <v>18</v>
      </c>
      <c r="B1067" s="177" t="s">
        <v>18</v>
      </c>
    </row>
    <row r="1068" spans="1:2">
      <c r="A1068" s="177" t="s">
        <v>18</v>
      </c>
      <c r="B1068" s="177" t="s">
        <v>18</v>
      </c>
    </row>
    <row r="1069" spans="1:2">
      <c r="A1069" s="177" t="s">
        <v>18</v>
      </c>
      <c r="B1069" s="177" t="s">
        <v>18</v>
      </c>
    </row>
    <row r="1070" spans="1:2">
      <c r="A1070" s="177" t="s">
        <v>18</v>
      </c>
      <c r="B1070" s="177" t="s">
        <v>18</v>
      </c>
    </row>
  </sheetData>
  <sheetProtection algorithmName="SHA-512" hashValue="K1PLypPbIMYOhIf675z92Src21S/7Z9EJ94fUtlUDJtXx/pbGTehGXP3yb8FNw+akPOx67UdcIrQYdz/r/73TA==" saltValue="ScJHpFdfnkpr0DnFZUPlFw==" spinCount="100000" sheet="1" objects="1" scenarios="1"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Electronic</vt:lpstr>
      <vt:lpstr>Hours Other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Company>The SA National Roads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lippertm</dc:creator>
  <cp:lastModifiedBy>Mike Vinello-Lippert (WR)</cp:lastModifiedBy>
  <cp:lastPrinted>2022-05-17T13:12:28Z</cp:lastPrinted>
  <dcterms:created xsi:type="dcterms:W3CDTF">2014-06-28T11:16:13Z</dcterms:created>
  <dcterms:modified xsi:type="dcterms:W3CDTF">2023-07-10T13:47:09Z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2023-03-23T05:56:19Z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</Properties>
</file>