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2.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3.xml" ContentType="application/vnd.openxmlformats-officedocument.spreadsheetml.table+xml"/>
  <Override PartName="/xl/comments4.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drawings/drawing8.xml" ContentType="application/vnd.openxmlformats-officedocument.drawing+xml"/>
  <Override PartName="/xl/tables/table6.xml" ContentType="application/vnd.openxmlformats-officedocument.spreadsheetml.table+xml"/>
  <Override PartName="/xl/comments5.xml" ContentType="application/vnd.openxmlformats-officedocument.spreadsheetml.comments+xml"/>
  <Override PartName="/xl/drawings/drawing9.xml" ContentType="application/vnd.openxmlformats-officedocument.drawing+xml"/>
  <Override PartName="/xl/tables/table7.xml" ContentType="application/vnd.openxmlformats-officedocument.spreadsheetml.table+xml"/>
  <Override PartName="/xl/drawings/drawing10.xml" ContentType="application/vnd.openxmlformats-officedocument.drawing+xml"/>
  <Override PartName="/xl/tables/table8.xml" ContentType="application/vnd.openxmlformats-officedocument.spreadsheetml.table+xml"/>
  <Override PartName="/xl/drawings/drawing11.xml" ContentType="application/vnd.openxmlformats-officedocument.drawing+xml"/>
  <Override PartName="/xl/tables/table9.xml" ContentType="application/vnd.openxmlformats-officedocument.spreadsheetml.table+xml"/>
  <Override PartName="/xl/comments6.xml" ContentType="application/vnd.openxmlformats-officedocument.spreadsheetml.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NevuwaRT\OneDrive - Eskom Holdings SOC Ltd\Documents\Mushumo\Group IT\Projects\Enterprise Historian\Project Procurement Management\"/>
    </mc:Choice>
  </mc:AlternateContent>
  <xr:revisionPtr revIDLastSave="0" documentId="8_{3982278E-0883-4182-86FE-08998E371E3A}" xr6:coauthVersionLast="47" xr6:coauthVersionMax="47" xr10:uidLastSave="{00000000-0000-0000-0000-000000000000}"/>
  <bookViews>
    <workbookView xWindow="-110" yWindow="-110" windowWidth="19420" windowHeight="10300" firstSheet="3" activeTab="9" xr2:uid="{6B975A2E-C690-4C29-AFFA-C50A8BFE914F}"/>
  </bookViews>
  <sheets>
    <sheet name="TEC Development Guidelines" sheetId="2" r:id="rId1"/>
    <sheet name="Response Guidelines" sheetId="3" r:id="rId2"/>
    <sheet name="Scoring Summary" sheetId="4" r:id="rId3"/>
    <sheet name="Gatekeepers" sheetId="5" r:id="rId4"/>
    <sheet name="Key Requirements" sheetId="8" r:id="rId5"/>
    <sheet name="Functional" sheetId="1" r:id="rId6"/>
    <sheet name="Non-Functional" sheetId="10" r:id="rId7"/>
    <sheet name="Integration" sheetId="9" state="hidden" r:id="rId8"/>
    <sheet name="Testing" sheetId="12" state="hidden" r:id="rId9"/>
    <sheet name="Security" sheetId="13" r:id="rId10"/>
    <sheet name="Demo" sheetId="14" state="hidden" r:id="rId11"/>
    <sheet name="Definitions and Abbreviations" sheetId="7" r:id="rId12"/>
  </sheets>
  <definedNames>
    <definedName name="_xlnm.Print_Area" localSheetId="11">'Definitions and Abbreviations'!$A$1:$D$30</definedName>
    <definedName name="_xlnm.Print_Area" localSheetId="10">Demo!$A$1:$AH$19</definedName>
    <definedName name="_xlnm.Print_Area" localSheetId="3">Gatekeepers!$A$1:$H$11</definedName>
    <definedName name="_xlnm.Print_Area" localSheetId="6">'Non-Functional'!$A$1:$AJ$22</definedName>
    <definedName name="_xlnm.Print_Area" localSheetId="1">'Response Guidelines'!$A$1:$L$26</definedName>
    <definedName name="_xlnm.Print_Area" localSheetId="2">'Scoring Summary'!$A$1:$F$20</definedName>
    <definedName name="_xlnm.Print_Area" localSheetId="9">Security!$A$1:$AJ$32</definedName>
    <definedName name="_xlnm.Print_Area" localSheetId="0">'TEC Development Guidelines'!$A$1:$AJ$26</definedName>
    <definedName name="_xlnm.Print_Area" localSheetId="8">Testing!$A$1:$AJ$32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13" l="1" a="1"/>
  <c r="G36" i="13" s="1"/>
  <c r="G35" i="13" a="1"/>
  <c r="G35" i="13" s="1"/>
  <c r="G34" i="13" a="1"/>
  <c r="G34" i="13" s="1"/>
  <c r="G33" i="13" a="1"/>
  <c r="G33" i="13" s="1"/>
  <c r="G32" i="13" a="1"/>
  <c r="G32" i="13" s="1"/>
  <c r="N14" i="1" l="1" a="1"/>
  <c r="N14" i="1" s="1"/>
  <c r="O14" i="1" a="1"/>
  <c r="O14" i="1" s="1"/>
  <c r="P14" i="1" a="1"/>
  <c r="P14" i="1" s="1"/>
  <c r="AA14" i="1" s="1" a="1"/>
  <c r="AA14" i="1" s="1"/>
  <c r="Q14" i="1" a="1"/>
  <c r="Q14" i="1" s="1"/>
  <c r="AB14" i="1" s="1" a="1"/>
  <c r="AB14" i="1" s="1"/>
  <c r="R14" i="1" a="1"/>
  <c r="R14" i="1" s="1"/>
  <c r="AC14" i="1" s="1" a="1"/>
  <c r="AC14" i="1" s="1"/>
  <c r="S14" i="1" a="1"/>
  <c r="S14" i="1" s="1"/>
  <c r="AD14" i="1" s="1" a="1"/>
  <c r="AD14" i="1" s="1"/>
  <c r="T14" i="1" a="1"/>
  <c r="T14" i="1" s="1"/>
  <c r="AE14" i="1" s="1" a="1"/>
  <c r="AE14" i="1" s="1"/>
  <c r="U14" i="1" a="1"/>
  <c r="U14" i="1" s="1"/>
  <c r="AF14" i="1" s="1" a="1"/>
  <c r="AF14" i="1" s="1"/>
  <c r="V14" i="1" a="1"/>
  <c r="V14" i="1" s="1"/>
  <c r="AG14" i="1" s="1" a="1"/>
  <c r="AG14" i="1" s="1"/>
  <c r="W14" i="1" a="1"/>
  <c r="W14" i="1" s="1"/>
  <c r="AH14" i="1" s="1" a="1"/>
  <c r="AH14" i="1" s="1"/>
  <c r="X14" i="1" a="1"/>
  <c r="X14" i="1" s="1"/>
  <c r="AI14" i="1" s="1" a="1"/>
  <c r="AI14" i="1" s="1"/>
  <c r="N15" i="1" a="1"/>
  <c r="N15" i="1" s="1"/>
  <c r="O15" i="1" a="1"/>
  <c r="O15" i="1" s="1"/>
  <c r="P15" i="1" a="1"/>
  <c r="P15" i="1" s="1"/>
  <c r="AA15" i="1" s="1" a="1"/>
  <c r="AA15" i="1" s="1"/>
  <c r="Q15" i="1" a="1"/>
  <c r="Q15" i="1" s="1"/>
  <c r="AB15" i="1" s="1" a="1"/>
  <c r="AB15" i="1" s="1"/>
  <c r="R15" i="1" a="1"/>
  <c r="R15" i="1" s="1"/>
  <c r="AC15" i="1" s="1" a="1"/>
  <c r="AC15" i="1" s="1"/>
  <c r="S15" i="1" a="1"/>
  <c r="S15" i="1" s="1"/>
  <c r="AD15" i="1" s="1" a="1"/>
  <c r="AD15" i="1" s="1"/>
  <c r="T15" i="1" a="1"/>
  <c r="T15" i="1" s="1"/>
  <c r="AE15" i="1" s="1" a="1"/>
  <c r="AE15" i="1" s="1"/>
  <c r="U15" i="1" a="1"/>
  <c r="U15" i="1" s="1"/>
  <c r="AF15" i="1" s="1" a="1"/>
  <c r="AF15" i="1" s="1"/>
  <c r="V15" i="1" a="1"/>
  <c r="V15" i="1" s="1"/>
  <c r="AG15" i="1" s="1" a="1"/>
  <c r="AG15" i="1" s="1"/>
  <c r="W15" i="1" a="1"/>
  <c r="W15" i="1" s="1"/>
  <c r="AH15" i="1" s="1" a="1"/>
  <c r="AH15" i="1" s="1"/>
  <c r="X15" i="1" a="1"/>
  <c r="X15" i="1" s="1"/>
  <c r="AI15" i="1" s="1" a="1"/>
  <c r="AI15" i="1" s="1"/>
  <c r="N16" i="1" a="1"/>
  <c r="N16" i="1" s="1"/>
  <c r="O16" i="1" a="1"/>
  <c r="O16" i="1" s="1"/>
  <c r="P16" i="1" a="1"/>
  <c r="P16" i="1" s="1"/>
  <c r="AA16" i="1" s="1" a="1"/>
  <c r="AA16" i="1" s="1"/>
  <c r="Q16" i="1" a="1"/>
  <c r="Q16" i="1" s="1"/>
  <c r="AB16" i="1" s="1" a="1"/>
  <c r="AB16" i="1" s="1"/>
  <c r="R16" i="1" a="1"/>
  <c r="R16" i="1" s="1"/>
  <c r="AC16" i="1" s="1" a="1"/>
  <c r="AC16" i="1" s="1"/>
  <c r="S16" i="1" a="1"/>
  <c r="S16" i="1" s="1"/>
  <c r="AD16" i="1" s="1" a="1"/>
  <c r="AD16" i="1" s="1"/>
  <c r="T16" i="1" a="1"/>
  <c r="T16" i="1" s="1"/>
  <c r="AE16" i="1" s="1" a="1"/>
  <c r="AE16" i="1" s="1"/>
  <c r="U16" i="1" a="1"/>
  <c r="U16" i="1" s="1"/>
  <c r="AF16" i="1" s="1" a="1"/>
  <c r="AF16" i="1" s="1"/>
  <c r="V16" i="1" a="1"/>
  <c r="V16" i="1" s="1"/>
  <c r="AG16" i="1" s="1" a="1"/>
  <c r="AG16" i="1" s="1"/>
  <c r="W16" i="1" a="1"/>
  <c r="W16" i="1" s="1"/>
  <c r="AH16" i="1" s="1" a="1"/>
  <c r="AH16" i="1" s="1"/>
  <c r="X16" i="1" a="1"/>
  <c r="X16" i="1" s="1"/>
  <c r="AI16" i="1" s="1" a="1"/>
  <c r="AI16" i="1" s="1"/>
  <c r="N17" i="1" a="1"/>
  <c r="N17" i="1" s="1"/>
  <c r="O17" i="1" a="1"/>
  <c r="O17" i="1" s="1"/>
  <c r="P17" i="1" a="1"/>
  <c r="P17" i="1" s="1"/>
  <c r="AA17" i="1" s="1" a="1"/>
  <c r="AA17" i="1" s="1"/>
  <c r="Q17" i="1" a="1"/>
  <c r="Q17" i="1" s="1"/>
  <c r="AB17" i="1" s="1" a="1"/>
  <c r="AB17" i="1" s="1"/>
  <c r="R17" i="1" a="1"/>
  <c r="R17" i="1" s="1"/>
  <c r="AC17" i="1" s="1" a="1"/>
  <c r="AC17" i="1" s="1"/>
  <c r="S17" i="1" a="1"/>
  <c r="S17" i="1" s="1"/>
  <c r="AD17" i="1" s="1" a="1"/>
  <c r="AD17" i="1" s="1"/>
  <c r="T17" i="1" a="1"/>
  <c r="T17" i="1" s="1"/>
  <c r="AE17" i="1" s="1" a="1"/>
  <c r="AE17" i="1" s="1"/>
  <c r="U17" i="1" a="1"/>
  <c r="U17" i="1" s="1"/>
  <c r="AF17" i="1" s="1" a="1"/>
  <c r="AF17" i="1" s="1"/>
  <c r="V17" i="1" a="1"/>
  <c r="V17" i="1" s="1"/>
  <c r="AG17" i="1" s="1" a="1"/>
  <c r="AG17" i="1" s="1"/>
  <c r="W17" i="1" a="1"/>
  <c r="W17" i="1" s="1"/>
  <c r="AH17" i="1" s="1" a="1"/>
  <c r="AH17" i="1" s="1"/>
  <c r="X17" i="1" a="1"/>
  <c r="X17" i="1" s="1"/>
  <c r="AI17" i="1" s="1" a="1"/>
  <c r="AI17" i="1" s="1"/>
  <c r="N18" i="1" a="1"/>
  <c r="N18" i="1" s="1"/>
  <c r="O18" i="1" a="1"/>
  <c r="O18" i="1" s="1"/>
  <c r="P18" i="1" a="1"/>
  <c r="P18" i="1" s="1"/>
  <c r="AA18" i="1" s="1" a="1"/>
  <c r="AA18" i="1" s="1"/>
  <c r="Q18" i="1" a="1"/>
  <c r="Q18" i="1" s="1"/>
  <c r="AB18" i="1" s="1" a="1"/>
  <c r="AB18" i="1" s="1"/>
  <c r="R18" i="1" a="1"/>
  <c r="R18" i="1" s="1"/>
  <c r="AC18" i="1" s="1" a="1"/>
  <c r="AC18" i="1" s="1"/>
  <c r="S18" i="1" a="1"/>
  <c r="S18" i="1" s="1"/>
  <c r="AD18" i="1" s="1" a="1"/>
  <c r="AD18" i="1" s="1"/>
  <c r="T18" i="1" a="1"/>
  <c r="T18" i="1" s="1"/>
  <c r="AE18" i="1" s="1" a="1"/>
  <c r="AE18" i="1" s="1"/>
  <c r="U18" i="1" a="1"/>
  <c r="U18" i="1" s="1"/>
  <c r="AF18" i="1" s="1" a="1"/>
  <c r="AF18" i="1" s="1"/>
  <c r="V18" i="1" a="1"/>
  <c r="V18" i="1" s="1"/>
  <c r="AG18" i="1" s="1" a="1"/>
  <c r="AG18" i="1" s="1"/>
  <c r="W18" i="1" a="1"/>
  <c r="W18" i="1" s="1"/>
  <c r="AH18" i="1" s="1" a="1"/>
  <c r="AH18" i="1" s="1"/>
  <c r="X18" i="1" a="1"/>
  <c r="X18" i="1" s="1"/>
  <c r="AI18" i="1" s="1" a="1"/>
  <c r="AI18" i="1" s="1"/>
  <c r="H18" i="1"/>
  <c r="AI36" i="13" a="1"/>
  <c r="AI36" i="13" s="1"/>
  <c r="AH36" i="13" a="1"/>
  <c r="AH36" i="13" s="1"/>
  <c r="AG36" i="13" a="1"/>
  <c r="AG36" i="13" s="1"/>
  <c r="AF36" i="13" a="1"/>
  <c r="AF36" i="13" s="1"/>
  <c r="AE36" i="13" a="1"/>
  <c r="AE36" i="13" s="1"/>
  <c r="AD36" i="13" a="1"/>
  <c r="AD36" i="13" s="1"/>
  <c r="AC36" i="13" a="1"/>
  <c r="AC36" i="13" s="1"/>
  <c r="AB36" i="13" a="1"/>
  <c r="AB36" i="13" s="1"/>
  <c r="AA36" i="13" a="1"/>
  <c r="AA36" i="13" s="1"/>
  <c r="Z36" i="13" a="1"/>
  <c r="Z36" i="13" s="1"/>
  <c r="N36" i="13" a="1"/>
  <c r="N36" i="13" s="1"/>
  <c r="AI35" i="13" a="1"/>
  <c r="AI35" i="13" s="1"/>
  <c r="AH35" i="13" a="1"/>
  <c r="AH35" i="13" s="1"/>
  <c r="AG35" i="13" a="1"/>
  <c r="AG35" i="13" s="1"/>
  <c r="AF35" i="13" a="1"/>
  <c r="AF35" i="13" s="1"/>
  <c r="AE35" i="13" a="1"/>
  <c r="AE35" i="13" s="1"/>
  <c r="AD35" i="13" a="1"/>
  <c r="AD35" i="13" s="1"/>
  <c r="AC35" i="13" a="1"/>
  <c r="AC35" i="13" s="1"/>
  <c r="AB35" i="13" a="1"/>
  <c r="AB35" i="13" s="1"/>
  <c r="AA35" i="13" a="1"/>
  <c r="AA35" i="13" s="1"/>
  <c r="Z35" i="13" a="1"/>
  <c r="Z35" i="13" s="1"/>
  <c r="N35" i="13" a="1"/>
  <c r="N35" i="13" s="1"/>
  <c r="AI34" i="13" a="1"/>
  <c r="AI34" i="13" s="1"/>
  <c r="AH34" i="13" a="1"/>
  <c r="AH34" i="13" s="1"/>
  <c r="AG34" i="13" a="1"/>
  <c r="AG34" i="13" s="1"/>
  <c r="AF34" i="13" a="1"/>
  <c r="AF34" i="13" s="1"/>
  <c r="AE34" i="13" a="1"/>
  <c r="AE34" i="13" s="1"/>
  <c r="AD34" i="13" a="1"/>
  <c r="AD34" i="13" s="1"/>
  <c r="AC34" i="13" a="1"/>
  <c r="AC34" i="13" s="1"/>
  <c r="AB34" i="13" a="1"/>
  <c r="AB34" i="13" s="1"/>
  <c r="AA34" i="13" a="1"/>
  <c r="AA34" i="13" s="1"/>
  <c r="Z34" i="13" a="1"/>
  <c r="Z34" i="13" s="1"/>
  <c r="N34" i="13" a="1"/>
  <c r="N34" i="13" s="1"/>
  <c r="AI33" i="13" a="1"/>
  <c r="AI33" i="13" s="1"/>
  <c r="AH33" i="13" a="1"/>
  <c r="AH33" i="13" s="1"/>
  <c r="AG33" i="13" a="1"/>
  <c r="AG33" i="13" s="1"/>
  <c r="AF33" i="13" a="1"/>
  <c r="AF33" i="13" s="1"/>
  <c r="AE33" i="13" a="1"/>
  <c r="AE33" i="13" s="1"/>
  <c r="AD33" i="13" a="1"/>
  <c r="AD33" i="13" s="1"/>
  <c r="AC33" i="13" a="1"/>
  <c r="AC33" i="13" s="1"/>
  <c r="AB33" i="13" a="1"/>
  <c r="AB33" i="13" s="1"/>
  <c r="AA33" i="13" a="1"/>
  <c r="AA33" i="13" s="1"/>
  <c r="Z33" i="13" a="1"/>
  <c r="Z33" i="13" s="1"/>
  <c r="N33" i="13" a="1"/>
  <c r="N33" i="13" s="1"/>
  <c r="AI32" i="13" a="1"/>
  <c r="AI32" i="13" s="1"/>
  <c r="AH32" i="13" a="1"/>
  <c r="AH32" i="13" s="1"/>
  <c r="AG32" i="13" a="1"/>
  <c r="AG32" i="13" s="1"/>
  <c r="AF32" i="13" a="1"/>
  <c r="AF32" i="13" s="1"/>
  <c r="AE32" i="13" a="1"/>
  <c r="AE32" i="13" s="1"/>
  <c r="AD32" i="13" a="1"/>
  <c r="AD32" i="13" s="1"/>
  <c r="AC32" i="13" a="1"/>
  <c r="AC32" i="13" s="1"/>
  <c r="AB32" i="13" a="1"/>
  <c r="AB32" i="13" s="1"/>
  <c r="AA32" i="13" a="1"/>
  <c r="AA32" i="13" s="1"/>
  <c r="Z32" i="13" a="1"/>
  <c r="Z32" i="13" s="1"/>
  <c r="N32" i="13" a="1"/>
  <c r="N32" i="13" s="1"/>
  <c r="G15" i="1" a="1"/>
  <c r="G15" i="1" s="1"/>
  <c r="G16" i="1" a="1"/>
  <c r="G16" i="1" s="1"/>
  <c r="G17" i="1" a="1"/>
  <c r="G17" i="1" s="1"/>
  <c r="G18" i="1" a="1"/>
  <c r="G18" i="1" s="1"/>
  <c r="G14" i="1" a="1"/>
  <c r="G14" i="1" s="1"/>
  <c r="X13" i="1" a="1"/>
  <c r="X13" i="1" s="1"/>
  <c r="AI13" i="1" s="1" a="1"/>
  <c r="AI13" i="1" s="1"/>
  <c r="W13" i="1" a="1"/>
  <c r="W13" i="1" s="1"/>
  <c r="AH13" i="1" s="1" a="1"/>
  <c r="AH13" i="1" s="1"/>
  <c r="V13" i="1" a="1"/>
  <c r="V13" i="1" s="1"/>
  <c r="AG13" i="1" s="1" a="1"/>
  <c r="AG13" i="1" s="1"/>
  <c r="U13" i="1" a="1"/>
  <c r="U13" i="1" s="1"/>
  <c r="AF13" i="1" s="1" a="1"/>
  <c r="AF13" i="1" s="1"/>
  <c r="T13" i="1" a="1"/>
  <c r="T13" i="1" s="1"/>
  <c r="AE13" i="1" s="1" a="1"/>
  <c r="AE13" i="1" s="1"/>
  <c r="S13" i="1" a="1"/>
  <c r="S13" i="1" s="1"/>
  <c r="AD13" i="1" s="1" a="1"/>
  <c r="AD13" i="1" s="1"/>
  <c r="R13" i="1" a="1"/>
  <c r="R13" i="1" s="1"/>
  <c r="AC13" i="1" s="1" a="1"/>
  <c r="AC13" i="1" s="1"/>
  <c r="Q13" i="1" a="1"/>
  <c r="Q13" i="1" s="1"/>
  <c r="P13" i="1" a="1"/>
  <c r="P13" i="1" s="1"/>
  <c r="O13" i="1" a="1"/>
  <c r="O13" i="1" s="1"/>
  <c r="N13" i="1" a="1"/>
  <c r="N13" i="1" s="1"/>
  <c r="G13" i="1" a="1"/>
  <c r="G13" i="1" s="1"/>
  <c r="C3" i="13"/>
  <c r="C3" i="12"/>
  <c r="C3" i="9"/>
  <c r="C3" i="10"/>
  <c r="C3" i="1"/>
  <c r="C3" i="8"/>
  <c r="G16" i="8" a="1"/>
  <c r="G16" i="8" s="1"/>
  <c r="G17" i="8" a="1"/>
  <c r="G17" i="8" s="1"/>
  <c r="E10" i="4"/>
  <c r="F11" i="9"/>
  <c r="F11" i="10"/>
  <c r="F8" i="5"/>
  <c r="D10" i="4" s="1"/>
  <c r="L15" i="14" a="1"/>
  <c r="L15" i="14" s="1"/>
  <c r="M15" i="14" a="1"/>
  <c r="M15" i="14" s="1"/>
  <c r="N15" i="14" a="1"/>
  <c r="N15" i="14" s="1"/>
  <c r="Y15" i="14" s="1" a="1"/>
  <c r="Y15" i="14" s="1"/>
  <c r="O15" i="14" a="1"/>
  <c r="O15" i="14" s="1"/>
  <c r="Z15" i="14" s="1" a="1"/>
  <c r="Z15" i="14" s="1"/>
  <c r="P15" i="14" a="1"/>
  <c r="P15" i="14" s="1"/>
  <c r="AA15" i="14" s="1" a="1"/>
  <c r="AA15" i="14" s="1"/>
  <c r="Q15" i="14" a="1"/>
  <c r="Q15" i="14" s="1"/>
  <c r="AB15" i="14" s="1" a="1"/>
  <c r="AB15" i="14" s="1"/>
  <c r="R15" i="14" a="1"/>
  <c r="R15" i="14" s="1"/>
  <c r="AC15" i="14" s="1" a="1"/>
  <c r="AC15" i="14" s="1"/>
  <c r="S15" i="14" a="1"/>
  <c r="S15" i="14" s="1"/>
  <c r="AD15" i="14" s="1" a="1"/>
  <c r="AD15" i="14" s="1"/>
  <c r="T15" i="14" a="1"/>
  <c r="T15" i="14" s="1"/>
  <c r="AE15" i="14" s="1" a="1"/>
  <c r="AE15" i="14" s="1"/>
  <c r="U15" i="14" a="1"/>
  <c r="U15" i="14" s="1"/>
  <c r="AF15" i="14" s="1" a="1"/>
  <c r="AF15" i="14" s="1"/>
  <c r="V15" i="14" a="1"/>
  <c r="V15" i="14" s="1"/>
  <c r="AG15" i="14" s="1" a="1"/>
  <c r="AG15" i="14" s="1"/>
  <c r="L16" i="14" a="1"/>
  <c r="L16" i="14" s="1"/>
  <c r="M16" i="14" a="1"/>
  <c r="M16" i="14" s="1"/>
  <c r="N16" i="14" a="1"/>
  <c r="N16" i="14" s="1"/>
  <c r="Y16" i="14" s="1" a="1"/>
  <c r="Y16" i="14" s="1"/>
  <c r="O16" i="14" a="1"/>
  <c r="O16" i="14" s="1"/>
  <c r="Z16" i="14" s="1" a="1"/>
  <c r="Z16" i="14" s="1"/>
  <c r="P16" i="14" a="1"/>
  <c r="P16" i="14" s="1"/>
  <c r="AA16" i="14" s="1" a="1"/>
  <c r="AA16" i="14" s="1"/>
  <c r="Q16" i="14" a="1"/>
  <c r="Q16" i="14" s="1"/>
  <c r="AB16" i="14" s="1" a="1"/>
  <c r="AB16" i="14" s="1"/>
  <c r="R16" i="14" a="1"/>
  <c r="R16" i="14" s="1"/>
  <c r="AC16" i="14" s="1" a="1"/>
  <c r="AC16" i="14" s="1"/>
  <c r="S16" i="14" a="1"/>
  <c r="S16" i="14" s="1"/>
  <c r="AD16" i="14" s="1" a="1"/>
  <c r="AD16" i="14" s="1"/>
  <c r="T16" i="14" a="1"/>
  <c r="T16" i="14" s="1"/>
  <c r="AE16" i="14" s="1" a="1"/>
  <c r="AE16" i="14" s="1"/>
  <c r="U16" i="14" a="1"/>
  <c r="U16" i="14" s="1"/>
  <c r="AF16" i="14" s="1" a="1"/>
  <c r="AF16" i="14" s="1"/>
  <c r="V16" i="14" a="1"/>
  <c r="V16" i="14" s="1"/>
  <c r="AG16" i="14" s="1" a="1"/>
  <c r="AG16" i="14" s="1"/>
  <c r="L17" i="14" a="1"/>
  <c r="L17" i="14" s="1"/>
  <c r="M17" i="14" a="1"/>
  <c r="M17" i="14" s="1"/>
  <c r="N17" i="14" a="1"/>
  <c r="N17" i="14" s="1"/>
  <c r="Y17" i="14" s="1" a="1"/>
  <c r="Y17" i="14" s="1"/>
  <c r="O17" i="14" a="1"/>
  <c r="O17" i="14" s="1"/>
  <c r="Z17" i="14" s="1" a="1"/>
  <c r="Z17" i="14" s="1"/>
  <c r="P17" i="14" a="1"/>
  <c r="P17" i="14" s="1"/>
  <c r="AA17" i="14" s="1" a="1"/>
  <c r="AA17" i="14" s="1"/>
  <c r="Q17" i="14" a="1"/>
  <c r="Q17" i="14" s="1"/>
  <c r="AB17" i="14" s="1" a="1"/>
  <c r="AB17" i="14" s="1"/>
  <c r="R17" i="14" a="1"/>
  <c r="R17" i="14" s="1"/>
  <c r="AC17" i="14" s="1" a="1"/>
  <c r="AC17" i="14" s="1"/>
  <c r="S17" i="14" a="1"/>
  <c r="S17" i="14" s="1"/>
  <c r="AD17" i="14" s="1" a="1"/>
  <c r="AD17" i="14" s="1"/>
  <c r="T17" i="14" a="1"/>
  <c r="T17" i="14" s="1"/>
  <c r="AE17" i="14" s="1" a="1"/>
  <c r="AE17" i="14" s="1"/>
  <c r="U17" i="14" a="1"/>
  <c r="U17" i="14" s="1"/>
  <c r="AF17" i="14" s="1" a="1"/>
  <c r="AF17" i="14" s="1"/>
  <c r="V17" i="14" a="1"/>
  <c r="V17" i="14" s="1"/>
  <c r="AG17" i="14" s="1" a="1"/>
  <c r="AG17" i="14" s="1"/>
  <c r="L18" i="14" a="1"/>
  <c r="L18" i="14" s="1"/>
  <c r="M18" i="14" a="1"/>
  <c r="M18" i="14" s="1"/>
  <c r="N18" i="14" a="1"/>
  <c r="N18" i="14" s="1"/>
  <c r="Y18" i="14" s="1" a="1"/>
  <c r="Y18" i="14" s="1"/>
  <c r="O18" i="14" a="1"/>
  <c r="O18" i="14" s="1"/>
  <c r="Z18" i="14" s="1" a="1"/>
  <c r="Z18" i="14" s="1"/>
  <c r="P18" i="14" a="1"/>
  <c r="P18" i="14" s="1"/>
  <c r="AA18" i="14" s="1" a="1"/>
  <c r="AA18" i="14" s="1"/>
  <c r="Q18" i="14" a="1"/>
  <c r="Q18" i="14" s="1"/>
  <c r="AB18" i="14" s="1" a="1"/>
  <c r="AB18" i="14" s="1"/>
  <c r="R18" i="14" a="1"/>
  <c r="R18" i="14" s="1"/>
  <c r="AC18" i="14" s="1" a="1"/>
  <c r="AC18" i="14" s="1"/>
  <c r="S18" i="14" a="1"/>
  <c r="S18" i="14" s="1"/>
  <c r="AD18" i="14" s="1" a="1"/>
  <c r="AD18" i="14" s="1"/>
  <c r="T18" i="14" a="1"/>
  <c r="T18" i="14" s="1"/>
  <c r="AE18" i="14" s="1" a="1"/>
  <c r="AE18" i="14" s="1"/>
  <c r="U18" i="14" a="1"/>
  <c r="U18" i="14" s="1"/>
  <c r="AF18" i="14" s="1" a="1"/>
  <c r="AF18" i="14" s="1"/>
  <c r="V18" i="14" a="1"/>
  <c r="V18" i="14" s="1"/>
  <c r="AG18" i="14" s="1" a="1"/>
  <c r="AG18" i="14" s="1"/>
  <c r="E14" i="14" a="1"/>
  <c r="E14" i="14" s="1"/>
  <c r="E17" i="14" a="1"/>
  <c r="E17" i="14" s="1"/>
  <c r="D12" i="14"/>
  <c r="E18" i="14" a="1"/>
  <c r="E18" i="14" s="1"/>
  <c r="E16" i="14" a="1"/>
  <c r="E16" i="14" s="1"/>
  <c r="E15" i="14" a="1"/>
  <c r="E15" i="14" s="1"/>
  <c r="V14" i="14" a="1"/>
  <c r="V14" i="14" s="1"/>
  <c r="AG14" i="14" s="1" a="1"/>
  <c r="AG14" i="14" s="1"/>
  <c r="U14" i="14" a="1"/>
  <c r="U14" i="14" s="1"/>
  <c r="AF14" i="14" s="1" a="1"/>
  <c r="AF14" i="14" s="1"/>
  <c r="T14" i="14" a="1"/>
  <c r="T14" i="14" s="1"/>
  <c r="AE14" i="14" s="1" a="1"/>
  <c r="AE14" i="14" s="1"/>
  <c r="S14" i="14" a="1"/>
  <c r="S14" i="14" s="1"/>
  <c r="AD14" i="14" s="1" a="1"/>
  <c r="AD14" i="14" s="1"/>
  <c r="R14" i="14" a="1"/>
  <c r="R14" i="14" s="1"/>
  <c r="AC14" i="14" s="1" a="1"/>
  <c r="AC14" i="14" s="1"/>
  <c r="Q14" i="14" a="1"/>
  <c r="Q14" i="14" s="1"/>
  <c r="AB14" i="14" s="1" a="1"/>
  <c r="AB14" i="14" s="1"/>
  <c r="P14" i="14" a="1"/>
  <c r="P14" i="14" s="1"/>
  <c r="AA14" i="14" s="1" a="1"/>
  <c r="AA14" i="14" s="1"/>
  <c r="O14" i="14" a="1"/>
  <c r="O14" i="14" s="1"/>
  <c r="Z14" i="14" s="1" a="1"/>
  <c r="Z14" i="14" s="1"/>
  <c r="N14" i="14" a="1"/>
  <c r="N14" i="14" s="1"/>
  <c r="Y14" i="14" s="1" a="1"/>
  <c r="Y14" i="14" s="1"/>
  <c r="M14" i="14" a="1"/>
  <c r="M14" i="14" s="1"/>
  <c r="L14" i="14" a="1"/>
  <c r="L14" i="14" s="1"/>
  <c r="O20" i="2" a="1"/>
  <c r="O20" i="2" s="1"/>
  <c r="P20" i="2" a="1"/>
  <c r="P20" i="2" s="1"/>
  <c r="AA20" i="2" s="1" a="1"/>
  <c r="AA20" i="2" s="1"/>
  <c r="Q20" i="2" a="1"/>
  <c r="Q20" i="2" s="1"/>
  <c r="AB20" i="2" s="1" a="1"/>
  <c r="AB20" i="2" s="1"/>
  <c r="R20" i="2" a="1"/>
  <c r="R20" i="2" s="1"/>
  <c r="AC20" i="2" s="1" a="1"/>
  <c r="AC20" i="2" s="1"/>
  <c r="S20" i="2" a="1"/>
  <c r="S20" i="2" s="1"/>
  <c r="AD20" i="2" s="1" a="1"/>
  <c r="AD20" i="2" s="1"/>
  <c r="T20" i="2" a="1"/>
  <c r="T20" i="2" s="1"/>
  <c r="AE20" i="2" s="1" a="1"/>
  <c r="AE20" i="2" s="1"/>
  <c r="U20" i="2" a="1"/>
  <c r="U20" i="2" s="1"/>
  <c r="AF20" i="2" s="1" a="1"/>
  <c r="AF20" i="2" s="1"/>
  <c r="V20" i="2" a="1"/>
  <c r="V20" i="2" s="1"/>
  <c r="AG20" i="2" s="1" a="1"/>
  <c r="AG20" i="2" s="1"/>
  <c r="W20" i="2" a="1"/>
  <c r="W20" i="2" s="1"/>
  <c r="AH20" i="2" s="1" a="1"/>
  <c r="AH20" i="2" s="1"/>
  <c r="X20" i="2" a="1"/>
  <c r="X20" i="2" s="1"/>
  <c r="AI20" i="2" s="1" a="1"/>
  <c r="AI20" i="2" s="1"/>
  <c r="O21" i="2" a="1"/>
  <c r="O21" i="2" s="1"/>
  <c r="P21" i="2" a="1"/>
  <c r="P21" i="2" s="1"/>
  <c r="Q21" i="2" a="1"/>
  <c r="Q21" i="2" s="1"/>
  <c r="R21" i="2" a="1"/>
  <c r="R21" i="2" s="1"/>
  <c r="AC21" i="2" s="1" a="1"/>
  <c r="AC21" i="2" s="1"/>
  <c r="S21" i="2" a="1"/>
  <c r="S21" i="2" s="1"/>
  <c r="AD21" i="2" s="1" a="1"/>
  <c r="AD21" i="2" s="1"/>
  <c r="T21" i="2" a="1"/>
  <c r="T21" i="2" s="1"/>
  <c r="AE21" i="2" s="1" a="1"/>
  <c r="AE21" i="2" s="1"/>
  <c r="U21" i="2" a="1"/>
  <c r="U21" i="2" s="1"/>
  <c r="AF21" i="2" s="1" a="1"/>
  <c r="AF21" i="2" s="1"/>
  <c r="V21" i="2" a="1"/>
  <c r="V21" i="2" s="1"/>
  <c r="AG21" i="2" s="1" a="1"/>
  <c r="AG21" i="2" s="1"/>
  <c r="W21" i="2" a="1"/>
  <c r="W21" i="2" s="1"/>
  <c r="AH21" i="2" s="1" a="1"/>
  <c r="AH21" i="2" s="1"/>
  <c r="X21" i="2" a="1"/>
  <c r="X21" i="2" s="1"/>
  <c r="AI21" i="2" s="1" a="1"/>
  <c r="AI21" i="2" s="1"/>
  <c r="N21" i="2" a="1"/>
  <c r="N21" i="2" s="1"/>
  <c r="N20" i="2" a="1"/>
  <c r="N20" i="2" s="1"/>
  <c r="G21" i="2" a="1"/>
  <c r="G21" i="2" s="1"/>
  <c r="G20" i="2" a="1"/>
  <c r="G20" i="2" s="1"/>
  <c r="F11" i="13"/>
  <c r="F11" i="12"/>
  <c r="X31" i="13" a="1"/>
  <c r="X31" i="13" s="1"/>
  <c r="W31" i="13" a="1"/>
  <c r="W31" i="13" s="1"/>
  <c r="V31" i="13" a="1"/>
  <c r="V31" i="13" s="1"/>
  <c r="U31" i="13" a="1"/>
  <c r="U31" i="13" s="1"/>
  <c r="T31" i="13" a="1"/>
  <c r="T31" i="13" s="1"/>
  <c r="S31" i="13" a="1"/>
  <c r="S31" i="13" s="1"/>
  <c r="R31" i="13" a="1"/>
  <c r="R31" i="13" s="1"/>
  <c r="Q31" i="13" a="1"/>
  <c r="Q31" i="13" s="1"/>
  <c r="P31" i="13" a="1"/>
  <c r="P31" i="13" s="1"/>
  <c r="O31" i="13" a="1"/>
  <c r="O31" i="13" s="1"/>
  <c r="N31" i="13" a="1"/>
  <c r="N31" i="13" s="1"/>
  <c r="G31" i="13" a="1"/>
  <c r="G31" i="13" s="1"/>
  <c r="X30" i="13" a="1"/>
  <c r="X30" i="13" s="1"/>
  <c r="AI30" i="13" s="1" a="1"/>
  <c r="AI30" i="13" s="1"/>
  <c r="W30" i="13" a="1"/>
  <c r="W30" i="13" s="1"/>
  <c r="AH30" i="13" s="1" a="1"/>
  <c r="AH30" i="13" s="1"/>
  <c r="V30" i="13" a="1"/>
  <c r="V30" i="13" s="1"/>
  <c r="AG30" i="13" s="1" a="1"/>
  <c r="AG30" i="13" s="1"/>
  <c r="U30" i="13" a="1"/>
  <c r="U30" i="13" s="1"/>
  <c r="AF30" i="13" s="1" a="1"/>
  <c r="AF30" i="13" s="1"/>
  <c r="T30" i="13" a="1"/>
  <c r="T30" i="13" s="1"/>
  <c r="AE30" i="13" s="1" a="1"/>
  <c r="AE30" i="13" s="1"/>
  <c r="S30" i="13" a="1"/>
  <c r="S30" i="13" s="1"/>
  <c r="AD30" i="13" s="1" a="1"/>
  <c r="AD30" i="13" s="1"/>
  <c r="R30" i="13" a="1"/>
  <c r="R30" i="13" s="1"/>
  <c r="AC30" i="13" s="1" a="1"/>
  <c r="AC30" i="13" s="1"/>
  <c r="Q30" i="13" a="1"/>
  <c r="Q30" i="13" s="1"/>
  <c r="P30" i="13" a="1"/>
  <c r="P30" i="13" s="1"/>
  <c r="O30" i="13" a="1"/>
  <c r="O30" i="13" s="1"/>
  <c r="N30" i="13" a="1"/>
  <c r="N30" i="13" s="1"/>
  <c r="G30" i="13" a="1"/>
  <c r="G30" i="13" s="1"/>
  <c r="X29" i="13" a="1"/>
  <c r="X29" i="13" s="1"/>
  <c r="AI29" i="13" s="1" a="1"/>
  <c r="AI29" i="13" s="1"/>
  <c r="W29" i="13" a="1"/>
  <c r="W29" i="13" s="1"/>
  <c r="AH29" i="13" s="1" a="1"/>
  <c r="AH29" i="13" s="1"/>
  <c r="V29" i="13" a="1"/>
  <c r="V29" i="13" s="1"/>
  <c r="AG29" i="13" s="1" a="1"/>
  <c r="AG29" i="13" s="1"/>
  <c r="U29" i="13" a="1"/>
  <c r="U29" i="13" s="1"/>
  <c r="AF29" i="13" s="1" a="1"/>
  <c r="AF29" i="13" s="1"/>
  <c r="T29" i="13" a="1"/>
  <c r="T29" i="13" s="1"/>
  <c r="AE29" i="13" s="1" a="1"/>
  <c r="AE29" i="13" s="1"/>
  <c r="S29" i="13" a="1"/>
  <c r="S29" i="13" s="1"/>
  <c r="AD29" i="13" s="1" a="1"/>
  <c r="AD29" i="13" s="1"/>
  <c r="R29" i="13" a="1"/>
  <c r="R29" i="13" s="1"/>
  <c r="AC29" i="13" s="1" a="1"/>
  <c r="AC29" i="13" s="1"/>
  <c r="Q29" i="13" a="1"/>
  <c r="Q29" i="13" s="1"/>
  <c r="P29" i="13" a="1"/>
  <c r="P29" i="13" s="1"/>
  <c r="O29" i="13" a="1"/>
  <c r="O29" i="13" s="1"/>
  <c r="N29" i="13" a="1"/>
  <c r="N29" i="13" s="1"/>
  <c r="G29" i="13" a="1"/>
  <c r="G29" i="13" s="1"/>
  <c r="X28" i="13" a="1"/>
  <c r="X28" i="13" s="1"/>
  <c r="AI28" i="13" s="1" a="1"/>
  <c r="AI28" i="13" s="1"/>
  <c r="W28" i="13" a="1"/>
  <c r="W28" i="13" s="1"/>
  <c r="AH28" i="13" s="1" a="1"/>
  <c r="AH28" i="13" s="1"/>
  <c r="V28" i="13" a="1"/>
  <c r="V28" i="13" s="1"/>
  <c r="AG28" i="13" s="1" a="1"/>
  <c r="AG28" i="13" s="1"/>
  <c r="U28" i="13" a="1"/>
  <c r="U28" i="13" s="1"/>
  <c r="AF28" i="13" s="1" a="1"/>
  <c r="AF28" i="13" s="1"/>
  <c r="T28" i="13" a="1"/>
  <c r="T28" i="13" s="1"/>
  <c r="AE28" i="13" s="1" a="1"/>
  <c r="AE28" i="13" s="1"/>
  <c r="S28" i="13" a="1"/>
  <c r="S28" i="13" s="1"/>
  <c r="AD28" i="13" s="1" a="1"/>
  <c r="AD28" i="13" s="1"/>
  <c r="R28" i="13" a="1"/>
  <c r="R28" i="13" s="1"/>
  <c r="AC28" i="13" s="1" a="1"/>
  <c r="AC28" i="13" s="1"/>
  <c r="Q28" i="13" a="1"/>
  <c r="Q28" i="13" s="1"/>
  <c r="AB28" i="13" s="1" a="1"/>
  <c r="AB28" i="13" s="1"/>
  <c r="P28" i="13" a="1"/>
  <c r="P28" i="13" s="1"/>
  <c r="AA28" i="13" s="1" a="1"/>
  <c r="AA28" i="13" s="1"/>
  <c r="O28" i="13" a="1"/>
  <c r="O28" i="13" s="1"/>
  <c r="N28" i="13" a="1"/>
  <c r="N28" i="13" s="1"/>
  <c r="G28" i="13" a="1"/>
  <c r="G28" i="13" s="1"/>
  <c r="X27" i="13" a="1"/>
  <c r="X27" i="13" s="1"/>
  <c r="AI27" i="13" s="1" a="1"/>
  <c r="AI27" i="13" s="1"/>
  <c r="W27" i="13" a="1"/>
  <c r="W27" i="13" s="1"/>
  <c r="AH27" i="13" s="1" a="1"/>
  <c r="AH27" i="13" s="1"/>
  <c r="V27" i="13" a="1"/>
  <c r="V27" i="13" s="1"/>
  <c r="AG27" i="13" s="1" a="1"/>
  <c r="AG27" i="13" s="1"/>
  <c r="U27" i="13" a="1"/>
  <c r="U27" i="13" s="1"/>
  <c r="AF27" i="13" s="1" a="1"/>
  <c r="AF27" i="13" s="1"/>
  <c r="T27" i="13" a="1"/>
  <c r="T27" i="13" s="1"/>
  <c r="AE27" i="13" s="1" a="1"/>
  <c r="AE27" i="13" s="1"/>
  <c r="S27" i="13" a="1"/>
  <c r="S27" i="13" s="1"/>
  <c r="AD27" i="13" s="1" a="1"/>
  <c r="AD27" i="13" s="1"/>
  <c r="R27" i="13" a="1"/>
  <c r="R27" i="13" s="1"/>
  <c r="AC27" i="13" s="1" a="1"/>
  <c r="AC27" i="13" s="1"/>
  <c r="Q27" i="13" a="1"/>
  <c r="Q27" i="13" s="1"/>
  <c r="AB27" i="13" s="1" a="1"/>
  <c r="AB27" i="13" s="1"/>
  <c r="P27" i="13" a="1"/>
  <c r="P27" i="13" s="1"/>
  <c r="O27" i="13" a="1"/>
  <c r="O27" i="13" s="1"/>
  <c r="N27" i="13" a="1"/>
  <c r="N27" i="13" s="1"/>
  <c r="G27" i="13" a="1"/>
  <c r="G27" i="13" s="1"/>
  <c r="X26" i="13" a="1"/>
  <c r="X26" i="13" s="1"/>
  <c r="AI26" i="13" s="1" a="1"/>
  <c r="AI26" i="13" s="1"/>
  <c r="W26" i="13" a="1"/>
  <c r="W26" i="13" s="1"/>
  <c r="AH26" i="13" s="1" a="1"/>
  <c r="AH26" i="13" s="1"/>
  <c r="V26" i="13" a="1"/>
  <c r="V26" i="13" s="1"/>
  <c r="AG26" i="13" s="1" a="1"/>
  <c r="AG26" i="13" s="1"/>
  <c r="U26" i="13" a="1"/>
  <c r="U26" i="13" s="1"/>
  <c r="AF26" i="13" s="1" a="1"/>
  <c r="AF26" i="13" s="1"/>
  <c r="T26" i="13" a="1"/>
  <c r="T26" i="13" s="1"/>
  <c r="AE26" i="13" s="1" a="1"/>
  <c r="AE26" i="13" s="1"/>
  <c r="S26" i="13" a="1"/>
  <c r="S26" i="13" s="1"/>
  <c r="AD26" i="13" s="1" a="1"/>
  <c r="AD26" i="13" s="1"/>
  <c r="R26" i="13" a="1"/>
  <c r="R26" i="13" s="1"/>
  <c r="AC26" i="13" s="1" a="1"/>
  <c r="AC26" i="13" s="1"/>
  <c r="Q26" i="13" a="1"/>
  <c r="Q26" i="13" s="1"/>
  <c r="AB26" i="13" s="1" a="1"/>
  <c r="AB26" i="13" s="1"/>
  <c r="P26" i="13" a="1"/>
  <c r="P26" i="13" s="1"/>
  <c r="O26" i="13" a="1"/>
  <c r="O26" i="13" s="1"/>
  <c r="N26" i="13" a="1"/>
  <c r="N26" i="13" s="1"/>
  <c r="G26" i="13" a="1"/>
  <c r="G26" i="13" s="1"/>
  <c r="X25" i="13" a="1"/>
  <c r="X25" i="13" s="1"/>
  <c r="AI25" i="13" s="1" a="1"/>
  <c r="AI25" i="13" s="1"/>
  <c r="W25" i="13" a="1"/>
  <c r="W25" i="13" s="1"/>
  <c r="AH25" i="13" s="1" a="1"/>
  <c r="AH25" i="13" s="1"/>
  <c r="V25" i="13" a="1"/>
  <c r="V25" i="13" s="1"/>
  <c r="AG25" i="13" s="1" a="1"/>
  <c r="AG25" i="13" s="1"/>
  <c r="U25" i="13" a="1"/>
  <c r="U25" i="13" s="1"/>
  <c r="AF25" i="13" s="1" a="1"/>
  <c r="AF25" i="13" s="1"/>
  <c r="T25" i="13" a="1"/>
  <c r="T25" i="13" s="1"/>
  <c r="AE25" i="13" s="1" a="1"/>
  <c r="AE25" i="13" s="1"/>
  <c r="S25" i="13" a="1"/>
  <c r="S25" i="13" s="1"/>
  <c r="AD25" i="13" s="1" a="1"/>
  <c r="AD25" i="13" s="1"/>
  <c r="R25" i="13" a="1"/>
  <c r="R25" i="13" s="1"/>
  <c r="AC25" i="13" s="1" a="1"/>
  <c r="AC25" i="13" s="1"/>
  <c r="Q25" i="13" a="1"/>
  <c r="Q25" i="13" s="1"/>
  <c r="P25" i="13" a="1"/>
  <c r="P25" i="13" s="1"/>
  <c r="O25" i="13" a="1"/>
  <c r="O25" i="13" s="1"/>
  <c r="N25" i="13" a="1"/>
  <c r="N25" i="13" s="1"/>
  <c r="G25" i="13" a="1"/>
  <c r="G25" i="13" s="1"/>
  <c r="X24" i="13" a="1"/>
  <c r="X24" i="13" s="1"/>
  <c r="AI24" i="13" s="1" a="1"/>
  <c r="AI24" i="13" s="1"/>
  <c r="W24" i="13" a="1"/>
  <c r="W24" i="13" s="1"/>
  <c r="AH24" i="13" s="1" a="1"/>
  <c r="AH24" i="13" s="1"/>
  <c r="V24" i="13" a="1"/>
  <c r="V24" i="13" s="1"/>
  <c r="AG24" i="13" s="1" a="1"/>
  <c r="AG24" i="13" s="1"/>
  <c r="U24" i="13" a="1"/>
  <c r="U24" i="13" s="1"/>
  <c r="AF24" i="13" s="1" a="1"/>
  <c r="AF24" i="13" s="1"/>
  <c r="T24" i="13" a="1"/>
  <c r="T24" i="13" s="1"/>
  <c r="AE24" i="13" s="1" a="1"/>
  <c r="AE24" i="13" s="1"/>
  <c r="S24" i="13" a="1"/>
  <c r="S24" i="13" s="1"/>
  <c r="AD24" i="13" s="1" a="1"/>
  <c r="AD24" i="13" s="1"/>
  <c r="R24" i="13" a="1"/>
  <c r="R24" i="13" s="1"/>
  <c r="AC24" i="13" s="1" a="1"/>
  <c r="AC24" i="13" s="1"/>
  <c r="Q24" i="13" a="1"/>
  <c r="Q24" i="13" s="1"/>
  <c r="AB24" i="13" s="1" a="1"/>
  <c r="AB24" i="13" s="1"/>
  <c r="P24" i="13" a="1"/>
  <c r="P24" i="13" s="1"/>
  <c r="O24" i="13" a="1"/>
  <c r="O24" i="13" s="1"/>
  <c r="N24" i="13" a="1"/>
  <c r="N24" i="13" s="1"/>
  <c r="G24" i="13" a="1"/>
  <c r="G24" i="13" s="1"/>
  <c r="X23" i="13" a="1"/>
  <c r="X23" i="13" s="1"/>
  <c r="AI23" i="13" s="1" a="1"/>
  <c r="AI23" i="13" s="1"/>
  <c r="W23" i="13" a="1"/>
  <c r="W23" i="13" s="1"/>
  <c r="AH23" i="13" s="1" a="1"/>
  <c r="AH23" i="13" s="1"/>
  <c r="V23" i="13" a="1"/>
  <c r="V23" i="13" s="1"/>
  <c r="AG23" i="13" s="1" a="1"/>
  <c r="AG23" i="13" s="1"/>
  <c r="U23" i="13" a="1"/>
  <c r="U23" i="13" s="1"/>
  <c r="AF23" i="13" s="1" a="1"/>
  <c r="AF23" i="13" s="1"/>
  <c r="T23" i="13" a="1"/>
  <c r="T23" i="13" s="1"/>
  <c r="AE23" i="13" s="1" a="1"/>
  <c r="AE23" i="13" s="1"/>
  <c r="S23" i="13" a="1"/>
  <c r="S23" i="13" s="1"/>
  <c r="AD23" i="13" s="1" a="1"/>
  <c r="AD23" i="13" s="1"/>
  <c r="R23" i="13" a="1"/>
  <c r="R23" i="13" s="1"/>
  <c r="AC23" i="13" s="1" a="1"/>
  <c r="AC23" i="13" s="1"/>
  <c r="Q23" i="13" a="1"/>
  <c r="Q23" i="13" s="1"/>
  <c r="AB23" i="13" s="1" a="1"/>
  <c r="AB23" i="13" s="1"/>
  <c r="P23" i="13" a="1"/>
  <c r="P23" i="13" s="1"/>
  <c r="O23" i="13" a="1"/>
  <c r="O23" i="13" s="1"/>
  <c r="N23" i="13" a="1"/>
  <c r="N23" i="13" s="1"/>
  <c r="G23" i="13" a="1"/>
  <c r="G23" i="13" s="1"/>
  <c r="X22" i="13" a="1"/>
  <c r="X22" i="13" s="1"/>
  <c r="AI22" i="13" s="1" a="1"/>
  <c r="AI22" i="13" s="1"/>
  <c r="W22" i="13" a="1"/>
  <c r="W22" i="13" s="1"/>
  <c r="AH22" i="13" s="1" a="1"/>
  <c r="AH22" i="13" s="1"/>
  <c r="V22" i="13" a="1"/>
  <c r="V22" i="13" s="1"/>
  <c r="AG22" i="13" s="1" a="1"/>
  <c r="AG22" i="13" s="1"/>
  <c r="U22" i="13" a="1"/>
  <c r="U22" i="13" s="1"/>
  <c r="AF22" i="13" s="1" a="1"/>
  <c r="AF22" i="13" s="1"/>
  <c r="T22" i="13" a="1"/>
  <c r="T22" i="13" s="1"/>
  <c r="AE22" i="13" s="1" a="1"/>
  <c r="AE22" i="13" s="1"/>
  <c r="S22" i="13" a="1"/>
  <c r="S22" i="13" s="1"/>
  <c r="AD22" i="13" s="1" a="1"/>
  <c r="AD22" i="13" s="1"/>
  <c r="R22" i="13" a="1"/>
  <c r="R22" i="13" s="1"/>
  <c r="AC22" i="13" s="1" a="1"/>
  <c r="AC22" i="13" s="1"/>
  <c r="Q22" i="13" a="1"/>
  <c r="Q22" i="13" s="1"/>
  <c r="AB22" i="13" s="1" a="1"/>
  <c r="AB22" i="13" s="1"/>
  <c r="P22" i="13" a="1"/>
  <c r="P22" i="13" s="1"/>
  <c r="O22" i="13" a="1"/>
  <c r="O22" i="13" s="1"/>
  <c r="N22" i="13" a="1"/>
  <c r="N22" i="13" s="1"/>
  <c r="G22" i="13" a="1"/>
  <c r="G22" i="13" s="1"/>
  <c r="X21" i="13" a="1"/>
  <c r="X21" i="13" s="1"/>
  <c r="AI21" i="13" s="1" a="1"/>
  <c r="AI21" i="13" s="1"/>
  <c r="W21" i="13" a="1"/>
  <c r="W21" i="13" s="1"/>
  <c r="AH21" i="13" s="1" a="1"/>
  <c r="AH21" i="13" s="1"/>
  <c r="V21" i="13" a="1"/>
  <c r="V21" i="13" s="1"/>
  <c r="AG21" i="13" s="1" a="1"/>
  <c r="AG21" i="13" s="1"/>
  <c r="U21" i="13" a="1"/>
  <c r="U21" i="13" s="1"/>
  <c r="AF21" i="13" s="1" a="1"/>
  <c r="AF21" i="13" s="1"/>
  <c r="T21" i="13" a="1"/>
  <c r="T21" i="13" s="1"/>
  <c r="AE21" i="13" s="1" a="1"/>
  <c r="AE21" i="13" s="1"/>
  <c r="S21" i="13" a="1"/>
  <c r="S21" i="13" s="1"/>
  <c r="AD21" i="13" s="1" a="1"/>
  <c r="AD21" i="13" s="1"/>
  <c r="R21" i="13" a="1"/>
  <c r="R21" i="13" s="1"/>
  <c r="AC21" i="13" s="1" a="1"/>
  <c r="AC21" i="13" s="1"/>
  <c r="Q21" i="13" a="1"/>
  <c r="Q21" i="13" s="1"/>
  <c r="AB21" i="13" s="1" a="1"/>
  <c r="AB21" i="13" s="1"/>
  <c r="P21" i="13" a="1"/>
  <c r="P21" i="13" s="1"/>
  <c r="AA21" i="13" s="1" a="1"/>
  <c r="AA21" i="13" s="1"/>
  <c r="O21" i="13" a="1"/>
  <c r="O21" i="13" s="1"/>
  <c r="N21" i="13" a="1"/>
  <c r="N21" i="13" s="1"/>
  <c r="G21" i="13" a="1"/>
  <c r="G21" i="13" s="1"/>
  <c r="X20" i="13" a="1"/>
  <c r="X20" i="13" s="1"/>
  <c r="AI20" i="13" s="1" a="1"/>
  <c r="AI20" i="13" s="1"/>
  <c r="W20" i="13" a="1"/>
  <c r="W20" i="13" s="1"/>
  <c r="AH20" i="13" s="1" a="1"/>
  <c r="AH20" i="13" s="1"/>
  <c r="V20" i="13" a="1"/>
  <c r="V20" i="13" s="1"/>
  <c r="AG20" i="13" s="1" a="1"/>
  <c r="AG20" i="13" s="1"/>
  <c r="U20" i="13" a="1"/>
  <c r="U20" i="13" s="1"/>
  <c r="AF20" i="13" s="1" a="1"/>
  <c r="AF20" i="13" s="1"/>
  <c r="T20" i="13" a="1"/>
  <c r="T20" i="13" s="1"/>
  <c r="AE20" i="13" s="1" a="1"/>
  <c r="AE20" i="13" s="1"/>
  <c r="S20" i="13" a="1"/>
  <c r="S20" i="13" s="1"/>
  <c r="AD20" i="13" s="1" a="1"/>
  <c r="AD20" i="13" s="1"/>
  <c r="R20" i="13" a="1"/>
  <c r="R20" i="13" s="1"/>
  <c r="AC20" i="13" s="1" a="1"/>
  <c r="AC20" i="13" s="1"/>
  <c r="Q20" i="13" a="1"/>
  <c r="Q20" i="13" s="1"/>
  <c r="AB20" i="13" s="1" a="1"/>
  <c r="AB20" i="13" s="1"/>
  <c r="P20" i="13" a="1"/>
  <c r="P20" i="13" s="1"/>
  <c r="AA20" i="13" s="1" a="1"/>
  <c r="AA20" i="13" s="1"/>
  <c r="O20" i="13" a="1"/>
  <c r="O20" i="13" s="1"/>
  <c r="N20" i="13" a="1"/>
  <c r="N20" i="13" s="1"/>
  <c r="G20" i="13" a="1"/>
  <c r="G20" i="13" s="1"/>
  <c r="X19" i="13" a="1"/>
  <c r="X19" i="13" s="1"/>
  <c r="AI19" i="13" s="1" a="1"/>
  <c r="AI19" i="13" s="1"/>
  <c r="W19" i="13" a="1"/>
  <c r="W19" i="13" s="1"/>
  <c r="AH19" i="13" s="1" a="1"/>
  <c r="AH19" i="13" s="1"/>
  <c r="V19" i="13" a="1"/>
  <c r="V19" i="13" s="1"/>
  <c r="AG19" i="13" s="1" a="1"/>
  <c r="AG19" i="13" s="1"/>
  <c r="U19" i="13" a="1"/>
  <c r="U19" i="13" s="1"/>
  <c r="AF19" i="13" s="1" a="1"/>
  <c r="AF19" i="13" s="1"/>
  <c r="T19" i="13" a="1"/>
  <c r="T19" i="13" s="1"/>
  <c r="AE19" i="13" s="1" a="1"/>
  <c r="AE19" i="13" s="1"/>
  <c r="S19" i="13" a="1"/>
  <c r="S19" i="13" s="1"/>
  <c r="AD19" i="13" s="1" a="1"/>
  <c r="AD19" i="13" s="1"/>
  <c r="R19" i="13" a="1"/>
  <c r="R19" i="13" s="1"/>
  <c r="AC19" i="13" s="1" a="1"/>
  <c r="AC19" i="13" s="1"/>
  <c r="Q19" i="13" a="1"/>
  <c r="Q19" i="13" s="1"/>
  <c r="P19" i="13" a="1"/>
  <c r="P19" i="13" s="1"/>
  <c r="O19" i="13" a="1"/>
  <c r="O19" i="13" s="1"/>
  <c r="N19" i="13" a="1"/>
  <c r="N19" i="13" s="1"/>
  <c r="G19" i="13" a="1"/>
  <c r="G19" i="13" s="1"/>
  <c r="X18" i="13" a="1"/>
  <c r="X18" i="13" s="1"/>
  <c r="AI18" i="13" s="1" a="1"/>
  <c r="AI18" i="13" s="1"/>
  <c r="W18" i="13" a="1"/>
  <c r="W18" i="13" s="1"/>
  <c r="AH18" i="13" s="1" a="1"/>
  <c r="AH18" i="13" s="1"/>
  <c r="V18" i="13" a="1"/>
  <c r="V18" i="13" s="1"/>
  <c r="AG18" i="13" s="1" a="1"/>
  <c r="AG18" i="13" s="1"/>
  <c r="U18" i="13" a="1"/>
  <c r="U18" i="13" s="1"/>
  <c r="AF18" i="13" s="1" a="1"/>
  <c r="AF18" i="13" s="1"/>
  <c r="T18" i="13" a="1"/>
  <c r="T18" i="13" s="1"/>
  <c r="AE18" i="13" s="1" a="1"/>
  <c r="AE18" i="13" s="1"/>
  <c r="S18" i="13" a="1"/>
  <c r="S18" i="13" s="1"/>
  <c r="AD18" i="13" s="1" a="1"/>
  <c r="AD18" i="13" s="1"/>
  <c r="R18" i="13" a="1"/>
  <c r="R18" i="13" s="1"/>
  <c r="Q18" i="13" a="1"/>
  <c r="Q18" i="13" s="1"/>
  <c r="P18" i="13" a="1"/>
  <c r="P18" i="13" s="1"/>
  <c r="O18" i="13" a="1"/>
  <c r="O18" i="13" s="1"/>
  <c r="N18" i="13" a="1"/>
  <c r="N18" i="13" s="1"/>
  <c r="G18" i="13" a="1"/>
  <c r="G18" i="13" s="1"/>
  <c r="X17" i="13" a="1"/>
  <c r="X17" i="13" s="1"/>
  <c r="AI17" i="13" s="1" a="1"/>
  <c r="AI17" i="13" s="1"/>
  <c r="W17" i="13" a="1"/>
  <c r="W17" i="13" s="1"/>
  <c r="AH17" i="13" s="1" a="1"/>
  <c r="AH17" i="13" s="1"/>
  <c r="V17" i="13" a="1"/>
  <c r="V17" i="13" s="1"/>
  <c r="AG17" i="13" s="1" a="1"/>
  <c r="AG17" i="13" s="1"/>
  <c r="U17" i="13" a="1"/>
  <c r="U17" i="13" s="1"/>
  <c r="AF17" i="13" s="1" a="1"/>
  <c r="AF17" i="13" s="1"/>
  <c r="T17" i="13" a="1"/>
  <c r="T17" i="13" s="1"/>
  <c r="AE17" i="13" s="1" a="1"/>
  <c r="AE17" i="13" s="1"/>
  <c r="S17" i="13" a="1"/>
  <c r="S17" i="13" s="1"/>
  <c r="AD17" i="13" s="1" a="1"/>
  <c r="AD17" i="13" s="1"/>
  <c r="R17" i="13" a="1"/>
  <c r="R17" i="13" s="1"/>
  <c r="Q17" i="13" a="1"/>
  <c r="Q17" i="13" s="1"/>
  <c r="P17" i="13" a="1"/>
  <c r="P17" i="13" s="1"/>
  <c r="O17" i="13" a="1"/>
  <c r="O17" i="13" s="1"/>
  <c r="N17" i="13" a="1"/>
  <c r="N17" i="13" s="1"/>
  <c r="G17" i="13" a="1"/>
  <c r="G17" i="13" s="1"/>
  <c r="X16" i="13" a="1"/>
  <c r="X16" i="13" s="1"/>
  <c r="AI16" i="13" s="1" a="1"/>
  <c r="AI16" i="13" s="1"/>
  <c r="W16" i="13" a="1"/>
  <c r="W16" i="13" s="1"/>
  <c r="AH16" i="13" s="1" a="1"/>
  <c r="AH16" i="13" s="1"/>
  <c r="V16" i="13" a="1"/>
  <c r="V16" i="13" s="1"/>
  <c r="AG16" i="13" s="1" a="1"/>
  <c r="AG16" i="13" s="1"/>
  <c r="U16" i="13" a="1"/>
  <c r="U16" i="13" s="1"/>
  <c r="AF16" i="13" s="1" a="1"/>
  <c r="AF16" i="13" s="1"/>
  <c r="T16" i="13" a="1"/>
  <c r="T16" i="13" s="1"/>
  <c r="AE16" i="13" s="1" a="1"/>
  <c r="AE16" i="13" s="1"/>
  <c r="S16" i="13" a="1"/>
  <c r="S16" i="13" s="1"/>
  <c r="AD16" i="13" s="1" a="1"/>
  <c r="AD16" i="13" s="1"/>
  <c r="R16" i="13" a="1"/>
  <c r="R16" i="13" s="1"/>
  <c r="AC16" i="13" s="1" a="1"/>
  <c r="AC16" i="13" s="1"/>
  <c r="Q16" i="13" a="1"/>
  <c r="Q16" i="13" s="1"/>
  <c r="AB16" i="13" s="1" a="1"/>
  <c r="AB16" i="13" s="1"/>
  <c r="P16" i="13" a="1"/>
  <c r="P16" i="13" s="1"/>
  <c r="AA16" i="13" s="1" a="1"/>
  <c r="AA16" i="13" s="1"/>
  <c r="O16" i="13" a="1"/>
  <c r="O16" i="13" s="1"/>
  <c r="N16" i="13" a="1"/>
  <c r="N16" i="13" s="1"/>
  <c r="G16" i="13" a="1"/>
  <c r="G16" i="13" s="1"/>
  <c r="X15" i="13" a="1"/>
  <c r="X15" i="13" s="1"/>
  <c r="AI15" i="13" s="1" a="1"/>
  <c r="AI15" i="13" s="1"/>
  <c r="W15" i="13" a="1"/>
  <c r="W15" i="13" s="1"/>
  <c r="AH15" i="13" s="1" a="1"/>
  <c r="AH15" i="13" s="1"/>
  <c r="V15" i="13" a="1"/>
  <c r="V15" i="13" s="1"/>
  <c r="AG15" i="13" s="1" a="1"/>
  <c r="AG15" i="13" s="1"/>
  <c r="U15" i="13" a="1"/>
  <c r="U15" i="13" s="1"/>
  <c r="AF15" i="13" s="1" a="1"/>
  <c r="AF15" i="13" s="1"/>
  <c r="T15" i="13" a="1"/>
  <c r="T15" i="13" s="1"/>
  <c r="AE15" i="13" s="1" a="1"/>
  <c r="AE15" i="13" s="1"/>
  <c r="S15" i="13" a="1"/>
  <c r="S15" i="13" s="1"/>
  <c r="AD15" i="13" s="1" a="1"/>
  <c r="AD15" i="13" s="1"/>
  <c r="R15" i="13" a="1"/>
  <c r="R15" i="13" s="1"/>
  <c r="AC15" i="13" s="1" a="1"/>
  <c r="AC15" i="13" s="1"/>
  <c r="Q15" i="13" a="1"/>
  <c r="Q15" i="13" s="1"/>
  <c r="AB15" i="13" s="1" a="1"/>
  <c r="AB15" i="13" s="1"/>
  <c r="P15" i="13" a="1"/>
  <c r="P15" i="13" s="1"/>
  <c r="O15" i="13" a="1"/>
  <c r="O15" i="13" s="1"/>
  <c r="N15" i="13" a="1"/>
  <c r="N15" i="13" s="1"/>
  <c r="G15" i="13" a="1"/>
  <c r="G15" i="13" s="1"/>
  <c r="X14" i="13" a="1"/>
  <c r="X14" i="13" s="1"/>
  <c r="AI14" i="13" s="1" a="1"/>
  <c r="AI14" i="13" s="1"/>
  <c r="W14" i="13" a="1"/>
  <c r="W14" i="13" s="1"/>
  <c r="AH14" i="13" s="1" a="1"/>
  <c r="AH14" i="13" s="1"/>
  <c r="V14" i="13" a="1"/>
  <c r="V14" i="13" s="1"/>
  <c r="AG14" i="13" s="1" a="1"/>
  <c r="AG14" i="13" s="1"/>
  <c r="U14" i="13" a="1"/>
  <c r="U14" i="13" s="1"/>
  <c r="AF14" i="13" s="1" a="1"/>
  <c r="AF14" i="13" s="1"/>
  <c r="T14" i="13" a="1"/>
  <c r="T14" i="13" s="1"/>
  <c r="AE14" i="13" s="1" a="1"/>
  <c r="AE14" i="13" s="1"/>
  <c r="S14" i="13" a="1"/>
  <c r="S14" i="13" s="1"/>
  <c r="AD14" i="13" s="1" a="1"/>
  <c r="AD14" i="13" s="1"/>
  <c r="R14" i="13" a="1"/>
  <c r="R14" i="13" s="1"/>
  <c r="AC14" i="13" s="1" a="1"/>
  <c r="AC14" i="13" s="1"/>
  <c r="Q14" i="13" a="1"/>
  <c r="Q14" i="13" s="1"/>
  <c r="P14" i="13" a="1"/>
  <c r="P14" i="13" s="1"/>
  <c r="O14" i="13" a="1"/>
  <c r="O14" i="13" s="1"/>
  <c r="N14" i="13" a="1"/>
  <c r="N14" i="13" s="1"/>
  <c r="G14" i="13" a="1"/>
  <c r="G14" i="13" s="1"/>
  <c r="X13" i="13" a="1"/>
  <c r="X13" i="13" s="1"/>
  <c r="AI13" i="13" s="1" a="1"/>
  <c r="AI13" i="13" s="1"/>
  <c r="W13" i="13" a="1"/>
  <c r="W13" i="13" s="1"/>
  <c r="AH13" i="13" s="1" a="1"/>
  <c r="AH13" i="13" s="1"/>
  <c r="V13" i="13" a="1"/>
  <c r="V13" i="13" s="1"/>
  <c r="AG13" i="13" s="1" a="1"/>
  <c r="AG13" i="13" s="1"/>
  <c r="U13" i="13" a="1"/>
  <c r="U13" i="13" s="1"/>
  <c r="AF13" i="13" s="1" a="1"/>
  <c r="AF13" i="13" s="1"/>
  <c r="T13" i="13" a="1"/>
  <c r="T13" i="13" s="1"/>
  <c r="AE13" i="13" s="1" a="1"/>
  <c r="AE13" i="13" s="1"/>
  <c r="S13" i="13" a="1"/>
  <c r="S13" i="13" s="1"/>
  <c r="AD13" i="13" s="1" a="1"/>
  <c r="AD13" i="13" s="1"/>
  <c r="R13" i="13" a="1"/>
  <c r="R13" i="13" s="1"/>
  <c r="AC13" i="13" s="1" a="1"/>
  <c r="AC13" i="13" s="1"/>
  <c r="Q13" i="13" a="1"/>
  <c r="Q13" i="13" s="1"/>
  <c r="AB13" i="13" s="1" a="1"/>
  <c r="AB13" i="13" s="1"/>
  <c r="P13" i="13" a="1"/>
  <c r="P13" i="13" s="1"/>
  <c r="AA13" i="13" s="1" a="1"/>
  <c r="AA13" i="13" s="1"/>
  <c r="O13" i="13" a="1"/>
  <c r="O13" i="13" s="1"/>
  <c r="N13" i="13" a="1"/>
  <c r="N13" i="13" s="1"/>
  <c r="G13" i="13" a="1"/>
  <c r="G13" i="13" s="1"/>
  <c r="X31" i="12"/>
  <c r="X31" i="12" a="1"/>
  <c r="W31" i="12" a="1"/>
  <c r="W31" i="12" s="1"/>
  <c r="V31" i="12" a="1"/>
  <c r="V31" i="12" s="1"/>
  <c r="U31" i="12"/>
  <c r="U31" i="12" a="1"/>
  <c r="T31" i="12" a="1"/>
  <c r="T31" i="12" s="1"/>
  <c r="S31" i="12" a="1"/>
  <c r="S31" i="12" s="1"/>
  <c r="R31" i="12" a="1"/>
  <c r="R31" i="12" s="1"/>
  <c r="Q31" i="12"/>
  <c r="Q31" i="12" a="1"/>
  <c r="P31" i="12" a="1"/>
  <c r="P31" i="12" s="1"/>
  <c r="O31" i="12" a="1"/>
  <c r="O31" i="12" s="1"/>
  <c r="N31" i="12" a="1"/>
  <c r="N31" i="12" s="1"/>
  <c r="G31" i="12" a="1"/>
  <c r="G31" i="12" s="1"/>
  <c r="AI30" i="12" a="1"/>
  <c r="AI30" i="12" s="1"/>
  <c r="AE30" i="12" a="1"/>
  <c r="AE30" i="12" s="1"/>
  <c r="X30" i="12" a="1"/>
  <c r="X30" i="12" s="1"/>
  <c r="W30" i="12" a="1"/>
  <c r="W30" i="12" s="1"/>
  <c r="AH30" i="12" s="1" a="1"/>
  <c r="AH30" i="12" s="1"/>
  <c r="V30" i="12"/>
  <c r="AG30" i="12" s="1" a="1"/>
  <c r="AG30" i="12" s="1"/>
  <c r="V30" i="12" a="1"/>
  <c r="U30" i="12" a="1"/>
  <c r="U30" i="12" s="1"/>
  <c r="AF30" i="12" s="1" a="1"/>
  <c r="AF30" i="12" s="1"/>
  <c r="T30" i="12" a="1"/>
  <c r="T30" i="12" s="1"/>
  <c r="S30" i="12" a="1"/>
  <c r="S30" i="12" s="1"/>
  <c r="AD30" i="12" s="1" a="1"/>
  <c r="AD30" i="12" s="1"/>
  <c r="R30" i="12" a="1"/>
  <c r="R30" i="12" s="1"/>
  <c r="AC30" i="12" s="1" a="1"/>
  <c r="AC30" i="12" s="1"/>
  <c r="Q30" i="12"/>
  <c r="Q30" i="12" a="1"/>
  <c r="P30" i="12" a="1"/>
  <c r="P30" i="12" s="1"/>
  <c r="O30" i="12" a="1"/>
  <c r="O30" i="12" s="1"/>
  <c r="N30" i="12" a="1"/>
  <c r="N30" i="12" s="1"/>
  <c r="G30" i="12" a="1"/>
  <c r="G30" i="12" s="1"/>
  <c r="X29" i="12" a="1"/>
  <c r="X29" i="12" s="1"/>
  <c r="AI29" i="12" s="1" a="1"/>
  <c r="AI29" i="12" s="1"/>
  <c r="W29" i="12" a="1"/>
  <c r="W29" i="12" s="1"/>
  <c r="AH29" i="12" s="1" a="1"/>
  <c r="AH29" i="12" s="1"/>
  <c r="V29" i="12" a="1"/>
  <c r="V29" i="12" s="1"/>
  <c r="AG29" i="12" s="1" a="1"/>
  <c r="AG29" i="12" s="1"/>
  <c r="U29" i="12" a="1"/>
  <c r="U29" i="12" s="1"/>
  <c r="AF29" i="12" s="1" a="1"/>
  <c r="AF29" i="12" s="1"/>
  <c r="T29" i="12" a="1"/>
  <c r="T29" i="12" s="1"/>
  <c r="AE29" i="12" s="1" a="1"/>
  <c r="AE29" i="12" s="1"/>
  <c r="S29" i="12" a="1"/>
  <c r="S29" i="12" s="1"/>
  <c r="AD29" i="12" s="1" a="1"/>
  <c r="AD29" i="12" s="1"/>
  <c r="R29" i="12" a="1"/>
  <c r="R29" i="12" s="1"/>
  <c r="AC29" i="12" s="1" a="1"/>
  <c r="AC29" i="12" s="1"/>
  <c r="Q29" i="12" a="1"/>
  <c r="Q29" i="12" s="1"/>
  <c r="P29" i="12" a="1"/>
  <c r="P29" i="12" s="1"/>
  <c r="O29" i="12"/>
  <c r="O29" i="12" a="1"/>
  <c r="N29" i="12" a="1"/>
  <c r="N29" i="12" s="1"/>
  <c r="G29" i="12" a="1"/>
  <c r="G29" i="12" s="1"/>
  <c r="X28" i="12" a="1"/>
  <c r="X28" i="12" s="1"/>
  <c r="AI28" i="12" s="1" a="1"/>
  <c r="AI28" i="12" s="1"/>
  <c r="W28" i="12" a="1"/>
  <c r="W28" i="12" s="1"/>
  <c r="AH28" i="12" s="1" a="1"/>
  <c r="AH28" i="12" s="1"/>
  <c r="V28" i="12" a="1"/>
  <c r="V28" i="12" s="1"/>
  <c r="AG28" i="12" s="1" a="1"/>
  <c r="AG28" i="12" s="1"/>
  <c r="U28" i="12" a="1"/>
  <c r="U28" i="12" s="1"/>
  <c r="AF28" i="12" s="1" a="1"/>
  <c r="AF28" i="12" s="1"/>
  <c r="T28" i="12" a="1"/>
  <c r="T28" i="12" s="1"/>
  <c r="AE28" i="12" s="1" a="1"/>
  <c r="AE28" i="12" s="1"/>
  <c r="S28" i="12" a="1"/>
  <c r="S28" i="12" s="1"/>
  <c r="AD28" i="12" s="1" a="1"/>
  <c r="AD28" i="12" s="1"/>
  <c r="R28" i="12" a="1"/>
  <c r="R28" i="12" s="1"/>
  <c r="AC28" i="12" s="1" a="1"/>
  <c r="AC28" i="12" s="1"/>
  <c r="Q28" i="12" a="1"/>
  <c r="Q28" i="12" s="1"/>
  <c r="AB28" i="12" s="1" a="1"/>
  <c r="AB28" i="12" s="1"/>
  <c r="P28" i="12" a="1"/>
  <c r="P28" i="12" s="1"/>
  <c r="AA28" i="12" s="1" a="1"/>
  <c r="AA28" i="12" s="1"/>
  <c r="O28" i="12" a="1"/>
  <c r="O28" i="12" s="1"/>
  <c r="N28" i="12" a="1"/>
  <c r="N28" i="12" s="1"/>
  <c r="G28" i="12" a="1"/>
  <c r="G28" i="12" s="1"/>
  <c r="AD27" i="12" a="1"/>
  <c r="AD27" i="12" s="1"/>
  <c r="X27" i="12" a="1"/>
  <c r="X27" i="12" s="1"/>
  <c r="AI27" i="12" s="1" a="1"/>
  <c r="AI27" i="12" s="1"/>
  <c r="W27" i="12" a="1"/>
  <c r="W27" i="12" s="1"/>
  <c r="AH27" i="12" s="1" a="1"/>
  <c r="AH27" i="12" s="1"/>
  <c r="V27" i="12" a="1"/>
  <c r="V27" i="12" s="1"/>
  <c r="AG27" i="12" s="1" a="1"/>
  <c r="AG27" i="12" s="1"/>
  <c r="U27" i="12" a="1"/>
  <c r="U27" i="12" s="1"/>
  <c r="AF27" i="12" s="1" a="1"/>
  <c r="AF27" i="12" s="1"/>
  <c r="T27" i="12" a="1"/>
  <c r="T27" i="12" s="1"/>
  <c r="AE27" i="12" s="1" a="1"/>
  <c r="AE27" i="12" s="1"/>
  <c r="S27" i="12" a="1"/>
  <c r="S27" i="12" s="1"/>
  <c r="R27" i="12" a="1"/>
  <c r="R27" i="12" s="1"/>
  <c r="AC27" i="12" s="1" a="1"/>
  <c r="AC27" i="12" s="1"/>
  <c r="Q27" i="12"/>
  <c r="AB27" i="12" s="1" a="1"/>
  <c r="AB27" i="12" s="1"/>
  <c r="Q27" i="12" a="1"/>
  <c r="P27" i="12" a="1"/>
  <c r="P27" i="12" s="1"/>
  <c r="O27" i="12" a="1"/>
  <c r="O27" i="12" s="1"/>
  <c r="N27" i="12" a="1"/>
  <c r="N27" i="12" s="1"/>
  <c r="G27" i="12" a="1"/>
  <c r="G27" i="12" s="1"/>
  <c r="X26" i="12" a="1"/>
  <c r="X26" i="12" s="1"/>
  <c r="AI26" i="12" s="1" a="1"/>
  <c r="AI26" i="12" s="1"/>
  <c r="W26" i="12" a="1"/>
  <c r="W26" i="12" s="1"/>
  <c r="AH26" i="12" s="1" a="1"/>
  <c r="AH26" i="12" s="1"/>
  <c r="V26" i="12" a="1"/>
  <c r="V26" i="12" s="1"/>
  <c r="AG26" i="12" s="1" a="1"/>
  <c r="AG26" i="12" s="1"/>
  <c r="U26" i="12" a="1"/>
  <c r="U26" i="12" s="1"/>
  <c r="AF26" i="12" s="1" a="1"/>
  <c r="AF26" i="12" s="1"/>
  <c r="T26" i="12" a="1"/>
  <c r="T26" i="12" s="1"/>
  <c r="AE26" i="12" s="1" a="1"/>
  <c r="AE26" i="12" s="1"/>
  <c r="S26" i="12" a="1"/>
  <c r="S26" i="12" s="1"/>
  <c r="AD26" i="12" s="1" a="1"/>
  <c r="AD26" i="12" s="1"/>
  <c r="R26" i="12" a="1"/>
  <c r="R26" i="12" s="1"/>
  <c r="AC26" i="12" s="1" a="1"/>
  <c r="AC26" i="12" s="1"/>
  <c r="Q26" i="12" a="1"/>
  <c r="Q26" i="12" s="1"/>
  <c r="AB26" i="12" s="1" a="1"/>
  <c r="AB26" i="12" s="1"/>
  <c r="P26" i="12" a="1"/>
  <c r="P26" i="12" s="1"/>
  <c r="O26" i="12" a="1"/>
  <c r="O26" i="12" s="1"/>
  <c r="N26" i="12" a="1"/>
  <c r="N26" i="12" s="1"/>
  <c r="G26" i="12" a="1"/>
  <c r="G26" i="12" s="1"/>
  <c r="X25" i="12" a="1"/>
  <c r="X25" i="12" s="1"/>
  <c r="AI25" i="12" s="1" a="1"/>
  <c r="AI25" i="12" s="1"/>
  <c r="W25" i="12" a="1"/>
  <c r="W25" i="12" s="1"/>
  <c r="AH25" i="12" s="1" a="1"/>
  <c r="AH25" i="12" s="1"/>
  <c r="V25" i="12" a="1"/>
  <c r="V25" i="12" s="1"/>
  <c r="AG25" i="12" s="1" a="1"/>
  <c r="AG25" i="12" s="1"/>
  <c r="U25" i="12" a="1"/>
  <c r="U25" i="12" s="1"/>
  <c r="AF25" i="12" s="1" a="1"/>
  <c r="AF25" i="12" s="1"/>
  <c r="T25" i="12" a="1"/>
  <c r="T25" i="12" s="1"/>
  <c r="AE25" i="12" s="1" a="1"/>
  <c r="AE25" i="12" s="1"/>
  <c r="S25" i="12" a="1"/>
  <c r="S25" i="12" s="1"/>
  <c r="AD25" i="12" s="1" a="1"/>
  <c r="AD25" i="12" s="1"/>
  <c r="R25" i="12" a="1"/>
  <c r="R25" i="12" s="1"/>
  <c r="AC25" i="12" s="1" a="1"/>
  <c r="AC25" i="12" s="1"/>
  <c r="Q25" i="12" a="1"/>
  <c r="Q25" i="12" s="1"/>
  <c r="P25" i="12" a="1"/>
  <c r="P25" i="12" s="1"/>
  <c r="O25" i="12" a="1"/>
  <c r="O25" i="12" s="1"/>
  <c r="N25" i="12" a="1"/>
  <c r="N25" i="12" s="1"/>
  <c r="G25" i="12" a="1"/>
  <c r="G25" i="12" s="1"/>
  <c r="X24" i="12" a="1"/>
  <c r="X24" i="12" s="1"/>
  <c r="AI24" i="12" s="1" a="1"/>
  <c r="AI24" i="12" s="1"/>
  <c r="W24" i="12" a="1"/>
  <c r="W24" i="12" s="1"/>
  <c r="AH24" i="12" s="1" a="1"/>
  <c r="AH24" i="12" s="1"/>
  <c r="V24" i="12" a="1"/>
  <c r="V24" i="12" s="1"/>
  <c r="AG24" i="12" s="1" a="1"/>
  <c r="AG24" i="12" s="1"/>
  <c r="U24" i="12" a="1"/>
  <c r="U24" i="12" s="1"/>
  <c r="AF24" i="12" s="1" a="1"/>
  <c r="AF24" i="12" s="1"/>
  <c r="T24" i="12" a="1"/>
  <c r="T24" i="12" s="1"/>
  <c r="AE24" i="12" s="1" a="1"/>
  <c r="AE24" i="12" s="1"/>
  <c r="S24" i="12" a="1"/>
  <c r="S24" i="12" s="1"/>
  <c r="AD24" i="12" s="1" a="1"/>
  <c r="AD24" i="12" s="1"/>
  <c r="R24" i="12" a="1"/>
  <c r="R24" i="12" s="1"/>
  <c r="AC24" i="12" s="1" a="1"/>
  <c r="AC24" i="12" s="1"/>
  <c r="Q24" i="12" a="1"/>
  <c r="Q24" i="12" s="1"/>
  <c r="AB24" i="12" s="1" a="1"/>
  <c r="AB24" i="12" s="1"/>
  <c r="P24" i="12" a="1"/>
  <c r="P24" i="12" s="1"/>
  <c r="O24" i="12" a="1"/>
  <c r="O24" i="12" s="1"/>
  <c r="N24" i="12" a="1"/>
  <c r="N24" i="12" s="1"/>
  <c r="G24" i="12" a="1"/>
  <c r="G24" i="12" s="1"/>
  <c r="X23" i="12" a="1"/>
  <c r="X23" i="12" s="1"/>
  <c r="AI23" i="12" s="1" a="1"/>
  <c r="AI23" i="12" s="1"/>
  <c r="W23" i="12" a="1"/>
  <c r="W23" i="12" s="1"/>
  <c r="AH23" i="12" s="1" a="1"/>
  <c r="AH23" i="12" s="1"/>
  <c r="V23" i="12" a="1"/>
  <c r="V23" i="12" s="1"/>
  <c r="AG23" i="12" s="1" a="1"/>
  <c r="AG23" i="12" s="1"/>
  <c r="U23" i="12" a="1"/>
  <c r="U23" i="12" s="1"/>
  <c r="AF23" i="12" s="1" a="1"/>
  <c r="AF23" i="12" s="1"/>
  <c r="T23" i="12" a="1"/>
  <c r="T23" i="12" s="1"/>
  <c r="AE23" i="12" s="1" a="1"/>
  <c r="AE23" i="12" s="1"/>
  <c r="S23" i="12" a="1"/>
  <c r="S23" i="12" s="1"/>
  <c r="AD23" i="12" s="1" a="1"/>
  <c r="AD23" i="12" s="1"/>
  <c r="R23" i="12" a="1"/>
  <c r="R23" i="12" s="1"/>
  <c r="AC23" i="12" s="1" a="1"/>
  <c r="AC23" i="12" s="1"/>
  <c r="Q23" i="12" a="1"/>
  <c r="Q23" i="12" s="1"/>
  <c r="AB23" i="12" s="1" a="1"/>
  <c r="AB23" i="12" s="1"/>
  <c r="P23" i="12" a="1"/>
  <c r="P23" i="12" s="1"/>
  <c r="O23" i="12" a="1"/>
  <c r="O23" i="12" s="1"/>
  <c r="N23" i="12" a="1"/>
  <c r="N23" i="12" s="1"/>
  <c r="G23" i="12" a="1"/>
  <c r="G23" i="12" s="1"/>
  <c r="X22" i="12" a="1"/>
  <c r="X22" i="12" s="1"/>
  <c r="AI22" i="12" s="1" a="1"/>
  <c r="AI22" i="12" s="1"/>
  <c r="W22" i="12" a="1"/>
  <c r="W22" i="12" s="1"/>
  <c r="AH22" i="12" s="1" a="1"/>
  <c r="AH22" i="12" s="1"/>
  <c r="V22" i="12" a="1"/>
  <c r="V22" i="12" s="1"/>
  <c r="AG22" i="12" s="1" a="1"/>
  <c r="AG22" i="12" s="1"/>
  <c r="U22" i="12" a="1"/>
  <c r="U22" i="12" s="1"/>
  <c r="AF22" i="12" s="1" a="1"/>
  <c r="AF22" i="12" s="1"/>
  <c r="T22" i="12" a="1"/>
  <c r="T22" i="12" s="1"/>
  <c r="AE22" i="12" s="1" a="1"/>
  <c r="AE22" i="12" s="1"/>
  <c r="S22" i="12" a="1"/>
  <c r="S22" i="12" s="1"/>
  <c r="AD22" i="12" s="1" a="1"/>
  <c r="AD22" i="12" s="1"/>
  <c r="R22" i="12" a="1"/>
  <c r="R22" i="12" s="1"/>
  <c r="AC22" i="12" s="1" a="1"/>
  <c r="AC22" i="12" s="1"/>
  <c r="Q22" i="12" a="1"/>
  <c r="Q22" i="12" s="1"/>
  <c r="AB22" i="12" s="1" a="1"/>
  <c r="AB22" i="12" s="1"/>
  <c r="P22" i="12" a="1"/>
  <c r="P22" i="12" s="1"/>
  <c r="O22" i="12" a="1"/>
  <c r="O22" i="12" s="1"/>
  <c r="N22" i="12" a="1"/>
  <c r="N22" i="12" s="1"/>
  <c r="G22" i="12" a="1"/>
  <c r="G22" i="12" s="1"/>
  <c r="X21" i="12" a="1"/>
  <c r="X21" i="12" s="1"/>
  <c r="AI21" i="12" s="1" a="1"/>
  <c r="AI21" i="12" s="1"/>
  <c r="W21" i="12" a="1"/>
  <c r="W21" i="12" s="1"/>
  <c r="AH21" i="12" s="1" a="1"/>
  <c r="AH21" i="12" s="1"/>
  <c r="V21" i="12" a="1"/>
  <c r="V21" i="12" s="1"/>
  <c r="AG21" i="12" s="1" a="1"/>
  <c r="AG21" i="12" s="1"/>
  <c r="U21" i="12" a="1"/>
  <c r="U21" i="12" s="1"/>
  <c r="AF21" i="12" s="1" a="1"/>
  <c r="AF21" i="12" s="1"/>
  <c r="T21" i="12" a="1"/>
  <c r="T21" i="12" s="1"/>
  <c r="AE21" i="12" s="1" a="1"/>
  <c r="AE21" i="12" s="1"/>
  <c r="S21" i="12" a="1"/>
  <c r="S21" i="12" s="1"/>
  <c r="AD21" i="12" s="1" a="1"/>
  <c r="AD21" i="12" s="1"/>
  <c r="R21" i="12" a="1"/>
  <c r="R21" i="12" s="1"/>
  <c r="AC21" i="12" s="1" a="1"/>
  <c r="AC21" i="12" s="1"/>
  <c r="Q21" i="12" a="1"/>
  <c r="Q21" i="12" s="1"/>
  <c r="AB21" i="12" s="1" a="1"/>
  <c r="AB21" i="12" s="1"/>
  <c r="P21" i="12" a="1"/>
  <c r="P21" i="12" s="1"/>
  <c r="AA21" i="12" s="1" a="1"/>
  <c r="AA21" i="12" s="1"/>
  <c r="O21" i="12" a="1"/>
  <c r="O21" i="12" s="1"/>
  <c r="N21" i="12" a="1"/>
  <c r="N21" i="12" s="1"/>
  <c r="G21" i="12" a="1"/>
  <c r="G21" i="12" s="1"/>
  <c r="X20" i="12" a="1"/>
  <c r="X20" i="12" s="1"/>
  <c r="AI20" i="12" s="1" a="1"/>
  <c r="AI20" i="12" s="1"/>
  <c r="W20" i="12" a="1"/>
  <c r="W20" i="12" s="1"/>
  <c r="AH20" i="12" s="1" a="1"/>
  <c r="AH20" i="12" s="1"/>
  <c r="V20" i="12" a="1"/>
  <c r="V20" i="12" s="1"/>
  <c r="AG20" i="12" s="1" a="1"/>
  <c r="AG20" i="12" s="1"/>
  <c r="U20" i="12" a="1"/>
  <c r="U20" i="12" s="1"/>
  <c r="AF20" i="12" s="1" a="1"/>
  <c r="AF20" i="12" s="1"/>
  <c r="T20" i="12" a="1"/>
  <c r="T20" i="12" s="1"/>
  <c r="AE20" i="12" s="1" a="1"/>
  <c r="AE20" i="12" s="1"/>
  <c r="S20" i="12" a="1"/>
  <c r="S20" i="12" s="1"/>
  <c r="AD20" i="12" s="1" a="1"/>
  <c r="AD20" i="12" s="1"/>
  <c r="R20" i="12" a="1"/>
  <c r="R20" i="12" s="1"/>
  <c r="AC20" i="12" s="1" a="1"/>
  <c r="AC20" i="12" s="1"/>
  <c r="Q20" i="12" a="1"/>
  <c r="Q20" i="12" s="1"/>
  <c r="AB20" i="12" s="1" a="1"/>
  <c r="AB20" i="12" s="1"/>
  <c r="P20" i="12" a="1"/>
  <c r="P20" i="12" s="1"/>
  <c r="AA20" i="12" s="1" a="1"/>
  <c r="AA20" i="12" s="1"/>
  <c r="O20" i="12" a="1"/>
  <c r="O20" i="12" s="1"/>
  <c r="N20" i="12" a="1"/>
  <c r="N20" i="12" s="1"/>
  <c r="G20" i="12"/>
  <c r="G20" i="12" a="1"/>
  <c r="X19" i="12" a="1"/>
  <c r="X19" i="12" s="1"/>
  <c r="AI19" i="12" s="1" a="1"/>
  <c r="AI19" i="12" s="1"/>
  <c r="W19" i="12" a="1"/>
  <c r="W19" i="12" s="1"/>
  <c r="AH19" i="12" s="1" a="1"/>
  <c r="AH19" i="12" s="1"/>
  <c r="V19" i="12" a="1"/>
  <c r="V19" i="12" s="1"/>
  <c r="AG19" i="12" s="1" a="1"/>
  <c r="AG19" i="12" s="1"/>
  <c r="U19" i="12" a="1"/>
  <c r="U19" i="12" s="1"/>
  <c r="AF19" i="12" s="1" a="1"/>
  <c r="AF19" i="12" s="1"/>
  <c r="T19" i="12" a="1"/>
  <c r="T19" i="12" s="1"/>
  <c r="AE19" i="12" s="1" a="1"/>
  <c r="AE19" i="12" s="1"/>
  <c r="S19" i="12" a="1"/>
  <c r="S19" i="12" s="1"/>
  <c r="AD19" i="12" s="1" a="1"/>
  <c r="AD19" i="12" s="1"/>
  <c r="R19" i="12" a="1"/>
  <c r="R19" i="12" s="1"/>
  <c r="AC19" i="12" s="1" a="1"/>
  <c r="AC19" i="12" s="1"/>
  <c r="Q19" i="12" a="1"/>
  <c r="Q19" i="12" s="1"/>
  <c r="P19" i="12" a="1"/>
  <c r="P19" i="12" s="1"/>
  <c r="O19" i="12" a="1"/>
  <c r="O19" i="12" s="1"/>
  <c r="N19" i="12" a="1"/>
  <c r="N19" i="12" s="1"/>
  <c r="G19" i="12" a="1"/>
  <c r="G19" i="12" s="1"/>
  <c r="X18" i="12" a="1"/>
  <c r="X18" i="12" s="1"/>
  <c r="AI18" i="12" s="1" a="1"/>
  <c r="AI18" i="12" s="1"/>
  <c r="W18" i="12" a="1"/>
  <c r="W18" i="12" s="1"/>
  <c r="AH18" i="12" s="1" a="1"/>
  <c r="AH18" i="12" s="1"/>
  <c r="V18" i="12" a="1"/>
  <c r="V18" i="12" s="1"/>
  <c r="AG18" i="12" s="1" a="1"/>
  <c r="AG18" i="12" s="1"/>
  <c r="U18" i="12" a="1"/>
  <c r="U18" i="12" s="1"/>
  <c r="AF18" i="12" s="1" a="1"/>
  <c r="AF18" i="12" s="1"/>
  <c r="T18" i="12" a="1"/>
  <c r="T18" i="12" s="1"/>
  <c r="AE18" i="12" s="1" a="1"/>
  <c r="AE18" i="12" s="1"/>
  <c r="S18" i="12" a="1"/>
  <c r="S18" i="12" s="1"/>
  <c r="AD18" i="12" s="1" a="1"/>
  <c r="AD18" i="12" s="1"/>
  <c r="R18" i="12" a="1"/>
  <c r="R18" i="12" s="1"/>
  <c r="Q18" i="12" a="1"/>
  <c r="Q18" i="12" s="1"/>
  <c r="P18" i="12" a="1"/>
  <c r="P18" i="12" s="1"/>
  <c r="O18" i="12" a="1"/>
  <c r="O18" i="12" s="1"/>
  <c r="N18" i="12" a="1"/>
  <c r="N18" i="12" s="1"/>
  <c r="G18" i="12"/>
  <c r="G18" i="12" a="1"/>
  <c r="X17" i="12" a="1"/>
  <c r="X17" i="12" s="1"/>
  <c r="AI17" i="12" s="1" a="1"/>
  <c r="AI17" i="12" s="1"/>
  <c r="W17" i="12" a="1"/>
  <c r="W17" i="12" s="1"/>
  <c r="AH17" i="12" s="1" a="1"/>
  <c r="AH17" i="12" s="1"/>
  <c r="V17" i="12" a="1"/>
  <c r="V17" i="12" s="1"/>
  <c r="AG17" i="12" s="1" a="1"/>
  <c r="AG17" i="12" s="1"/>
  <c r="U17" i="12" a="1"/>
  <c r="U17" i="12" s="1"/>
  <c r="AF17" i="12" s="1" a="1"/>
  <c r="AF17" i="12" s="1"/>
  <c r="T17" i="12" a="1"/>
  <c r="T17" i="12" s="1"/>
  <c r="AE17" i="12" s="1" a="1"/>
  <c r="AE17" i="12" s="1"/>
  <c r="S17" i="12" a="1"/>
  <c r="S17" i="12" s="1"/>
  <c r="AD17" i="12" s="1" a="1"/>
  <c r="AD17" i="12" s="1"/>
  <c r="R17" i="12" a="1"/>
  <c r="R17" i="12" s="1"/>
  <c r="Q17" i="12" a="1"/>
  <c r="Q17" i="12" s="1"/>
  <c r="P17" i="12" a="1"/>
  <c r="P17" i="12" s="1"/>
  <c r="O17" i="12" a="1"/>
  <c r="O17" i="12" s="1"/>
  <c r="N17" i="12" a="1"/>
  <c r="N17" i="12" s="1"/>
  <c r="G17" i="12" a="1"/>
  <c r="G17" i="12" s="1"/>
  <c r="X16" i="12" a="1"/>
  <c r="X16" i="12" s="1"/>
  <c r="AI16" i="12" s="1" a="1"/>
  <c r="AI16" i="12" s="1"/>
  <c r="W16" i="12" a="1"/>
  <c r="W16" i="12" s="1"/>
  <c r="AH16" i="12" s="1" a="1"/>
  <c r="AH16" i="12" s="1"/>
  <c r="V16" i="12" a="1"/>
  <c r="V16" i="12" s="1"/>
  <c r="AG16" i="12" s="1" a="1"/>
  <c r="AG16" i="12" s="1"/>
  <c r="U16" i="12" a="1"/>
  <c r="U16" i="12" s="1"/>
  <c r="AF16" i="12" s="1" a="1"/>
  <c r="AF16" i="12" s="1"/>
  <c r="T16" i="12" a="1"/>
  <c r="T16" i="12" s="1"/>
  <c r="AE16" i="12" s="1" a="1"/>
  <c r="AE16" i="12" s="1"/>
  <c r="S16" i="12" a="1"/>
  <c r="S16" i="12" s="1"/>
  <c r="AD16" i="12" s="1" a="1"/>
  <c r="AD16" i="12" s="1"/>
  <c r="R16" i="12" a="1"/>
  <c r="R16" i="12" s="1"/>
  <c r="AC16" i="12" s="1" a="1"/>
  <c r="AC16" i="12" s="1"/>
  <c r="Q16" i="12" a="1"/>
  <c r="Q16" i="12" s="1"/>
  <c r="AB16" i="12" s="1" a="1"/>
  <c r="AB16" i="12" s="1"/>
  <c r="P16" i="12" a="1"/>
  <c r="P16" i="12" s="1"/>
  <c r="AA16" i="12" s="1" a="1"/>
  <c r="AA16" i="12" s="1"/>
  <c r="O16" i="12" a="1"/>
  <c r="O16" i="12" s="1"/>
  <c r="N16" i="12" a="1"/>
  <c r="N16" i="12" s="1"/>
  <c r="G16" i="12" a="1"/>
  <c r="G16" i="12" s="1"/>
  <c r="X15" i="12" a="1"/>
  <c r="X15" i="12" s="1"/>
  <c r="AI15" i="12" s="1" a="1"/>
  <c r="AI15" i="12" s="1"/>
  <c r="W15" i="12" a="1"/>
  <c r="W15" i="12" s="1"/>
  <c r="AH15" i="12" s="1" a="1"/>
  <c r="AH15" i="12" s="1"/>
  <c r="V15" i="12" a="1"/>
  <c r="V15" i="12" s="1"/>
  <c r="AG15" i="12" s="1" a="1"/>
  <c r="AG15" i="12" s="1"/>
  <c r="U15" i="12" a="1"/>
  <c r="U15" i="12" s="1"/>
  <c r="AF15" i="12" s="1" a="1"/>
  <c r="AF15" i="12" s="1"/>
  <c r="T15" i="12" a="1"/>
  <c r="T15" i="12" s="1"/>
  <c r="AE15" i="12" s="1" a="1"/>
  <c r="AE15" i="12" s="1"/>
  <c r="S15" i="12" a="1"/>
  <c r="S15" i="12" s="1"/>
  <c r="AD15" i="12" s="1" a="1"/>
  <c r="AD15" i="12" s="1"/>
  <c r="R15" i="12" a="1"/>
  <c r="R15" i="12" s="1"/>
  <c r="AC15" i="12" s="1" a="1"/>
  <c r="AC15" i="12" s="1"/>
  <c r="Q15" i="12" a="1"/>
  <c r="Q15" i="12" s="1"/>
  <c r="AB15" i="12" s="1" a="1"/>
  <c r="AB15" i="12" s="1"/>
  <c r="P15" i="12" a="1"/>
  <c r="P15" i="12" s="1"/>
  <c r="O15" i="12" a="1"/>
  <c r="O15" i="12" s="1"/>
  <c r="N15" i="12" a="1"/>
  <c r="N15" i="12" s="1"/>
  <c r="G15" i="12"/>
  <c r="G15" i="12" a="1"/>
  <c r="X14" i="12" a="1"/>
  <c r="X14" i="12" s="1"/>
  <c r="AI14" i="12" s="1" a="1"/>
  <c r="AI14" i="12" s="1"/>
  <c r="W14" i="12" a="1"/>
  <c r="W14" i="12" s="1"/>
  <c r="AH14" i="12" s="1" a="1"/>
  <c r="AH14" i="12" s="1"/>
  <c r="V14" i="12" a="1"/>
  <c r="V14" i="12" s="1"/>
  <c r="AG14" i="12" s="1" a="1"/>
  <c r="AG14" i="12" s="1"/>
  <c r="U14" i="12" a="1"/>
  <c r="U14" i="12" s="1"/>
  <c r="AF14" i="12" s="1" a="1"/>
  <c r="AF14" i="12" s="1"/>
  <c r="T14" i="12" a="1"/>
  <c r="T14" i="12" s="1"/>
  <c r="AE14" i="12" s="1" a="1"/>
  <c r="AE14" i="12" s="1"/>
  <c r="S14" i="12" a="1"/>
  <c r="S14" i="12" s="1"/>
  <c r="AD14" i="12" s="1" a="1"/>
  <c r="AD14" i="12" s="1"/>
  <c r="R14" i="12" a="1"/>
  <c r="R14" i="12" s="1"/>
  <c r="AC14" i="12" s="1" a="1"/>
  <c r="AC14" i="12" s="1"/>
  <c r="Q14" i="12" a="1"/>
  <c r="Q14" i="12" s="1"/>
  <c r="P14" i="12" a="1"/>
  <c r="P14" i="12" s="1"/>
  <c r="O14" i="12" a="1"/>
  <c r="O14" i="12" s="1"/>
  <c r="N14" i="12" a="1"/>
  <c r="N14" i="12" s="1"/>
  <c r="G14" i="12"/>
  <c r="G14" i="12" a="1"/>
  <c r="X13" i="12" a="1"/>
  <c r="X13" i="12" s="1"/>
  <c r="AI13" i="12" s="1" a="1"/>
  <c r="AI13" i="12" s="1"/>
  <c r="W13" i="12" a="1"/>
  <c r="W13" i="12" s="1"/>
  <c r="AH13" i="12" s="1" a="1"/>
  <c r="AH13" i="12" s="1"/>
  <c r="V13" i="12" a="1"/>
  <c r="V13" i="12" s="1"/>
  <c r="AG13" i="12" s="1" a="1"/>
  <c r="AG13" i="12" s="1"/>
  <c r="U13" i="12" a="1"/>
  <c r="U13" i="12" s="1"/>
  <c r="AF13" i="12" s="1" a="1"/>
  <c r="AF13" i="12" s="1"/>
  <c r="T13" i="12" a="1"/>
  <c r="T13" i="12" s="1"/>
  <c r="AE13" i="12" s="1" a="1"/>
  <c r="AE13" i="12" s="1"/>
  <c r="S13" i="12" a="1"/>
  <c r="S13" i="12" s="1"/>
  <c r="AD13" i="12" s="1" a="1"/>
  <c r="AD13" i="12" s="1"/>
  <c r="R13" i="12" a="1"/>
  <c r="R13" i="12" s="1"/>
  <c r="AC13" i="12" s="1" a="1"/>
  <c r="AC13" i="12" s="1"/>
  <c r="Q13" i="12" a="1"/>
  <c r="Q13" i="12" s="1"/>
  <c r="AB13" i="12" s="1" a="1"/>
  <c r="AB13" i="12" s="1"/>
  <c r="P13" i="12" a="1"/>
  <c r="P13" i="12" s="1"/>
  <c r="AA13" i="12" s="1" a="1"/>
  <c r="AA13" i="12" s="1"/>
  <c r="O13" i="12" a="1"/>
  <c r="O13" i="12" s="1"/>
  <c r="N13" i="12" a="1"/>
  <c r="N13" i="12" s="1"/>
  <c r="G13" i="12" a="1"/>
  <c r="G13" i="12" s="1"/>
  <c r="X21" i="10" a="1"/>
  <c r="X21" i="10" s="1"/>
  <c r="AI21" i="10" s="1" a="1"/>
  <c r="AI21" i="10" s="1"/>
  <c r="W21" i="10" a="1"/>
  <c r="W21" i="10" s="1"/>
  <c r="AH21" i="10" s="1" a="1"/>
  <c r="AH21" i="10" s="1"/>
  <c r="V21" i="10" a="1"/>
  <c r="V21" i="10" s="1"/>
  <c r="AG21" i="10" s="1" a="1"/>
  <c r="AG21" i="10" s="1"/>
  <c r="U21" i="10" a="1"/>
  <c r="U21" i="10" s="1"/>
  <c r="AF21" i="10" s="1" a="1"/>
  <c r="AF21" i="10" s="1"/>
  <c r="T21" i="10" a="1"/>
  <c r="T21" i="10" s="1"/>
  <c r="AE21" i="10" s="1" a="1"/>
  <c r="AE21" i="10" s="1"/>
  <c r="S21" i="10" a="1"/>
  <c r="S21" i="10" s="1"/>
  <c r="AD21" i="10" s="1" a="1"/>
  <c r="AD21" i="10" s="1"/>
  <c r="R21" i="10" a="1"/>
  <c r="R21" i="10" s="1"/>
  <c r="AC21" i="10" s="1" a="1"/>
  <c r="AC21" i="10" s="1"/>
  <c r="Q21" i="10" a="1"/>
  <c r="Q21" i="10" s="1"/>
  <c r="P21" i="10" a="1"/>
  <c r="P21" i="10" s="1"/>
  <c r="O21" i="10" a="1"/>
  <c r="O21" i="10" s="1"/>
  <c r="N21" i="10" a="1"/>
  <c r="N21" i="10" s="1"/>
  <c r="G21" i="10" a="1"/>
  <c r="G21" i="10" s="1"/>
  <c r="X20" i="10" a="1"/>
  <c r="X20" i="10" s="1"/>
  <c r="AI20" i="10" s="1" a="1"/>
  <c r="AI20" i="10" s="1"/>
  <c r="W20" i="10" a="1"/>
  <c r="W20" i="10" s="1"/>
  <c r="AH20" i="10" s="1" a="1"/>
  <c r="AH20" i="10" s="1"/>
  <c r="V20" i="10" a="1"/>
  <c r="V20" i="10" s="1"/>
  <c r="AG20" i="10" s="1" a="1"/>
  <c r="AG20" i="10" s="1"/>
  <c r="U20" i="10" a="1"/>
  <c r="U20" i="10" s="1"/>
  <c r="AF20" i="10" s="1" a="1"/>
  <c r="AF20" i="10" s="1"/>
  <c r="T20" i="10" a="1"/>
  <c r="T20" i="10" s="1"/>
  <c r="AE20" i="10" s="1" a="1"/>
  <c r="AE20" i="10" s="1"/>
  <c r="S20" i="10" a="1"/>
  <c r="S20" i="10" s="1"/>
  <c r="AD20" i="10" s="1" a="1"/>
  <c r="AD20" i="10" s="1"/>
  <c r="R20" i="10" a="1"/>
  <c r="R20" i="10" s="1"/>
  <c r="AC20" i="10" s="1" a="1"/>
  <c r="AC20" i="10" s="1"/>
  <c r="Q20" i="10" a="1"/>
  <c r="Q20" i="10" s="1"/>
  <c r="AB20" i="10" s="1" a="1"/>
  <c r="AB20" i="10" s="1"/>
  <c r="P20" i="10" a="1"/>
  <c r="P20" i="10" s="1"/>
  <c r="O20" i="10" a="1"/>
  <c r="O20" i="10" s="1"/>
  <c r="N20" i="10" a="1"/>
  <c r="N20" i="10" s="1"/>
  <c r="G20" i="10" a="1"/>
  <c r="G20" i="10" s="1"/>
  <c r="X19" i="10" a="1"/>
  <c r="X19" i="10" s="1"/>
  <c r="AI19" i="10" s="1" a="1"/>
  <c r="AI19" i="10" s="1"/>
  <c r="W19" i="10" a="1"/>
  <c r="W19" i="10" s="1"/>
  <c r="AH19" i="10" s="1" a="1"/>
  <c r="AH19" i="10" s="1"/>
  <c r="V19" i="10" a="1"/>
  <c r="V19" i="10" s="1"/>
  <c r="AG19" i="10" s="1" a="1"/>
  <c r="AG19" i="10" s="1"/>
  <c r="U19" i="10" a="1"/>
  <c r="U19" i="10" s="1"/>
  <c r="AF19" i="10" s="1" a="1"/>
  <c r="AF19" i="10" s="1"/>
  <c r="T19" i="10" a="1"/>
  <c r="T19" i="10" s="1"/>
  <c r="AE19" i="10" s="1" a="1"/>
  <c r="AE19" i="10" s="1"/>
  <c r="S19" i="10" a="1"/>
  <c r="S19" i="10" s="1"/>
  <c r="AD19" i="10" s="1" a="1"/>
  <c r="AD19" i="10" s="1"/>
  <c r="R19" i="10" a="1"/>
  <c r="R19" i="10" s="1"/>
  <c r="AC19" i="10" s="1" a="1"/>
  <c r="AC19" i="10" s="1"/>
  <c r="Q19" i="10" a="1"/>
  <c r="Q19" i="10" s="1"/>
  <c r="AB19" i="10" s="1" a="1"/>
  <c r="AB19" i="10" s="1"/>
  <c r="P19" i="10" a="1"/>
  <c r="P19" i="10" s="1"/>
  <c r="O19" i="10" a="1"/>
  <c r="O19" i="10" s="1"/>
  <c r="N19" i="10" a="1"/>
  <c r="N19" i="10" s="1"/>
  <c r="G19" i="10" a="1"/>
  <c r="G19" i="10" s="1"/>
  <c r="X18" i="10" a="1"/>
  <c r="X18" i="10" s="1"/>
  <c r="AI18" i="10" s="1" a="1"/>
  <c r="AI18" i="10" s="1"/>
  <c r="W18" i="10" a="1"/>
  <c r="W18" i="10" s="1"/>
  <c r="AH18" i="10" s="1" a="1"/>
  <c r="AH18" i="10" s="1"/>
  <c r="V18" i="10" a="1"/>
  <c r="V18" i="10" s="1"/>
  <c r="AG18" i="10" s="1" a="1"/>
  <c r="AG18" i="10" s="1"/>
  <c r="U18" i="10" a="1"/>
  <c r="U18" i="10" s="1"/>
  <c r="AF18" i="10" s="1" a="1"/>
  <c r="AF18" i="10" s="1"/>
  <c r="T18" i="10" a="1"/>
  <c r="T18" i="10" s="1"/>
  <c r="AE18" i="10" s="1" a="1"/>
  <c r="AE18" i="10" s="1"/>
  <c r="S18" i="10" a="1"/>
  <c r="S18" i="10" s="1"/>
  <c r="AD18" i="10" s="1" a="1"/>
  <c r="AD18" i="10" s="1"/>
  <c r="R18" i="10" a="1"/>
  <c r="R18" i="10" s="1"/>
  <c r="AC18" i="10" s="1" a="1"/>
  <c r="AC18" i="10" s="1"/>
  <c r="Q18" i="10" a="1"/>
  <c r="Q18" i="10" s="1"/>
  <c r="AB18" i="10" s="1" a="1"/>
  <c r="AB18" i="10" s="1"/>
  <c r="P18" i="10" a="1"/>
  <c r="P18" i="10" s="1"/>
  <c r="AA18" i="10" s="1" a="1"/>
  <c r="AA18" i="10" s="1"/>
  <c r="O18" i="10" a="1"/>
  <c r="O18" i="10" s="1"/>
  <c r="N18" i="10" a="1"/>
  <c r="N18" i="10" s="1"/>
  <c r="G18" i="10" a="1"/>
  <c r="G18" i="10" s="1"/>
  <c r="X17" i="10" a="1"/>
  <c r="X17" i="10" s="1"/>
  <c r="AI17" i="10" s="1" a="1"/>
  <c r="AI17" i="10" s="1"/>
  <c r="W17" i="10" a="1"/>
  <c r="W17" i="10" s="1"/>
  <c r="AH17" i="10" s="1" a="1"/>
  <c r="AH17" i="10" s="1"/>
  <c r="V17" i="10" a="1"/>
  <c r="V17" i="10" s="1"/>
  <c r="AG17" i="10" s="1" a="1"/>
  <c r="AG17" i="10" s="1"/>
  <c r="U17" i="10" a="1"/>
  <c r="U17" i="10" s="1"/>
  <c r="AF17" i="10" s="1" a="1"/>
  <c r="AF17" i="10" s="1"/>
  <c r="T17" i="10" a="1"/>
  <c r="T17" i="10" s="1"/>
  <c r="AE17" i="10" s="1" a="1"/>
  <c r="AE17" i="10" s="1"/>
  <c r="S17" i="10" a="1"/>
  <c r="S17" i="10" s="1"/>
  <c r="AD17" i="10" s="1" a="1"/>
  <c r="AD17" i="10" s="1"/>
  <c r="R17" i="10" a="1"/>
  <c r="R17" i="10" s="1"/>
  <c r="AC17" i="10" s="1" a="1"/>
  <c r="AC17" i="10" s="1"/>
  <c r="Q17" i="10" a="1"/>
  <c r="Q17" i="10" s="1"/>
  <c r="P17" i="10" a="1"/>
  <c r="P17" i="10" s="1"/>
  <c r="O17" i="10" a="1"/>
  <c r="O17" i="10" s="1"/>
  <c r="N17" i="10" a="1"/>
  <c r="N17" i="10" s="1"/>
  <c r="G17" i="10" a="1"/>
  <c r="G17" i="10" s="1"/>
  <c r="X16" i="10" a="1"/>
  <c r="X16" i="10" s="1"/>
  <c r="AI16" i="10" s="1" a="1"/>
  <c r="AI16" i="10" s="1"/>
  <c r="W16" i="10" a="1"/>
  <c r="W16" i="10" s="1"/>
  <c r="AH16" i="10" s="1" a="1"/>
  <c r="AH16" i="10" s="1"/>
  <c r="V16" i="10" a="1"/>
  <c r="V16" i="10" s="1"/>
  <c r="AG16" i="10" s="1" a="1"/>
  <c r="AG16" i="10" s="1"/>
  <c r="U16" i="10" a="1"/>
  <c r="U16" i="10" s="1"/>
  <c r="AF16" i="10" s="1" a="1"/>
  <c r="AF16" i="10" s="1"/>
  <c r="T16" i="10" a="1"/>
  <c r="T16" i="10" s="1"/>
  <c r="AE16" i="10" s="1" a="1"/>
  <c r="AE16" i="10" s="1"/>
  <c r="S16" i="10" a="1"/>
  <c r="S16" i="10" s="1"/>
  <c r="AD16" i="10" s="1" a="1"/>
  <c r="AD16" i="10" s="1"/>
  <c r="R16" i="10" a="1"/>
  <c r="R16" i="10" s="1"/>
  <c r="Q16" i="10" a="1"/>
  <c r="Q16" i="10" s="1"/>
  <c r="P16" i="10" a="1"/>
  <c r="P16" i="10" s="1"/>
  <c r="O16" i="10" a="1"/>
  <c r="O16" i="10" s="1"/>
  <c r="N16" i="10" a="1"/>
  <c r="N16" i="10" s="1"/>
  <c r="G16" i="10" a="1"/>
  <c r="G16" i="10" s="1"/>
  <c r="X15" i="10" a="1"/>
  <c r="X15" i="10" s="1"/>
  <c r="AI15" i="10" s="1" a="1"/>
  <c r="AI15" i="10" s="1"/>
  <c r="W15" i="10" a="1"/>
  <c r="W15" i="10" s="1"/>
  <c r="AH15" i="10" s="1" a="1"/>
  <c r="AH15" i="10" s="1"/>
  <c r="V15" i="10" a="1"/>
  <c r="V15" i="10" s="1"/>
  <c r="AG15" i="10" s="1" a="1"/>
  <c r="AG15" i="10" s="1"/>
  <c r="U15" i="10" a="1"/>
  <c r="U15" i="10" s="1"/>
  <c r="AF15" i="10" s="1" a="1"/>
  <c r="AF15" i="10" s="1"/>
  <c r="T15" i="10" a="1"/>
  <c r="T15" i="10" s="1"/>
  <c r="AE15" i="10" s="1" a="1"/>
  <c r="AE15" i="10" s="1"/>
  <c r="S15" i="10" a="1"/>
  <c r="S15" i="10" s="1"/>
  <c r="AD15" i="10" s="1" a="1"/>
  <c r="AD15" i="10" s="1"/>
  <c r="R15" i="10" a="1"/>
  <c r="R15" i="10" s="1"/>
  <c r="AC15" i="10" s="1" a="1"/>
  <c r="AC15" i="10" s="1"/>
  <c r="Q15" i="10" a="1"/>
  <c r="Q15" i="10" s="1"/>
  <c r="AB15" i="10" s="1" a="1"/>
  <c r="AB15" i="10" s="1"/>
  <c r="P15" i="10" a="1"/>
  <c r="P15" i="10" s="1"/>
  <c r="O15" i="10" a="1"/>
  <c r="O15" i="10" s="1"/>
  <c r="N15" i="10" a="1"/>
  <c r="N15" i="10" s="1"/>
  <c r="G15" i="10" a="1"/>
  <c r="G15" i="10" s="1"/>
  <c r="X14" i="10" a="1"/>
  <c r="X14" i="10" s="1"/>
  <c r="AI14" i="10" s="1" a="1"/>
  <c r="AI14" i="10" s="1"/>
  <c r="W14" i="10" a="1"/>
  <c r="W14" i="10" s="1"/>
  <c r="AH14" i="10" s="1" a="1"/>
  <c r="AH14" i="10" s="1"/>
  <c r="V14" i="10" a="1"/>
  <c r="V14" i="10" s="1"/>
  <c r="AG14" i="10" s="1" a="1"/>
  <c r="AG14" i="10" s="1"/>
  <c r="U14" i="10" a="1"/>
  <c r="U14" i="10" s="1"/>
  <c r="AF14" i="10" s="1" a="1"/>
  <c r="AF14" i="10" s="1"/>
  <c r="T14" i="10" a="1"/>
  <c r="T14" i="10" s="1"/>
  <c r="AE14" i="10" s="1" a="1"/>
  <c r="AE14" i="10" s="1"/>
  <c r="S14" i="10" a="1"/>
  <c r="S14" i="10" s="1"/>
  <c r="AD14" i="10" s="1" a="1"/>
  <c r="AD14" i="10" s="1"/>
  <c r="R14" i="10" a="1"/>
  <c r="R14" i="10" s="1"/>
  <c r="AC14" i="10" s="1" a="1"/>
  <c r="AC14" i="10" s="1"/>
  <c r="Q14" i="10" a="1"/>
  <c r="Q14" i="10" s="1"/>
  <c r="P14" i="10" a="1"/>
  <c r="P14" i="10" s="1"/>
  <c r="O14" i="10" a="1"/>
  <c r="O14" i="10" s="1"/>
  <c r="N14" i="10" a="1"/>
  <c r="N14" i="10" s="1"/>
  <c r="G14" i="10" a="1"/>
  <c r="G14" i="10" s="1"/>
  <c r="X13" i="10" a="1"/>
  <c r="X13" i="10" s="1"/>
  <c r="AI13" i="10" s="1" a="1"/>
  <c r="AI13" i="10" s="1"/>
  <c r="W13" i="10" a="1"/>
  <c r="W13" i="10" s="1"/>
  <c r="AH13" i="10" s="1" a="1"/>
  <c r="AH13" i="10" s="1"/>
  <c r="V13" i="10" a="1"/>
  <c r="V13" i="10" s="1"/>
  <c r="AG13" i="10" s="1" a="1"/>
  <c r="AG13" i="10" s="1"/>
  <c r="U13" i="10" a="1"/>
  <c r="U13" i="10" s="1"/>
  <c r="AF13" i="10" s="1" a="1"/>
  <c r="AF13" i="10" s="1"/>
  <c r="T13" i="10" a="1"/>
  <c r="T13" i="10" s="1"/>
  <c r="AE13" i="10" s="1" a="1"/>
  <c r="AE13" i="10" s="1"/>
  <c r="S13" i="10" a="1"/>
  <c r="S13" i="10" s="1"/>
  <c r="AD13" i="10" s="1" a="1"/>
  <c r="AD13" i="10" s="1"/>
  <c r="R13" i="10" a="1"/>
  <c r="R13" i="10" s="1"/>
  <c r="AC13" i="10" s="1" a="1"/>
  <c r="AC13" i="10" s="1"/>
  <c r="Q13" i="10" a="1"/>
  <c r="Q13" i="10" s="1"/>
  <c r="AB13" i="10" s="1" a="1"/>
  <c r="AB13" i="10" s="1"/>
  <c r="P13" i="10" a="1"/>
  <c r="P13" i="10" s="1"/>
  <c r="AA13" i="10" s="1" a="1"/>
  <c r="AA13" i="10" s="1"/>
  <c r="O13" i="10" a="1"/>
  <c r="O13" i="10" s="1"/>
  <c r="N13" i="10" a="1"/>
  <c r="N13" i="10" s="1"/>
  <c r="G13" i="10" a="1"/>
  <c r="G13" i="10" s="1"/>
  <c r="F11" i="1"/>
  <c r="F11" i="8"/>
  <c r="X31" i="9" a="1"/>
  <c r="X31" i="9" s="1"/>
  <c r="W31" i="9" a="1"/>
  <c r="W31" i="9" s="1"/>
  <c r="V31" i="9" a="1"/>
  <c r="V31" i="9" s="1"/>
  <c r="U31" i="9" a="1"/>
  <c r="U31" i="9" s="1"/>
  <c r="T31" i="9" a="1"/>
  <c r="T31" i="9" s="1"/>
  <c r="S31" i="9" a="1"/>
  <c r="S31" i="9" s="1"/>
  <c r="R31" i="9" a="1"/>
  <c r="R31" i="9" s="1"/>
  <c r="Q31" i="9"/>
  <c r="Q31" i="9" a="1"/>
  <c r="P31" i="9" a="1"/>
  <c r="P31" i="9" s="1"/>
  <c r="O31" i="9" a="1"/>
  <c r="O31" i="9" s="1"/>
  <c r="N31" i="9" a="1"/>
  <c r="N31" i="9" s="1"/>
  <c r="G31" i="9" a="1"/>
  <c r="G31" i="9" s="1"/>
  <c r="AI30" i="9" a="1"/>
  <c r="AI30" i="9" s="1"/>
  <c r="X30" i="9" a="1"/>
  <c r="X30" i="9" s="1"/>
  <c r="W30" i="9" a="1"/>
  <c r="W30" i="9" s="1"/>
  <c r="AH30" i="9" s="1" a="1"/>
  <c r="AH30" i="9" s="1"/>
  <c r="V30" i="9"/>
  <c r="AG30" i="9" s="1" a="1"/>
  <c r="AG30" i="9" s="1"/>
  <c r="V30" i="9" a="1"/>
  <c r="U30" i="9"/>
  <c r="AF30" i="9" s="1" a="1"/>
  <c r="AF30" i="9" s="1"/>
  <c r="U30" i="9" a="1"/>
  <c r="T30" i="9" a="1"/>
  <c r="T30" i="9" s="1"/>
  <c r="AE30" i="9" s="1" a="1"/>
  <c r="AE30" i="9" s="1"/>
  <c r="S30" i="9" a="1"/>
  <c r="S30" i="9" s="1"/>
  <c r="AD30" i="9" s="1" a="1"/>
  <c r="AD30" i="9" s="1"/>
  <c r="R30" i="9" a="1"/>
  <c r="R30" i="9" s="1"/>
  <c r="AC30" i="9" s="1" a="1"/>
  <c r="AC30" i="9" s="1"/>
  <c r="Q30" i="9"/>
  <c r="Q30" i="9" a="1"/>
  <c r="P30" i="9" a="1"/>
  <c r="P30" i="9" s="1"/>
  <c r="O30" i="9" a="1"/>
  <c r="O30" i="9" s="1"/>
  <c r="N30" i="9" a="1"/>
  <c r="N30" i="9" s="1"/>
  <c r="G30" i="9" a="1"/>
  <c r="G30" i="9" s="1"/>
  <c r="X29" i="9" a="1"/>
  <c r="X29" i="9" s="1"/>
  <c r="AI29" i="9" s="1" a="1"/>
  <c r="AI29" i="9" s="1"/>
  <c r="W29" i="9" a="1"/>
  <c r="W29" i="9" s="1"/>
  <c r="AH29" i="9" s="1" a="1"/>
  <c r="AH29" i="9" s="1"/>
  <c r="V29" i="9" a="1"/>
  <c r="V29" i="9" s="1"/>
  <c r="AG29" i="9" s="1" a="1"/>
  <c r="AG29" i="9" s="1"/>
  <c r="U29" i="9" a="1"/>
  <c r="U29" i="9" s="1"/>
  <c r="AF29" i="9" s="1" a="1"/>
  <c r="AF29" i="9" s="1"/>
  <c r="T29" i="9" a="1"/>
  <c r="T29" i="9" s="1"/>
  <c r="AE29" i="9" s="1" a="1"/>
  <c r="AE29" i="9" s="1"/>
  <c r="S29" i="9"/>
  <c r="AD29" i="9" s="1" a="1"/>
  <c r="AD29" i="9" s="1"/>
  <c r="S29" i="9" a="1"/>
  <c r="R29" i="9" a="1"/>
  <c r="R29" i="9" s="1"/>
  <c r="AC29" i="9" s="1" a="1"/>
  <c r="AC29" i="9" s="1"/>
  <c r="Q29" i="9" a="1"/>
  <c r="Q29" i="9" s="1"/>
  <c r="P29" i="9" a="1"/>
  <c r="P29" i="9" s="1"/>
  <c r="O29" i="9"/>
  <c r="O29" i="9" a="1"/>
  <c r="N29" i="9" a="1"/>
  <c r="N29" i="9" s="1"/>
  <c r="G29" i="9" a="1"/>
  <c r="G29" i="9" s="1"/>
  <c r="X28" i="9" a="1"/>
  <c r="X28" i="9" s="1"/>
  <c r="AI28" i="9" s="1" a="1"/>
  <c r="AI28" i="9" s="1"/>
  <c r="W28" i="9" a="1"/>
  <c r="W28" i="9" s="1"/>
  <c r="AH28" i="9" s="1" a="1"/>
  <c r="AH28" i="9" s="1"/>
  <c r="V28" i="9" a="1"/>
  <c r="V28" i="9" s="1"/>
  <c r="AG28" i="9" s="1" a="1"/>
  <c r="AG28" i="9" s="1"/>
  <c r="U28" i="9" a="1"/>
  <c r="U28" i="9" s="1"/>
  <c r="AF28" i="9" s="1" a="1"/>
  <c r="AF28" i="9" s="1"/>
  <c r="T28" i="9" a="1"/>
  <c r="T28" i="9" s="1"/>
  <c r="AE28" i="9" s="1" a="1"/>
  <c r="AE28" i="9" s="1"/>
  <c r="S28" i="9" a="1"/>
  <c r="S28" i="9" s="1"/>
  <c r="AD28" i="9" s="1" a="1"/>
  <c r="AD28" i="9" s="1"/>
  <c r="R28" i="9" a="1"/>
  <c r="R28" i="9" s="1"/>
  <c r="AC28" i="9" s="1" a="1"/>
  <c r="AC28" i="9" s="1"/>
  <c r="Q28" i="9" a="1"/>
  <c r="Q28" i="9" s="1"/>
  <c r="AB28" i="9" s="1" a="1"/>
  <c r="AB28" i="9" s="1"/>
  <c r="P28" i="9" a="1"/>
  <c r="P28" i="9" s="1"/>
  <c r="AA28" i="9" s="1" a="1"/>
  <c r="AA28" i="9" s="1"/>
  <c r="O28" i="9" a="1"/>
  <c r="O28" i="9" s="1"/>
  <c r="N28" i="9" a="1"/>
  <c r="N28" i="9" s="1"/>
  <c r="G28" i="9" a="1"/>
  <c r="G28" i="9" s="1"/>
  <c r="AD27" i="9" a="1"/>
  <c r="AD27" i="9" s="1"/>
  <c r="X27" i="9" a="1"/>
  <c r="X27" i="9" s="1"/>
  <c r="AI27" i="9" s="1" a="1"/>
  <c r="AI27" i="9" s="1"/>
  <c r="W27" i="9" a="1"/>
  <c r="W27" i="9" s="1"/>
  <c r="AH27" i="9" s="1" a="1"/>
  <c r="AH27" i="9" s="1"/>
  <c r="V27" i="9" a="1"/>
  <c r="V27" i="9" s="1"/>
  <c r="AG27" i="9" s="1" a="1"/>
  <c r="AG27" i="9" s="1"/>
  <c r="U27" i="9" a="1"/>
  <c r="U27" i="9" s="1"/>
  <c r="AF27" i="9" s="1" a="1"/>
  <c r="AF27" i="9" s="1"/>
  <c r="T27" i="9" a="1"/>
  <c r="T27" i="9" s="1"/>
  <c r="AE27" i="9" s="1" a="1"/>
  <c r="AE27" i="9" s="1"/>
  <c r="S27" i="9" a="1"/>
  <c r="S27" i="9" s="1"/>
  <c r="R27" i="9" a="1"/>
  <c r="R27" i="9" s="1"/>
  <c r="AC27" i="9" s="1" a="1"/>
  <c r="AC27" i="9" s="1"/>
  <c r="Q27" i="9"/>
  <c r="AB27" i="9" s="1" a="1"/>
  <c r="AB27" i="9" s="1"/>
  <c r="Q27" i="9" a="1"/>
  <c r="P27" i="9" a="1"/>
  <c r="P27" i="9" s="1"/>
  <c r="O27" i="9" a="1"/>
  <c r="O27" i="9" s="1"/>
  <c r="N27" i="9" a="1"/>
  <c r="N27" i="9" s="1"/>
  <c r="G27" i="9" a="1"/>
  <c r="G27" i="9" s="1"/>
  <c r="X26" i="9" a="1"/>
  <c r="X26" i="9" s="1"/>
  <c r="AI26" i="9" s="1" a="1"/>
  <c r="AI26" i="9" s="1"/>
  <c r="W26" i="9" a="1"/>
  <c r="W26" i="9" s="1"/>
  <c r="AH26" i="9" s="1" a="1"/>
  <c r="AH26" i="9" s="1"/>
  <c r="V26" i="9" a="1"/>
  <c r="V26" i="9" s="1"/>
  <c r="AG26" i="9" s="1" a="1"/>
  <c r="AG26" i="9" s="1"/>
  <c r="U26" i="9" a="1"/>
  <c r="U26" i="9" s="1"/>
  <c r="AF26" i="9" s="1" a="1"/>
  <c r="AF26" i="9" s="1"/>
  <c r="T26" i="9" a="1"/>
  <c r="T26" i="9" s="1"/>
  <c r="AE26" i="9" s="1" a="1"/>
  <c r="AE26" i="9" s="1"/>
  <c r="S26" i="9" a="1"/>
  <c r="S26" i="9" s="1"/>
  <c r="AD26" i="9" s="1" a="1"/>
  <c r="AD26" i="9" s="1"/>
  <c r="R26" i="9" a="1"/>
  <c r="R26" i="9" s="1"/>
  <c r="AC26" i="9" s="1" a="1"/>
  <c r="AC26" i="9" s="1"/>
  <c r="Q26" i="9" a="1"/>
  <c r="Q26" i="9" s="1"/>
  <c r="AB26" i="9" s="1" a="1"/>
  <c r="AB26" i="9" s="1"/>
  <c r="P26" i="9" a="1"/>
  <c r="P26" i="9" s="1"/>
  <c r="O26" i="9" a="1"/>
  <c r="O26" i="9" s="1"/>
  <c r="N26" i="9" a="1"/>
  <c r="N26" i="9" s="1"/>
  <c r="G26" i="9" a="1"/>
  <c r="G26" i="9" s="1"/>
  <c r="X25" i="9" a="1"/>
  <c r="X25" i="9" s="1"/>
  <c r="AI25" i="9" s="1" a="1"/>
  <c r="AI25" i="9" s="1"/>
  <c r="W25" i="9" a="1"/>
  <c r="W25" i="9" s="1"/>
  <c r="AH25" i="9" s="1" a="1"/>
  <c r="AH25" i="9" s="1"/>
  <c r="V25" i="9" a="1"/>
  <c r="V25" i="9" s="1"/>
  <c r="AG25" i="9" s="1" a="1"/>
  <c r="AG25" i="9" s="1"/>
  <c r="U25" i="9" a="1"/>
  <c r="U25" i="9" s="1"/>
  <c r="AF25" i="9" s="1" a="1"/>
  <c r="AF25" i="9" s="1"/>
  <c r="T25" i="9" a="1"/>
  <c r="T25" i="9" s="1"/>
  <c r="AE25" i="9" s="1" a="1"/>
  <c r="AE25" i="9" s="1"/>
  <c r="S25" i="9" a="1"/>
  <c r="S25" i="9" s="1"/>
  <c r="AD25" i="9" s="1" a="1"/>
  <c r="AD25" i="9" s="1"/>
  <c r="R25" i="9" a="1"/>
  <c r="R25" i="9" s="1"/>
  <c r="AC25" i="9" s="1" a="1"/>
  <c r="AC25" i="9" s="1"/>
  <c r="Q25" i="9" a="1"/>
  <c r="Q25" i="9" s="1"/>
  <c r="P25" i="9" a="1"/>
  <c r="P25" i="9" s="1"/>
  <c r="O25" i="9" a="1"/>
  <c r="O25" i="9" s="1"/>
  <c r="N25" i="9" a="1"/>
  <c r="N25" i="9" s="1"/>
  <c r="G25" i="9" a="1"/>
  <c r="G25" i="9" s="1"/>
  <c r="X24" i="9" a="1"/>
  <c r="X24" i="9" s="1"/>
  <c r="AI24" i="9" s="1" a="1"/>
  <c r="AI24" i="9" s="1"/>
  <c r="W24" i="9" a="1"/>
  <c r="W24" i="9" s="1"/>
  <c r="AH24" i="9" s="1" a="1"/>
  <c r="AH24" i="9" s="1"/>
  <c r="V24" i="9" a="1"/>
  <c r="V24" i="9" s="1"/>
  <c r="AG24" i="9" s="1" a="1"/>
  <c r="AG24" i="9" s="1"/>
  <c r="U24" i="9" a="1"/>
  <c r="U24" i="9" s="1"/>
  <c r="AF24" i="9" s="1" a="1"/>
  <c r="AF24" i="9" s="1"/>
  <c r="T24" i="9" a="1"/>
  <c r="T24" i="9" s="1"/>
  <c r="AE24" i="9" s="1" a="1"/>
  <c r="AE24" i="9" s="1"/>
  <c r="S24" i="9" a="1"/>
  <c r="S24" i="9" s="1"/>
  <c r="AD24" i="9" s="1" a="1"/>
  <c r="AD24" i="9" s="1"/>
  <c r="R24" i="9" a="1"/>
  <c r="R24" i="9" s="1"/>
  <c r="AC24" i="9" s="1" a="1"/>
  <c r="AC24" i="9" s="1"/>
  <c r="Q24" i="9" a="1"/>
  <c r="Q24" i="9" s="1"/>
  <c r="AB24" i="9" s="1" a="1"/>
  <c r="AB24" i="9" s="1"/>
  <c r="P24" i="9" a="1"/>
  <c r="P24" i="9" s="1"/>
  <c r="O24" i="9" a="1"/>
  <c r="O24" i="9" s="1"/>
  <c r="N24" i="9" a="1"/>
  <c r="N24" i="9" s="1"/>
  <c r="G24" i="9" a="1"/>
  <c r="G24" i="9" s="1"/>
  <c r="X23" i="9" a="1"/>
  <c r="X23" i="9" s="1"/>
  <c r="AI23" i="9" s="1" a="1"/>
  <c r="AI23" i="9" s="1"/>
  <c r="W23" i="9" a="1"/>
  <c r="W23" i="9" s="1"/>
  <c r="AH23" i="9" s="1" a="1"/>
  <c r="AH23" i="9" s="1"/>
  <c r="V23" i="9" a="1"/>
  <c r="V23" i="9" s="1"/>
  <c r="AG23" i="9" s="1" a="1"/>
  <c r="AG23" i="9" s="1"/>
  <c r="U23" i="9" a="1"/>
  <c r="U23" i="9" s="1"/>
  <c r="AF23" i="9" s="1" a="1"/>
  <c r="AF23" i="9" s="1"/>
  <c r="T23" i="9" a="1"/>
  <c r="T23" i="9" s="1"/>
  <c r="AE23" i="9" s="1" a="1"/>
  <c r="AE23" i="9" s="1"/>
  <c r="S23" i="9" a="1"/>
  <c r="S23" i="9" s="1"/>
  <c r="AD23" i="9" s="1" a="1"/>
  <c r="AD23" i="9" s="1"/>
  <c r="R23" i="9" a="1"/>
  <c r="R23" i="9" s="1"/>
  <c r="AC23" i="9" s="1" a="1"/>
  <c r="AC23" i="9" s="1"/>
  <c r="Q23" i="9" a="1"/>
  <c r="Q23" i="9" s="1"/>
  <c r="AB23" i="9" s="1" a="1"/>
  <c r="AB23" i="9" s="1"/>
  <c r="P23" i="9" a="1"/>
  <c r="P23" i="9" s="1"/>
  <c r="O23" i="9" a="1"/>
  <c r="O23" i="9" s="1"/>
  <c r="N23" i="9" a="1"/>
  <c r="N23" i="9" s="1"/>
  <c r="G23" i="9" a="1"/>
  <c r="G23" i="9" s="1"/>
  <c r="X22" i="9" a="1"/>
  <c r="X22" i="9" s="1"/>
  <c r="AI22" i="9" s="1" a="1"/>
  <c r="AI22" i="9" s="1"/>
  <c r="W22" i="9" a="1"/>
  <c r="W22" i="9" s="1"/>
  <c r="AH22" i="9" s="1" a="1"/>
  <c r="AH22" i="9" s="1"/>
  <c r="V22" i="9" a="1"/>
  <c r="V22" i="9" s="1"/>
  <c r="AG22" i="9" s="1" a="1"/>
  <c r="AG22" i="9" s="1"/>
  <c r="U22" i="9" a="1"/>
  <c r="U22" i="9" s="1"/>
  <c r="AF22" i="9" s="1" a="1"/>
  <c r="AF22" i="9" s="1"/>
  <c r="T22" i="9" a="1"/>
  <c r="T22" i="9" s="1"/>
  <c r="AE22" i="9" s="1" a="1"/>
  <c r="AE22" i="9" s="1"/>
  <c r="S22" i="9" a="1"/>
  <c r="S22" i="9" s="1"/>
  <c r="AD22" i="9" s="1" a="1"/>
  <c r="AD22" i="9" s="1"/>
  <c r="R22" i="9" a="1"/>
  <c r="R22" i="9" s="1"/>
  <c r="AC22" i="9" s="1" a="1"/>
  <c r="AC22" i="9" s="1"/>
  <c r="Q22" i="9" a="1"/>
  <c r="Q22" i="9" s="1"/>
  <c r="AB22" i="9" s="1" a="1"/>
  <c r="AB22" i="9" s="1"/>
  <c r="P22" i="9" a="1"/>
  <c r="P22" i="9" s="1"/>
  <c r="O22" i="9" a="1"/>
  <c r="O22" i="9" s="1"/>
  <c r="N22" i="9" a="1"/>
  <c r="N22" i="9" s="1"/>
  <c r="G22" i="9" a="1"/>
  <c r="G22" i="9" s="1"/>
  <c r="X21" i="9" a="1"/>
  <c r="X21" i="9" s="1"/>
  <c r="AI21" i="9" s="1" a="1"/>
  <c r="AI21" i="9" s="1"/>
  <c r="W21" i="9" a="1"/>
  <c r="W21" i="9" s="1"/>
  <c r="AH21" i="9" s="1" a="1"/>
  <c r="AH21" i="9" s="1"/>
  <c r="V21" i="9" a="1"/>
  <c r="V21" i="9" s="1"/>
  <c r="AG21" i="9" s="1" a="1"/>
  <c r="AG21" i="9" s="1"/>
  <c r="U21" i="9" a="1"/>
  <c r="U21" i="9" s="1"/>
  <c r="AF21" i="9" s="1" a="1"/>
  <c r="AF21" i="9" s="1"/>
  <c r="T21" i="9" a="1"/>
  <c r="T21" i="9" s="1"/>
  <c r="AE21" i="9" s="1" a="1"/>
  <c r="AE21" i="9" s="1"/>
  <c r="S21" i="9" a="1"/>
  <c r="S21" i="9" s="1"/>
  <c r="AD21" i="9" s="1" a="1"/>
  <c r="AD21" i="9" s="1"/>
  <c r="R21" i="9" a="1"/>
  <c r="R21" i="9" s="1"/>
  <c r="AC21" i="9" s="1" a="1"/>
  <c r="AC21" i="9" s="1"/>
  <c r="Q21" i="9" a="1"/>
  <c r="Q21" i="9" s="1"/>
  <c r="AB21" i="9" s="1" a="1"/>
  <c r="AB21" i="9" s="1"/>
  <c r="P21" i="9" a="1"/>
  <c r="P21" i="9" s="1"/>
  <c r="AA21" i="9" s="1" a="1"/>
  <c r="AA21" i="9" s="1"/>
  <c r="O21" i="9" a="1"/>
  <c r="O21" i="9" s="1"/>
  <c r="N21" i="9" a="1"/>
  <c r="N21" i="9" s="1"/>
  <c r="G21" i="9" a="1"/>
  <c r="G21" i="9" s="1"/>
  <c r="X20" i="9" a="1"/>
  <c r="X20" i="9" s="1"/>
  <c r="AI20" i="9" s="1" a="1"/>
  <c r="AI20" i="9" s="1"/>
  <c r="W20" i="9" a="1"/>
  <c r="W20" i="9" s="1"/>
  <c r="AH20" i="9" s="1" a="1"/>
  <c r="AH20" i="9" s="1"/>
  <c r="V20" i="9" a="1"/>
  <c r="V20" i="9" s="1"/>
  <c r="AG20" i="9" s="1" a="1"/>
  <c r="AG20" i="9" s="1"/>
  <c r="U20" i="9" a="1"/>
  <c r="U20" i="9" s="1"/>
  <c r="AF20" i="9" s="1" a="1"/>
  <c r="AF20" i="9" s="1"/>
  <c r="T20" i="9" a="1"/>
  <c r="T20" i="9" s="1"/>
  <c r="AE20" i="9" s="1" a="1"/>
  <c r="AE20" i="9" s="1"/>
  <c r="S20" i="9" a="1"/>
  <c r="S20" i="9" s="1"/>
  <c r="AD20" i="9" s="1" a="1"/>
  <c r="AD20" i="9" s="1"/>
  <c r="R20" i="9" a="1"/>
  <c r="R20" i="9" s="1"/>
  <c r="AC20" i="9" s="1" a="1"/>
  <c r="AC20" i="9" s="1"/>
  <c r="Q20" i="9" a="1"/>
  <c r="Q20" i="9" s="1"/>
  <c r="AB20" i="9" s="1" a="1"/>
  <c r="AB20" i="9" s="1"/>
  <c r="P20" i="9" a="1"/>
  <c r="P20" i="9" s="1"/>
  <c r="AA20" i="9" s="1" a="1"/>
  <c r="AA20" i="9" s="1"/>
  <c r="O20" i="9" a="1"/>
  <c r="O20" i="9" s="1"/>
  <c r="N20" i="9" a="1"/>
  <c r="N20" i="9" s="1"/>
  <c r="G20" i="9"/>
  <c r="G20" i="9" a="1"/>
  <c r="X19" i="9" a="1"/>
  <c r="X19" i="9" s="1"/>
  <c r="AI19" i="9" s="1" a="1"/>
  <c r="AI19" i="9" s="1"/>
  <c r="W19" i="9" a="1"/>
  <c r="W19" i="9" s="1"/>
  <c r="AH19" i="9" s="1" a="1"/>
  <c r="AH19" i="9" s="1"/>
  <c r="V19" i="9" a="1"/>
  <c r="V19" i="9" s="1"/>
  <c r="AG19" i="9" s="1" a="1"/>
  <c r="AG19" i="9" s="1"/>
  <c r="U19" i="9" a="1"/>
  <c r="U19" i="9" s="1"/>
  <c r="AF19" i="9" s="1" a="1"/>
  <c r="AF19" i="9" s="1"/>
  <c r="T19" i="9" a="1"/>
  <c r="T19" i="9" s="1"/>
  <c r="AE19" i="9" s="1" a="1"/>
  <c r="AE19" i="9" s="1"/>
  <c r="S19" i="9" a="1"/>
  <c r="S19" i="9" s="1"/>
  <c r="AD19" i="9" s="1" a="1"/>
  <c r="AD19" i="9" s="1"/>
  <c r="R19" i="9" a="1"/>
  <c r="R19" i="9" s="1"/>
  <c r="AC19" i="9" s="1" a="1"/>
  <c r="AC19" i="9" s="1"/>
  <c r="Q19" i="9" a="1"/>
  <c r="Q19" i="9" s="1"/>
  <c r="P19" i="9" a="1"/>
  <c r="P19" i="9" s="1"/>
  <c r="O19" i="9" a="1"/>
  <c r="O19" i="9" s="1"/>
  <c r="N19" i="9" a="1"/>
  <c r="N19" i="9" s="1"/>
  <c r="G19" i="9" a="1"/>
  <c r="G19" i="9" s="1"/>
  <c r="X18" i="9" a="1"/>
  <c r="X18" i="9" s="1"/>
  <c r="AI18" i="9" s="1" a="1"/>
  <c r="AI18" i="9" s="1"/>
  <c r="W18" i="9" a="1"/>
  <c r="W18" i="9" s="1"/>
  <c r="AH18" i="9" s="1" a="1"/>
  <c r="AH18" i="9" s="1"/>
  <c r="V18" i="9" a="1"/>
  <c r="V18" i="9" s="1"/>
  <c r="AG18" i="9" s="1" a="1"/>
  <c r="AG18" i="9" s="1"/>
  <c r="U18" i="9" a="1"/>
  <c r="U18" i="9" s="1"/>
  <c r="AF18" i="9" s="1" a="1"/>
  <c r="AF18" i="9" s="1"/>
  <c r="T18" i="9" a="1"/>
  <c r="T18" i="9" s="1"/>
  <c r="AE18" i="9" s="1" a="1"/>
  <c r="AE18" i="9" s="1"/>
  <c r="S18" i="9" a="1"/>
  <c r="S18" i="9" s="1"/>
  <c r="AD18" i="9" s="1" a="1"/>
  <c r="AD18" i="9" s="1"/>
  <c r="R18" i="9" a="1"/>
  <c r="R18" i="9" s="1"/>
  <c r="Q18" i="9" a="1"/>
  <c r="Q18" i="9" s="1"/>
  <c r="P18" i="9" a="1"/>
  <c r="P18" i="9" s="1"/>
  <c r="O18" i="9" a="1"/>
  <c r="O18" i="9" s="1"/>
  <c r="N18" i="9" a="1"/>
  <c r="N18" i="9" s="1"/>
  <c r="G18" i="9"/>
  <c r="G18" i="9" a="1"/>
  <c r="X17" i="9" a="1"/>
  <c r="X17" i="9" s="1"/>
  <c r="AI17" i="9" s="1" a="1"/>
  <c r="AI17" i="9" s="1"/>
  <c r="W17" i="9" a="1"/>
  <c r="W17" i="9" s="1"/>
  <c r="AH17" i="9" s="1" a="1"/>
  <c r="AH17" i="9" s="1"/>
  <c r="V17" i="9" a="1"/>
  <c r="V17" i="9" s="1"/>
  <c r="AG17" i="9" s="1" a="1"/>
  <c r="AG17" i="9" s="1"/>
  <c r="U17" i="9" a="1"/>
  <c r="U17" i="9" s="1"/>
  <c r="AF17" i="9" s="1" a="1"/>
  <c r="AF17" i="9" s="1"/>
  <c r="T17" i="9" a="1"/>
  <c r="T17" i="9" s="1"/>
  <c r="AE17" i="9" s="1" a="1"/>
  <c r="AE17" i="9" s="1"/>
  <c r="S17" i="9" a="1"/>
  <c r="S17" i="9" s="1"/>
  <c r="AD17" i="9" s="1" a="1"/>
  <c r="AD17" i="9" s="1"/>
  <c r="R17" i="9" a="1"/>
  <c r="R17" i="9" s="1"/>
  <c r="Q17" i="9" a="1"/>
  <c r="Q17" i="9" s="1"/>
  <c r="P17" i="9" a="1"/>
  <c r="P17" i="9" s="1"/>
  <c r="O17" i="9" a="1"/>
  <c r="O17" i="9" s="1"/>
  <c r="N17" i="9" a="1"/>
  <c r="N17" i="9" s="1"/>
  <c r="G17" i="9" a="1"/>
  <c r="G17" i="9" s="1"/>
  <c r="X16" i="9" a="1"/>
  <c r="X16" i="9" s="1"/>
  <c r="AI16" i="9" s="1" a="1"/>
  <c r="AI16" i="9" s="1"/>
  <c r="W16" i="9" a="1"/>
  <c r="W16" i="9" s="1"/>
  <c r="AH16" i="9" s="1" a="1"/>
  <c r="AH16" i="9" s="1"/>
  <c r="V16" i="9" a="1"/>
  <c r="V16" i="9" s="1"/>
  <c r="AG16" i="9" s="1" a="1"/>
  <c r="AG16" i="9" s="1"/>
  <c r="U16" i="9" a="1"/>
  <c r="U16" i="9" s="1"/>
  <c r="AF16" i="9" s="1" a="1"/>
  <c r="AF16" i="9" s="1"/>
  <c r="T16" i="9" a="1"/>
  <c r="T16" i="9" s="1"/>
  <c r="AE16" i="9" s="1" a="1"/>
  <c r="AE16" i="9" s="1"/>
  <c r="S16" i="9" a="1"/>
  <c r="S16" i="9" s="1"/>
  <c r="AD16" i="9" s="1" a="1"/>
  <c r="AD16" i="9" s="1"/>
  <c r="R16" i="9" a="1"/>
  <c r="R16" i="9" s="1"/>
  <c r="AC16" i="9" s="1" a="1"/>
  <c r="AC16" i="9" s="1"/>
  <c r="Q16" i="9" a="1"/>
  <c r="Q16" i="9" s="1"/>
  <c r="AB16" i="9" s="1" a="1"/>
  <c r="AB16" i="9" s="1"/>
  <c r="P16" i="9" a="1"/>
  <c r="P16" i="9" s="1"/>
  <c r="AA16" i="9" s="1" a="1"/>
  <c r="AA16" i="9" s="1"/>
  <c r="O16" i="9" a="1"/>
  <c r="O16" i="9" s="1"/>
  <c r="N16" i="9" a="1"/>
  <c r="N16" i="9" s="1"/>
  <c r="G16" i="9" a="1"/>
  <c r="G16" i="9" s="1"/>
  <c r="X15" i="9" a="1"/>
  <c r="X15" i="9" s="1"/>
  <c r="AI15" i="9" s="1" a="1"/>
  <c r="AI15" i="9" s="1"/>
  <c r="W15" i="9" a="1"/>
  <c r="W15" i="9" s="1"/>
  <c r="AH15" i="9" s="1" a="1"/>
  <c r="AH15" i="9" s="1"/>
  <c r="V15" i="9" a="1"/>
  <c r="V15" i="9" s="1"/>
  <c r="AG15" i="9" s="1" a="1"/>
  <c r="AG15" i="9" s="1"/>
  <c r="U15" i="9" a="1"/>
  <c r="U15" i="9" s="1"/>
  <c r="AF15" i="9" s="1" a="1"/>
  <c r="AF15" i="9" s="1"/>
  <c r="T15" i="9" a="1"/>
  <c r="T15" i="9" s="1"/>
  <c r="AE15" i="9" s="1" a="1"/>
  <c r="AE15" i="9" s="1"/>
  <c r="S15" i="9" a="1"/>
  <c r="S15" i="9" s="1"/>
  <c r="AD15" i="9" s="1" a="1"/>
  <c r="AD15" i="9" s="1"/>
  <c r="R15" i="9" a="1"/>
  <c r="R15" i="9" s="1"/>
  <c r="AC15" i="9" s="1" a="1"/>
  <c r="AC15" i="9" s="1"/>
  <c r="Q15" i="9" a="1"/>
  <c r="Q15" i="9" s="1"/>
  <c r="AB15" i="9" s="1" a="1"/>
  <c r="AB15" i="9" s="1"/>
  <c r="P15" i="9" a="1"/>
  <c r="P15" i="9" s="1"/>
  <c r="O15" i="9" a="1"/>
  <c r="O15" i="9" s="1"/>
  <c r="N15" i="9" a="1"/>
  <c r="N15" i="9" s="1"/>
  <c r="G15" i="9" a="1"/>
  <c r="G15" i="9" s="1"/>
  <c r="X14" i="9" a="1"/>
  <c r="X14" i="9" s="1"/>
  <c r="AI14" i="9" s="1" a="1"/>
  <c r="AI14" i="9" s="1"/>
  <c r="W14" i="9" a="1"/>
  <c r="W14" i="9" s="1"/>
  <c r="AH14" i="9" s="1" a="1"/>
  <c r="AH14" i="9" s="1"/>
  <c r="V14" i="9" a="1"/>
  <c r="V14" i="9" s="1"/>
  <c r="AG14" i="9" s="1" a="1"/>
  <c r="AG14" i="9" s="1"/>
  <c r="U14" i="9" a="1"/>
  <c r="U14" i="9" s="1"/>
  <c r="AF14" i="9" s="1" a="1"/>
  <c r="AF14" i="9" s="1"/>
  <c r="T14" i="9" a="1"/>
  <c r="T14" i="9" s="1"/>
  <c r="AE14" i="9" s="1" a="1"/>
  <c r="AE14" i="9" s="1"/>
  <c r="S14" i="9" a="1"/>
  <c r="S14" i="9" s="1"/>
  <c r="AD14" i="9" s="1" a="1"/>
  <c r="AD14" i="9" s="1"/>
  <c r="R14" i="9" a="1"/>
  <c r="R14" i="9" s="1"/>
  <c r="AC14" i="9" s="1" a="1"/>
  <c r="AC14" i="9" s="1"/>
  <c r="Q14" i="9" a="1"/>
  <c r="Q14" i="9" s="1"/>
  <c r="P14" i="9" a="1"/>
  <c r="P14" i="9" s="1"/>
  <c r="O14" i="9" a="1"/>
  <c r="O14" i="9" s="1"/>
  <c r="N14" i="9" a="1"/>
  <c r="N14" i="9" s="1"/>
  <c r="G14" i="9" a="1"/>
  <c r="G14" i="9" s="1"/>
  <c r="X13" i="9" a="1"/>
  <c r="X13" i="9" s="1"/>
  <c r="AI13" i="9" s="1" a="1"/>
  <c r="AI13" i="9" s="1"/>
  <c r="W13" i="9" a="1"/>
  <c r="W13" i="9" s="1"/>
  <c r="AH13" i="9" s="1" a="1"/>
  <c r="AH13" i="9" s="1"/>
  <c r="V13" i="9" a="1"/>
  <c r="V13" i="9" s="1"/>
  <c r="AG13" i="9" s="1" a="1"/>
  <c r="AG13" i="9" s="1"/>
  <c r="U13" i="9" a="1"/>
  <c r="U13" i="9" s="1"/>
  <c r="AF13" i="9" s="1" a="1"/>
  <c r="AF13" i="9" s="1"/>
  <c r="T13" i="9" a="1"/>
  <c r="T13" i="9" s="1"/>
  <c r="AE13" i="9" s="1" a="1"/>
  <c r="AE13" i="9" s="1"/>
  <c r="S13" i="9" a="1"/>
  <c r="S13" i="9" s="1"/>
  <c r="AD13" i="9" s="1" a="1"/>
  <c r="AD13" i="9" s="1"/>
  <c r="R13" i="9" a="1"/>
  <c r="R13" i="9" s="1"/>
  <c r="AC13" i="9" s="1" a="1"/>
  <c r="AC13" i="9" s="1"/>
  <c r="Q13" i="9" a="1"/>
  <c r="Q13" i="9" s="1"/>
  <c r="AB13" i="9" s="1" a="1"/>
  <c r="AB13" i="9" s="1"/>
  <c r="P13" i="9" a="1"/>
  <c r="P13" i="9" s="1"/>
  <c r="AA13" i="9" s="1" a="1"/>
  <c r="AA13" i="9" s="1"/>
  <c r="O13" i="9" a="1"/>
  <c r="O13" i="9" s="1"/>
  <c r="N13" i="9" a="1"/>
  <c r="N13" i="9" s="1"/>
  <c r="G13" i="9" a="1"/>
  <c r="G13" i="9" s="1"/>
  <c r="X17" i="8" a="1"/>
  <c r="X17" i="8" s="1"/>
  <c r="AI17" i="8" s="1" a="1"/>
  <c r="AI17" i="8" s="1"/>
  <c r="W17" i="8" a="1"/>
  <c r="W17" i="8" s="1"/>
  <c r="AH17" i="8" s="1" a="1"/>
  <c r="AH17" i="8" s="1"/>
  <c r="V17" i="8" a="1"/>
  <c r="V17" i="8" s="1"/>
  <c r="AG17" i="8" s="1" a="1"/>
  <c r="AG17" i="8" s="1"/>
  <c r="U17" i="8" a="1"/>
  <c r="U17" i="8" s="1"/>
  <c r="AF17" i="8" s="1" a="1"/>
  <c r="AF17" i="8" s="1"/>
  <c r="T17" i="8" a="1"/>
  <c r="T17" i="8" s="1"/>
  <c r="AE17" i="8" s="1" a="1"/>
  <c r="AE17" i="8" s="1"/>
  <c r="S17" i="8" a="1"/>
  <c r="S17" i="8" s="1"/>
  <c r="AD17" i="8" s="1" a="1"/>
  <c r="AD17" i="8" s="1"/>
  <c r="R17" i="8" a="1"/>
  <c r="R17" i="8" s="1"/>
  <c r="AC17" i="8" s="1" a="1"/>
  <c r="AC17" i="8" s="1"/>
  <c r="Q17" i="8" a="1"/>
  <c r="Q17" i="8" s="1"/>
  <c r="P17" i="8" a="1"/>
  <c r="P17" i="8" s="1"/>
  <c r="O17" i="8" a="1"/>
  <c r="O17" i="8" s="1"/>
  <c r="N17" i="8" a="1"/>
  <c r="N17" i="8" s="1"/>
  <c r="X16" i="8" a="1"/>
  <c r="X16" i="8" s="1"/>
  <c r="AI16" i="8" s="1" a="1"/>
  <c r="AI16" i="8" s="1"/>
  <c r="W16" i="8" a="1"/>
  <c r="W16" i="8" s="1"/>
  <c r="AH16" i="8" s="1" a="1"/>
  <c r="AH16" i="8" s="1"/>
  <c r="V16" i="8" a="1"/>
  <c r="V16" i="8" s="1"/>
  <c r="AG16" i="8" s="1" a="1"/>
  <c r="AG16" i="8" s="1"/>
  <c r="U16" i="8" a="1"/>
  <c r="U16" i="8" s="1"/>
  <c r="AF16" i="8" s="1" a="1"/>
  <c r="AF16" i="8" s="1"/>
  <c r="T16" i="8" a="1"/>
  <c r="T16" i="8" s="1"/>
  <c r="AE16" i="8" s="1" a="1"/>
  <c r="AE16" i="8" s="1"/>
  <c r="S16" i="8" a="1"/>
  <c r="S16" i="8" s="1"/>
  <c r="AD16" i="8" s="1" a="1"/>
  <c r="AD16" i="8" s="1"/>
  <c r="R16" i="8" a="1"/>
  <c r="R16" i="8" s="1"/>
  <c r="Q16" i="8" a="1"/>
  <c r="Q16" i="8" s="1"/>
  <c r="P16" i="8" a="1"/>
  <c r="P16" i="8" s="1"/>
  <c r="O16" i="8" a="1"/>
  <c r="O16" i="8" s="1"/>
  <c r="N16" i="8" a="1"/>
  <c r="N16" i="8" s="1"/>
  <c r="X15" i="8" a="1"/>
  <c r="X15" i="8" s="1"/>
  <c r="AI15" i="8" s="1" a="1"/>
  <c r="AI15" i="8" s="1"/>
  <c r="W15" i="8" a="1"/>
  <c r="W15" i="8" s="1"/>
  <c r="AH15" i="8" s="1" a="1"/>
  <c r="AH15" i="8" s="1"/>
  <c r="V15" i="8" a="1"/>
  <c r="V15" i="8" s="1"/>
  <c r="AG15" i="8" s="1" a="1"/>
  <c r="AG15" i="8" s="1"/>
  <c r="U15" i="8" a="1"/>
  <c r="U15" i="8" s="1"/>
  <c r="AF15" i="8" s="1" a="1"/>
  <c r="AF15" i="8" s="1"/>
  <c r="T15" i="8" a="1"/>
  <c r="T15" i="8" s="1"/>
  <c r="AE15" i="8" s="1" a="1"/>
  <c r="AE15" i="8" s="1"/>
  <c r="S15" i="8" a="1"/>
  <c r="S15" i="8" s="1"/>
  <c r="AD15" i="8" s="1" a="1"/>
  <c r="AD15" i="8" s="1"/>
  <c r="R15" i="8" a="1"/>
  <c r="R15" i="8" s="1"/>
  <c r="Q15" i="8" a="1"/>
  <c r="Q15" i="8" s="1"/>
  <c r="P15" i="8" a="1"/>
  <c r="P15" i="8" s="1"/>
  <c r="O15" i="8" a="1"/>
  <c r="O15" i="8" s="1"/>
  <c r="N15" i="8" a="1"/>
  <c r="N15" i="8" s="1"/>
  <c r="G15" i="8" a="1"/>
  <c r="G15" i="8" s="1"/>
  <c r="X14" i="8" a="1"/>
  <c r="X14" i="8" s="1"/>
  <c r="AI14" i="8" s="1" a="1"/>
  <c r="AI14" i="8" s="1"/>
  <c r="W14" i="8" a="1"/>
  <c r="W14" i="8" s="1"/>
  <c r="AH14" i="8" s="1" a="1"/>
  <c r="AH14" i="8" s="1"/>
  <c r="V14" i="8" a="1"/>
  <c r="V14" i="8" s="1"/>
  <c r="AG14" i="8" s="1" a="1"/>
  <c r="AG14" i="8" s="1"/>
  <c r="U14" i="8" a="1"/>
  <c r="U14" i="8" s="1"/>
  <c r="AF14" i="8" s="1" a="1"/>
  <c r="AF14" i="8" s="1"/>
  <c r="T14" i="8" a="1"/>
  <c r="T14" i="8" s="1"/>
  <c r="AE14" i="8" s="1" a="1"/>
  <c r="AE14" i="8" s="1"/>
  <c r="S14" i="8" a="1"/>
  <c r="S14" i="8" s="1"/>
  <c r="AD14" i="8" s="1" a="1"/>
  <c r="AD14" i="8" s="1"/>
  <c r="R14" i="8" a="1"/>
  <c r="R14" i="8" s="1"/>
  <c r="Q14" i="8" a="1"/>
  <c r="Q14" i="8" s="1"/>
  <c r="P14" i="8" a="1"/>
  <c r="P14" i="8" s="1"/>
  <c r="O14" i="8" a="1"/>
  <c r="O14" i="8" s="1"/>
  <c r="N14" i="8" a="1"/>
  <c r="N14" i="8" s="1"/>
  <c r="G14" i="8" a="1"/>
  <c r="G14" i="8" s="1"/>
  <c r="X13" i="8" a="1"/>
  <c r="X13" i="8" s="1"/>
  <c r="AI13" i="8" s="1" a="1"/>
  <c r="AI13" i="8" s="1"/>
  <c r="W13" i="8" a="1"/>
  <c r="W13" i="8" s="1"/>
  <c r="AH13" i="8" s="1" a="1"/>
  <c r="AH13" i="8" s="1"/>
  <c r="V13" i="8" a="1"/>
  <c r="V13" i="8" s="1"/>
  <c r="AG13" i="8" s="1" a="1"/>
  <c r="AG13" i="8" s="1"/>
  <c r="U13" i="8" a="1"/>
  <c r="U13" i="8" s="1"/>
  <c r="AF13" i="8" s="1" a="1"/>
  <c r="AF13" i="8" s="1"/>
  <c r="T13" i="8" a="1"/>
  <c r="T13" i="8" s="1"/>
  <c r="AE13" i="8" s="1" a="1"/>
  <c r="AE13" i="8" s="1"/>
  <c r="S13" i="8" a="1"/>
  <c r="S13" i="8" s="1"/>
  <c r="R13" i="8" a="1"/>
  <c r="R13" i="8" s="1"/>
  <c r="Q13" i="8" a="1"/>
  <c r="Q13" i="8" s="1"/>
  <c r="P13" i="8" a="1"/>
  <c r="P13" i="8" s="1"/>
  <c r="O13" i="8" a="1"/>
  <c r="O13" i="8" s="1"/>
  <c r="N13" i="8" a="1"/>
  <c r="N13" i="8" s="1"/>
  <c r="G13" i="8" a="1"/>
  <c r="G13" i="8" s="1"/>
  <c r="C6" i="5"/>
  <c r="C5" i="5"/>
  <c r="C4" i="5"/>
  <c r="C3" i="5"/>
  <c r="C2" i="5"/>
  <c r="C20" i="4"/>
  <c r="Z18" i="1" l="1" a="1"/>
  <c r="Z18" i="1" s="1"/>
  <c r="Y18" i="1" a="1"/>
  <c r="Y18" i="1" s="1"/>
  <c r="C10" i="4"/>
  <c r="E12" i="14"/>
  <c r="G18" i="2"/>
  <c r="H20" i="2" s="1"/>
  <c r="G11" i="13"/>
  <c r="H23" i="12"/>
  <c r="AA23" i="12" s="1" a="1"/>
  <c r="AA23" i="12" s="1"/>
  <c r="H24" i="12"/>
  <c r="Z24" i="12" s="1" a="1"/>
  <c r="Z24" i="12" s="1"/>
  <c r="G11" i="12"/>
  <c r="H13" i="12"/>
  <c r="Z13" i="12" s="1" a="1"/>
  <c r="Z13" i="12" s="1"/>
  <c r="H17" i="12"/>
  <c r="H28" i="12"/>
  <c r="G11" i="10"/>
  <c r="H13" i="10" s="1"/>
  <c r="H20" i="9"/>
  <c r="L20" i="9" s="1"/>
  <c r="G11" i="9"/>
  <c r="H29" i="9" s="1"/>
  <c r="G11" i="8"/>
  <c r="H16" i="8" s="1"/>
  <c r="L16" i="8" s="1"/>
  <c r="H32" i="13" l="1"/>
  <c r="H33" i="13"/>
  <c r="Y33" i="13" s="1" a="1"/>
  <c r="Y33" i="13" s="1"/>
  <c r="J33" i="13" s="1" a="1"/>
  <c r="J33" i="13" s="1"/>
  <c r="H34" i="13"/>
  <c r="H35" i="13"/>
  <c r="Y35" i="13" s="1" a="1"/>
  <c r="Y35" i="13" s="1"/>
  <c r="J35" i="13" s="1" a="1"/>
  <c r="J35" i="13" s="1"/>
  <c r="H36" i="13"/>
  <c r="J18" i="1" a="1"/>
  <c r="J18" i="1" s="1"/>
  <c r="H17" i="8"/>
  <c r="L17" i="8" s="1"/>
  <c r="H29" i="13"/>
  <c r="AA29" i="13" s="1" a="1"/>
  <c r="AA29" i="13" s="1"/>
  <c r="H14" i="10"/>
  <c r="H19" i="10"/>
  <c r="L19" i="10" s="1"/>
  <c r="H15" i="10"/>
  <c r="H20" i="10"/>
  <c r="Z20" i="10" s="1" a="1"/>
  <c r="Z20" i="10" s="1"/>
  <c r="H21" i="10"/>
  <c r="L21" i="10" s="1"/>
  <c r="H16" i="10"/>
  <c r="AB16" i="10" s="1" a="1"/>
  <c r="AB16" i="10" s="1"/>
  <c r="H17" i="10"/>
  <c r="H18" i="10"/>
  <c r="H13" i="8"/>
  <c r="H15" i="8"/>
  <c r="AA24" i="12" a="1"/>
  <c r="AA24" i="12" s="1"/>
  <c r="AC16" i="8" a="1"/>
  <c r="AC16" i="8" s="1"/>
  <c r="F17" i="14"/>
  <c r="F14" i="14"/>
  <c r="X14" i="14" s="1" a="1"/>
  <c r="X14" i="14" s="1"/>
  <c r="F16" i="14"/>
  <c r="F18" i="14"/>
  <c r="F15" i="14"/>
  <c r="L20" i="2"/>
  <c r="Z20" i="2" a="1"/>
  <c r="Z20" i="2" s="1"/>
  <c r="Y20" i="2" a="1"/>
  <c r="Y20" i="2" s="1"/>
  <c r="H21" i="2"/>
  <c r="Y13" i="12" a="1"/>
  <c r="Y13" i="12" s="1"/>
  <c r="J13" i="12" s="1" a="1"/>
  <c r="J13" i="12" s="1"/>
  <c r="H26" i="13"/>
  <c r="H22" i="13"/>
  <c r="H19" i="13"/>
  <c r="H24" i="13"/>
  <c r="H28" i="13"/>
  <c r="H30" i="13"/>
  <c r="H27" i="13"/>
  <c r="H21" i="13"/>
  <c r="H20" i="13"/>
  <c r="H17" i="13"/>
  <c r="H13" i="13"/>
  <c r="H15" i="13"/>
  <c r="H25" i="13"/>
  <c r="H23" i="13"/>
  <c r="H16" i="13"/>
  <c r="H31" i="13"/>
  <c r="H18" i="13"/>
  <c r="H14" i="13"/>
  <c r="L23" i="12"/>
  <c r="Z23" i="12" a="1"/>
  <c r="Z23" i="12" s="1"/>
  <c r="Y23" i="12" a="1"/>
  <c r="Y23" i="12" s="1"/>
  <c r="L17" i="12"/>
  <c r="AC17" i="12" a="1"/>
  <c r="AC17" i="12" s="1"/>
  <c r="L13" i="12"/>
  <c r="L28" i="12"/>
  <c r="Y28" i="12" a="1"/>
  <c r="Y28" i="12" s="1"/>
  <c r="H27" i="12"/>
  <c r="H31" i="12"/>
  <c r="H25" i="12"/>
  <c r="H15" i="12"/>
  <c r="H14" i="12"/>
  <c r="H30" i="12"/>
  <c r="H29" i="12"/>
  <c r="H21" i="12"/>
  <c r="H19" i="12"/>
  <c r="H18" i="12"/>
  <c r="H16" i="12"/>
  <c r="L24" i="12"/>
  <c r="Y24" i="12" a="1"/>
  <c r="Y24" i="12" s="1"/>
  <c r="H26" i="12"/>
  <c r="Z17" i="12" a="1"/>
  <c r="Z17" i="12" s="1"/>
  <c r="AA17" i="12" a="1"/>
  <c r="AA17" i="12" s="1"/>
  <c r="H22" i="12"/>
  <c r="Z28" i="12" a="1"/>
  <c r="Z28" i="12" s="1"/>
  <c r="H20" i="12"/>
  <c r="AB17" i="12" a="1"/>
  <c r="AB17" i="12" s="1"/>
  <c r="Y17" i="12" a="1"/>
  <c r="Y17" i="12" s="1"/>
  <c r="AA21" i="10" a="1"/>
  <c r="AA21" i="10" s="1"/>
  <c r="AB21" i="10" a="1"/>
  <c r="AB21" i="10" s="1"/>
  <c r="L29" i="9"/>
  <c r="AB29" i="9" a="1"/>
  <c r="AB29" i="9" s="1"/>
  <c r="Z29" i="9" a="1"/>
  <c r="Z29" i="9" s="1"/>
  <c r="AA29" i="9" a="1"/>
  <c r="AA29" i="9" s="1"/>
  <c r="Y29" i="9" a="1"/>
  <c r="Y29" i="9" s="1"/>
  <c r="H31" i="9"/>
  <c r="Y20" i="9" a="1"/>
  <c r="Y20" i="9" s="1"/>
  <c r="H16" i="9"/>
  <c r="Z20" i="9" a="1"/>
  <c r="Z20" i="9" s="1"/>
  <c r="H14" i="9"/>
  <c r="H25" i="9"/>
  <c r="H17" i="9"/>
  <c r="H26" i="9"/>
  <c r="H30" i="9"/>
  <c r="H27" i="9"/>
  <c r="H13" i="9"/>
  <c r="H18" i="9"/>
  <c r="H19" i="9"/>
  <c r="H15" i="9"/>
  <c r="H23" i="9"/>
  <c r="H28" i="9"/>
  <c r="H24" i="9"/>
  <c r="H21" i="9"/>
  <c r="H22" i="9"/>
  <c r="AA16" i="8" a="1"/>
  <c r="AA16" i="8" s="1"/>
  <c r="Z16" i="8" a="1"/>
  <c r="Z16" i="8" s="1"/>
  <c r="H14" i="8"/>
  <c r="AC14" i="8" s="1" a="1"/>
  <c r="AC14" i="8" s="1"/>
  <c r="L35" i="13" l="1"/>
  <c r="L33" i="13"/>
  <c r="L36" i="13"/>
  <c r="Y36" i="13" a="1"/>
  <c r="Y36" i="13" s="1"/>
  <c r="J36" i="13" s="1" a="1"/>
  <c r="J36" i="13" s="1"/>
  <c r="L34" i="13"/>
  <c r="Y34" i="13" a="1"/>
  <c r="Y34" i="13" s="1"/>
  <c r="J34" i="13" s="1" a="1"/>
  <c r="J34" i="13" s="1"/>
  <c r="L32" i="13"/>
  <c r="Y32" i="13" a="1"/>
  <c r="Y32" i="13" s="1"/>
  <c r="J32" i="13" s="1" a="1"/>
  <c r="J32" i="13" s="1"/>
  <c r="Z21" i="10" a="1"/>
  <c r="Z21" i="10" s="1"/>
  <c r="Y21" i="10" a="1"/>
  <c r="Y21" i="10" s="1"/>
  <c r="Z19" i="10" a="1"/>
  <c r="Z19" i="10" s="1"/>
  <c r="AB29" i="13" a="1"/>
  <c r="AB29" i="13" s="1"/>
  <c r="Y29" i="13" a="1"/>
  <c r="Y29" i="13" s="1"/>
  <c r="L29" i="13"/>
  <c r="Z29" i="13" a="1"/>
  <c r="Z29" i="13" s="1"/>
  <c r="Y13" i="8" a="1"/>
  <c r="Y13" i="8" s="1"/>
  <c r="AD13" i="8" a="1"/>
  <c r="AD13" i="8" s="1"/>
  <c r="AC13" i="8" a="1"/>
  <c r="AC13" i="8" s="1"/>
  <c r="AB13" i="8" a="1"/>
  <c r="AB13" i="8" s="1"/>
  <c r="L15" i="8"/>
  <c r="AB15" i="8" a="1"/>
  <c r="AB15" i="8" s="1"/>
  <c r="AC15" i="8" a="1"/>
  <c r="AC15" i="8" s="1"/>
  <c r="L13" i="8"/>
  <c r="Y19" i="10" a="1"/>
  <c r="Y19" i="10" s="1"/>
  <c r="AA19" i="10" a="1"/>
  <c r="AA19" i="10" s="1"/>
  <c r="AC16" i="10" a="1"/>
  <c r="AC16" i="10" s="1"/>
  <c r="AA16" i="10" a="1"/>
  <c r="AA16" i="10" s="1"/>
  <c r="L20" i="10"/>
  <c r="L16" i="10"/>
  <c r="Z16" i="10" a="1"/>
  <c r="Z16" i="10" s="1"/>
  <c r="Y20" i="10" a="1"/>
  <c r="Y20" i="10" s="1"/>
  <c r="AA20" i="10" a="1"/>
  <c r="AA20" i="10" s="1"/>
  <c r="Y16" i="10" a="1"/>
  <c r="Y16" i="10" s="1"/>
  <c r="Z13" i="8" a="1"/>
  <c r="Z13" i="8" s="1"/>
  <c r="AA13" i="8" a="1"/>
  <c r="AA13" i="8" s="1"/>
  <c r="Y16" i="8" a="1"/>
  <c r="Y16" i="8" s="1"/>
  <c r="AB16" i="8" a="1"/>
  <c r="AB16" i="8" s="1"/>
  <c r="J29" i="9" a="1"/>
  <c r="J29" i="9" s="1"/>
  <c r="J24" i="12" a="1"/>
  <c r="J24" i="12" s="1"/>
  <c r="J20" i="9" a="1"/>
  <c r="J20" i="9" s="1"/>
  <c r="X15" i="14" a="1"/>
  <c r="X15" i="14" s="1"/>
  <c r="W15" i="14" a="1"/>
  <c r="W15" i="14" s="1"/>
  <c r="X18" i="14" a="1"/>
  <c r="X18" i="14" s="1"/>
  <c r="W18" i="14" a="1"/>
  <c r="W18" i="14" s="1"/>
  <c r="J16" i="14"/>
  <c r="X16" i="14" a="1"/>
  <c r="X16" i="14" s="1"/>
  <c r="W16" i="14" a="1"/>
  <c r="W16" i="14" s="1"/>
  <c r="J20" i="2" a="1"/>
  <c r="J20" i="2" s="1"/>
  <c r="J17" i="14"/>
  <c r="X17" i="14" a="1"/>
  <c r="X17" i="14" s="1"/>
  <c r="W17" i="14" a="1"/>
  <c r="W17" i="14" s="1"/>
  <c r="H17" i="14" s="1" a="1"/>
  <c r="H17" i="14" s="1"/>
  <c r="W14" i="14" a="1"/>
  <c r="W14" i="14" s="1"/>
  <c r="H14" i="14" s="1" a="1"/>
  <c r="H14" i="14" s="1"/>
  <c r="J14" i="14"/>
  <c r="J18" i="14"/>
  <c r="J15" i="14"/>
  <c r="F12" i="14"/>
  <c r="H11" i="8"/>
  <c r="J23" i="12" a="1"/>
  <c r="J23" i="12" s="1"/>
  <c r="Y21" i="2" a="1"/>
  <c r="Y21" i="2" s="1"/>
  <c r="AB21" i="2" a="1"/>
  <c r="AB21" i="2" s="1"/>
  <c r="L21" i="2"/>
  <c r="Z21" i="2" a="1"/>
  <c r="Z21" i="2" s="1"/>
  <c r="AA21" i="2" a="1"/>
  <c r="AA21" i="2" s="1"/>
  <c r="H18" i="2"/>
  <c r="H11" i="12"/>
  <c r="L21" i="13"/>
  <c r="Y21" i="13" a="1"/>
  <c r="Y21" i="13" s="1"/>
  <c r="Z21" i="13" a="1"/>
  <c r="Z21" i="13" s="1"/>
  <c r="AA23" i="13" a="1"/>
  <c r="AA23" i="13" s="1"/>
  <c r="L23" i="13"/>
  <c r="Y23" i="13" a="1"/>
  <c r="Y23" i="13" s="1"/>
  <c r="Z23" i="13" a="1"/>
  <c r="Z23" i="13" s="1"/>
  <c r="L31" i="13"/>
  <c r="AG31" i="13" a="1"/>
  <c r="AG31" i="13" s="1"/>
  <c r="Y31" i="13" a="1"/>
  <c r="Y31" i="13" s="1"/>
  <c r="Z31" i="13" a="1"/>
  <c r="Z31" i="13" s="1"/>
  <c r="AF31" i="13" a="1"/>
  <c r="AF31" i="13" s="1"/>
  <c r="AH31" i="13" a="1"/>
  <c r="AH31" i="13" s="1"/>
  <c r="AB31" i="13" a="1"/>
  <c r="AB31" i="13" s="1"/>
  <c r="AE31" i="13" a="1"/>
  <c r="AE31" i="13" s="1"/>
  <c r="AA31" i="13" a="1"/>
  <c r="AA31" i="13" s="1"/>
  <c r="AC31" i="13" a="1"/>
  <c r="AC31" i="13" s="1"/>
  <c r="AI31" i="13" a="1"/>
  <c r="AI31" i="13" s="1"/>
  <c r="AD31" i="13" a="1"/>
  <c r="AD31" i="13" s="1"/>
  <c r="L25" i="13"/>
  <c r="Y25" i="13" a="1"/>
  <c r="Y25" i="13" s="1"/>
  <c r="AB25" i="13" a="1"/>
  <c r="AB25" i="13" s="1"/>
  <c r="AA25" i="13" a="1"/>
  <c r="AA25" i="13" s="1"/>
  <c r="Z25" i="13" a="1"/>
  <c r="Z25" i="13" s="1"/>
  <c r="L28" i="13"/>
  <c r="Z28" i="13" a="1"/>
  <c r="Z28" i="13" s="1"/>
  <c r="Y28" i="13" a="1"/>
  <c r="Y28" i="13" s="1"/>
  <c r="L14" i="13"/>
  <c r="Z14" i="13" a="1"/>
  <c r="Z14" i="13" s="1"/>
  <c r="AB14" i="13" a="1"/>
  <c r="AB14" i="13" s="1"/>
  <c r="Y14" i="13" a="1"/>
  <c r="Y14" i="13" s="1"/>
  <c r="AA14" i="13" a="1"/>
  <c r="AA14" i="13" s="1"/>
  <c r="L30" i="13"/>
  <c r="AB30" i="13" a="1"/>
  <c r="AB30" i="13" s="1"/>
  <c r="Z30" i="13" a="1"/>
  <c r="Z30" i="13" s="1"/>
  <c r="AA30" i="13" a="1"/>
  <c r="AA30" i="13" s="1"/>
  <c r="Y30" i="13" a="1"/>
  <c r="Y30" i="13" s="1"/>
  <c r="L15" i="13"/>
  <c r="AA15" i="13" a="1"/>
  <c r="AA15" i="13" s="1"/>
  <c r="Y15" i="13" a="1"/>
  <c r="Y15" i="13" s="1"/>
  <c r="Z15" i="13" a="1"/>
  <c r="Z15" i="13" s="1"/>
  <c r="L24" i="13"/>
  <c r="Z24" i="13" a="1"/>
  <c r="Z24" i="13" s="1"/>
  <c r="Y24" i="13" a="1"/>
  <c r="Y24" i="13" s="1"/>
  <c r="AA24" i="13" a="1"/>
  <c r="AA24" i="13" s="1"/>
  <c r="L16" i="13"/>
  <c r="Z16" i="13" a="1"/>
  <c r="Z16" i="13" s="1"/>
  <c r="Y16" i="13" a="1"/>
  <c r="Y16" i="13" s="1"/>
  <c r="L18" i="13"/>
  <c r="AC18" i="13" a="1"/>
  <c r="AC18" i="13" s="1"/>
  <c r="AB18" i="13" a="1"/>
  <c r="AB18" i="13" s="1"/>
  <c r="AA18" i="13" a="1"/>
  <c r="AA18" i="13" s="1"/>
  <c r="Y18" i="13" a="1"/>
  <c r="Y18" i="13" s="1"/>
  <c r="Z18" i="13" a="1"/>
  <c r="Z18" i="13" s="1"/>
  <c r="H11" i="13"/>
  <c r="L13" i="13"/>
  <c r="Z13" i="13" a="1"/>
  <c r="Z13" i="13" s="1"/>
  <c r="Y13" i="13" a="1"/>
  <c r="Y13" i="13" s="1"/>
  <c r="Y19" i="13" a="1"/>
  <c r="Y19" i="13" s="1"/>
  <c r="AA19" i="13" a="1"/>
  <c r="AA19" i="13" s="1"/>
  <c r="Z19" i="13" a="1"/>
  <c r="Z19" i="13" s="1"/>
  <c r="L19" i="13"/>
  <c r="AB19" i="13" a="1"/>
  <c r="AB19" i="13" s="1"/>
  <c r="L27" i="13"/>
  <c r="AA27" i="13" a="1"/>
  <c r="AA27" i="13" s="1"/>
  <c r="Z27" i="13" a="1"/>
  <c r="Z27" i="13" s="1"/>
  <c r="Y27" i="13" a="1"/>
  <c r="Y27" i="13" s="1"/>
  <c r="L17" i="13"/>
  <c r="Z17" i="13" a="1"/>
  <c r="Z17" i="13" s="1"/>
  <c r="Y17" i="13" a="1"/>
  <c r="Y17" i="13" s="1"/>
  <c r="AC17" i="13" a="1"/>
  <c r="AC17" i="13" s="1"/>
  <c r="AB17" i="13" a="1"/>
  <c r="AB17" i="13" s="1"/>
  <c r="AA17" i="13" a="1"/>
  <c r="AA17" i="13" s="1"/>
  <c r="L22" i="13"/>
  <c r="AA22" i="13" a="1"/>
  <c r="AA22" i="13" s="1"/>
  <c r="Z22" i="13" a="1"/>
  <c r="Z22" i="13" s="1"/>
  <c r="Y22" i="13" a="1"/>
  <c r="Y22" i="13" s="1"/>
  <c r="L20" i="13"/>
  <c r="Y20" i="13" a="1"/>
  <c r="Y20" i="13" s="1"/>
  <c r="Z20" i="13" a="1"/>
  <c r="Z20" i="13" s="1"/>
  <c r="L26" i="13"/>
  <c r="AA26" i="13" a="1"/>
  <c r="AA26" i="13" s="1"/>
  <c r="Z26" i="13" a="1"/>
  <c r="Z26" i="13" s="1"/>
  <c r="Y26" i="13" a="1"/>
  <c r="Y26" i="13" s="1"/>
  <c r="L21" i="12"/>
  <c r="Z21" i="12" a="1"/>
  <c r="Z21" i="12" s="1"/>
  <c r="Y21" i="12" a="1"/>
  <c r="Y21" i="12" s="1"/>
  <c r="L26" i="12"/>
  <c r="Z26" i="12" a="1"/>
  <c r="Z26" i="12" s="1"/>
  <c r="Y26" i="12" a="1"/>
  <c r="Y26" i="12" s="1"/>
  <c r="AA26" i="12" a="1"/>
  <c r="AA26" i="12" s="1"/>
  <c r="L30" i="12"/>
  <c r="AB30" i="12" a="1"/>
  <c r="AB30" i="12" s="1"/>
  <c r="Z30" i="12" a="1"/>
  <c r="Z30" i="12" s="1"/>
  <c r="AA30" i="12" a="1"/>
  <c r="AA30" i="12" s="1"/>
  <c r="Y30" i="12" a="1"/>
  <c r="Y30" i="12" s="1"/>
  <c r="L14" i="12"/>
  <c r="Z14" i="12" a="1"/>
  <c r="Z14" i="12" s="1"/>
  <c r="AB14" i="12" a="1"/>
  <c r="AB14" i="12" s="1"/>
  <c r="Y14" i="12" a="1"/>
  <c r="Y14" i="12" s="1"/>
  <c r="AA14" i="12" a="1"/>
  <c r="AA14" i="12" s="1"/>
  <c r="J17" i="12" a="1"/>
  <c r="J17" i="12" s="1"/>
  <c r="L15" i="12"/>
  <c r="Z15" i="12" a="1"/>
  <c r="Z15" i="12" s="1"/>
  <c r="Y15" i="12" a="1"/>
  <c r="Y15" i="12" s="1"/>
  <c r="AA15" i="12" a="1"/>
  <c r="AA15" i="12" s="1"/>
  <c r="L29" i="12"/>
  <c r="AB29" i="12" a="1"/>
  <c r="AB29" i="12" s="1"/>
  <c r="Y29" i="12" a="1"/>
  <c r="Y29" i="12" s="1"/>
  <c r="AA29" i="12" a="1"/>
  <c r="AA29" i="12" s="1"/>
  <c r="Z29" i="12" a="1"/>
  <c r="Z29" i="12" s="1"/>
  <c r="L20" i="12"/>
  <c r="Y20" i="12" a="1"/>
  <c r="Y20" i="12" s="1"/>
  <c r="Z20" i="12" a="1"/>
  <c r="Z20" i="12" s="1"/>
  <c r="Z16" i="12" a="1"/>
  <c r="Z16" i="12" s="1"/>
  <c r="L16" i="12"/>
  <c r="Y16" i="12" a="1"/>
  <c r="Y16" i="12" s="1"/>
  <c r="L25" i="12"/>
  <c r="AA25" i="12" a="1"/>
  <c r="AA25" i="12" s="1"/>
  <c r="AB25" i="12" a="1"/>
  <c r="AB25" i="12" s="1"/>
  <c r="Z25" i="12" a="1"/>
  <c r="Z25" i="12" s="1"/>
  <c r="Y25" i="12" a="1"/>
  <c r="Y25" i="12" s="1"/>
  <c r="L18" i="12"/>
  <c r="AA18" i="12" a="1"/>
  <c r="AA18" i="12" s="1"/>
  <c r="AB18" i="12" a="1"/>
  <c r="AB18" i="12" s="1"/>
  <c r="Z18" i="12" a="1"/>
  <c r="Z18" i="12" s="1"/>
  <c r="AC18" i="12" a="1"/>
  <c r="AC18" i="12" s="1"/>
  <c r="Y18" i="12" a="1"/>
  <c r="Y18" i="12" s="1"/>
  <c r="AF31" i="12" a="1"/>
  <c r="AF31" i="12" s="1"/>
  <c r="AB31" i="12" a="1"/>
  <c r="AB31" i="12" s="1"/>
  <c r="L31" i="12"/>
  <c r="AG31" i="12" a="1"/>
  <c r="AG31" i="12" s="1"/>
  <c r="AH31" i="12" a="1"/>
  <c r="AH31" i="12" s="1"/>
  <c r="AC31" i="12" a="1"/>
  <c r="AC31" i="12" s="1"/>
  <c r="AE31" i="12" a="1"/>
  <c r="AE31" i="12" s="1"/>
  <c r="AA31" i="12" a="1"/>
  <c r="AA31" i="12" s="1"/>
  <c r="Z31" i="12" a="1"/>
  <c r="Z31" i="12" s="1"/>
  <c r="AD31" i="12" a="1"/>
  <c r="AD31" i="12" s="1"/>
  <c r="Y31" i="12" a="1"/>
  <c r="Y31" i="12" s="1"/>
  <c r="AI31" i="12" a="1"/>
  <c r="AI31" i="12" s="1"/>
  <c r="L22" i="12"/>
  <c r="AA22" i="12" a="1"/>
  <c r="AA22" i="12" s="1"/>
  <c r="Y22" i="12" a="1"/>
  <c r="Y22" i="12" s="1"/>
  <c r="Z22" i="12" a="1"/>
  <c r="Z22" i="12" s="1"/>
  <c r="L19" i="12"/>
  <c r="AA19" i="12" a="1"/>
  <c r="AA19" i="12" s="1"/>
  <c r="AB19" i="12" a="1"/>
  <c r="AB19" i="12" s="1"/>
  <c r="Y19" i="12" a="1"/>
  <c r="Y19" i="12" s="1"/>
  <c r="Z19" i="12" a="1"/>
  <c r="Z19" i="12" s="1"/>
  <c r="Z27" i="12" a="1"/>
  <c r="Z27" i="12" s="1"/>
  <c r="L27" i="12"/>
  <c r="Y27" i="12" a="1"/>
  <c r="Y27" i="12" s="1"/>
  <c r="AA27" i="12" a="1"/>
  <c r="AA27" i="12" s="1"/>
  <c r="J28" i="12" a="1"/>
  <c r="J28" i="12" s="1"/>
  <c r="Z17" i="10" a="1"/>
  <c r="Z17" i="10" s="1"/>
  <c r="AA17" i="10" a="1"/>
  <c r="AA17" i="10" s="1"/>
  <c r="L17" i="10"/>
  <c r="Y17" i="10" a="1"/>
  <c r="Y17" i="10" s="1"/>
  <c r="AB17" i="10" a="1"/>
  <c r="AB17" i="10" s="1"/>
  <c r="H11" i="10"/>
  <c r="L13" i="10"/>
  <c r="Y13" i="10" a="1"/>
  <c r="Y13" i="10" s="1"/>
  <c r="Z13" i="10" a="1"/>
  <c r="Z13" i="10" s="1"/>
  <c r="L15" i="10"/>
  <c r="AA15" i="10" a="1"/>
  <c r="AA15" i="10" s="1"/>
  <c r="Y15" i="10" a="1"/>
  <c r="Y15" i="10" s="1"/>
  <c r="Z15" i="10" a="1"/>
  <c r="Z15" i="10" s="1"/>
  <c r="L18" i="10"/>
  <c r="Z18" i="10" a="1"/>
  <c r="Z18" i="10" s="1"/>
  <c r="Y18" i="10" a="1"/>
  <c r="Y18" i="10" s="1"/>
  <c r="L14" i="10"/>
  <c r="AA14" i="10" a="1"/>
  <c r="AA14" i="10" s="1"/>
  <c r="AB14" i="10" a="1"/>
  <c r="AB14" i="10" s="1"/>
  <c r="Y14" i="10" a="1"/>
  <c r="Y14" i="10" s="1"/>
  <c r="Z14" i="10" a="1"/>
  <c r="Z14" i="10" s="1"/>
  <c r="L24" i="9"/>
  <c r="Y24" i="9" a="1"/>
  <c r="Y24" i="9" s="1"/>
  <c r="Z24" i="9" a="1"/>
  <c r="Z24" i="9" s="1"/>
  <c r="AA24" i="9" a="1"/>
  <c r="AA24" i="9" s="1"/>
  <c r="L30" i="9"/>
  <c r="Z30" i="9" a="1"/>
  <c r="Z30" i="9" s="1"/>
  <c r="AA30" i="9" a="1"/>
  <c r="AA30" i="9" s="1"/>
  <c r="Y30" i="9" a="1"/>
  <c r="Y30" i="9" s="1"/>
  <c r="AB30" i="9" a="1"/>
  <c r="AB30" i="9" s="1"/>
  <c r="L31" i="9"/>
  <c r="AB31" i="9" a="1"/>
  <c r="AB31" i="9" s="1"/>
  <c r="Y31" i="9" a="1"/>
  <c r="Y31" i="9" s="1"/>
  <c r="Z31" i="9" a="1"/>
  <c r="Z31" i="9" s="1"/>
  <c r="AA31" i="9" a="1"/>
  <c r="AA31" i="9" s="1"/>
  <c r="AD31" i="9" a="1"/>
  <c r="AD31" i="9" s="1"/>
  <c r="AI31" i="9" a="1"/>
  <c r="AI31" i="9" s="1"/>
  <c r="AC31" i="9" a="1"/>
  <c r="AC31" i="9" s="1"/>
  <c r="AH31" i="9" a="1"/>
  <c r="AH31" i="9" s="1"/>
  <c r="AF31" i="9" a="1"/>
  <c r="AF31" i="9" s="1"/>
  <c r="AE31" i="9" a="1"/>
  <c r="AE31" i="9" s="1"/>
  <c r="AG31" i="9" a="1"/>
  <c r="AG31" i="9" s="1"/>
  <c r="L27" i="9"/>
  <c r="Y27" i="9" a="1"/>
  <c r="Y27" i="9" s="1"/>
  <c r="Z27" i="9" a="1"/>
  <c r="Z27" i="9" s="1"/>
  <c r="AA27" i="9" a="1"/>
  <c r="AA27" i="9" s="1"/>
  <c r="Z23" i="9" a="1"/>
  <c r="Z23" i="9" s="1"/>
  <c r="L23" i="9"/>
  <c r="AA23" i="9" a="1"/>
  <c r="AA23" i="9" s="1"/>
  <c r="Y23" i="9" a="1"/>
  <c r="Y23" i="9" s="1"/>
  <c r="L17" i="9"/>
  <c r="AC17" i="9" a="1"/>
  <c r="AC17" i="9" s="1"/>
  <c r="Z17" i="9" a="1"/>
  <c r="Z17" i="9" s="1"/>
  <c r="AB17" i="9" a="1"/>
  <c r="AB17" i="9" s="1"/>
  <c r="Y17" i="9" a="1"/>
  <c r="Y17" i="9" s="1"/>
  <c r="AA17" i="9" a="1"/>
  <c r="AA17" i="9" s="1"/>
  <c r="L13" i="9"/>
  <c r="H11" i="9"/>
  <c r="Z13" i="9" a="1"/>
  <c r="Z13" i="9" s="1"/>
  <c r="Y13" i="9" a="1"/>
  <c r="Y13" i="9" s="1"/>
  <c r="L28" i="9"/>
  <c r="Y28" i="9" a="1"/>
  <c r="Y28" i="9" s="1"/>
  <c r="Z28" i="9" a="1"/>
  <c r="Z28" i="9" s="1"/>
  <c r="L15" i="9"/>
  <c r="Y15" i="9" a="1"/>
  <c r="Y15" i="9" s="1"/>
  <c r="AA15" i="9" a="1"/>
  <c r="AA15" i="9" s="1"/>
  <c r="Z15" i="9" a="1"/>
  <c r="Z15" i="9" s="1"/>
  <c r="L25" i="9"/>
  <c r="Y25" i="9" a="1"/>
  <c r="Y25" i="9" s="1"/>
  <c r="AA25" i="9" a="1"/>
  <c r="AA25" i="9" s="1"/>
  <c r="Z25" i="9" a="1"/>
  <c r="Z25" i="9" s="1"/>
  <c r="AB25" i="9" a="1"/>
  <c r="AB25" i="9" s="1"/>
  <c r="L16" i="9"/>
  <c r="Z16" i="9" a="1"/>
  <c r="Z16" i="9" s="1"/>
  <c r="Y16" i="9" a="1"/>
  <c r="Y16" i="9" s="1"/>
  <c r="L19" i="9"/>
  <c r="Z19" i="9" a="1"/>
  <c r="Z19" i="9" s="1"/>
  <c r="Y19" i="9" a="1"/>
  <c r="Y19" i="9" s="1"/>
  <c r="AB19" i="9" a="1"/>
  <c r="AB19" i="9" s="1"/>
  <c r="AA19" i="9" a="1"/>
  <c r="AA19" i="9" s="1"/>
  <c r="L14" i="9"/>
  <c r="AB14" i="9" a="1"/>
  <c r="AB14" i="9" s="1"/>
  <c r="Y14" i="9" a="1"/>
  <c r="Y14" i="9" s="1"/>
  <c r="AA14" i="9" a="1"/>
  <c r="AA14" i="9" s="1"/>
  <c r="Z14" i="9" a="1"/>
  <c r="Z14" i="9" s="1"/>
  <c r="L22" i="9"/>
  <c r="AA22" i="9" a="1"/>
  <c r="AA22" i="9" s="1"/>
  <c r="Y22" i="9" a="1"/>
  <c r="Y22" i="9" s="1"/>
  <c r="Z22" i="9" a="1"/>
  <c r="Z22" i="9" s="1"/>
  <c r="L21" i="9"/>
  <c r="Z21" i="9" a="1"/>
  <c r="Z21" i="9" s="1"/>
  <c r="Y21" i="9" a="1"/>
  <c r="Y21" i="9" s="1"/>
  <c r="L26" i="9"/>
  <c r="Y26" i="9" a="1"/>
  <c r="Y26" i="9" s="1"/>
  <c r="AA26" i="9" a="1"/>
  <c r="AA26" i="9" s="1"/>
  <c r="Z26" i="9" a="1"/>
  <c r="Z26" i="9" s="1"/>
  <c r="AA18" i="9" a="1"/>
  <c r="AA18" i="9" s="1"/>
  <c r="L18" i="9"/>
  <c r="AC18" i="9" a="1"/>
  <c r="AC18" i="9" s="1"/>
  <c r="Y18" i="9" a="1"/>
  <c r="Y18" i="9" s="1"/>
  <c r="Z18" i="9" a="1"/>
  <c r="Z18" i="9" s="1"/>
  <c r="AB18" i="9" a="1"/>
  <c r="AB18" i="9" s="1"/>
  <c r="Z17" i="8" a="1"/>
  <c r="Z17" i="8" s="1"/>
  <c r="Y17" i="8" a="1"/>
  <c r="Y17" i="8" s="1"/>
  <c r="AB17" i="8" a="1"/>
  <c r="AB17" i="8" s="1"/>
  <c r="AA17" i="8" a="1"/>
  <c r="AA17" i="8" s="1"/>
  <c r="AA15" i="8" a="1"/>
  <c r="AA15" i="8" s="1"/>
  <c r="Y15" i="8" a="1"/>
  <c r="Y15" i="8" s="1"/>
  <c r="Z15" i="8" a="1"/>
  <c r="Z15" i="8" s="1"/>
  <c r="L14" i="8"/>
  <c r="Y14" i="8" a="1"/>
  <c r="Y14" i="8" s="1"/>
  <c r="AB14" i="8" a="1"/>
  <c r="AB14" i="8" s="1"/>
  <c r="Z14" i="8" a="1"/>
  <c r="Z14" i="8" s="1"/>
  <c r="AA14" i="8" a="1"/>
  <c r="AA14" i="8" s="1"/>
  <c r="J22" i="13" l="1" a="1"/>
  <c r="J22" i="13" s="1"/>
  <c r="J20" i="13" a="1"/>
  <c r="J20" i="13" s="1"/>
  <c r="J30" i="13" a="1"/>
  <c r="J30" i="13" s="1"/>
  <c r="J14" i="13" a="1"/>
  <c r="J14" i="13" s="1"/>
  <c r="J27" i="13" a="1"/>
  <c r="J27" i="13" s="1"/>
  <c r="J23" i="13" a="1"/>
  <c r="J23" i="13" s="1"/>
  <c r="J26" i="13" a="1"/>
  <c r="J26" i="13" s="1"/>
  <c r="J24" i="13" a="1"/>
  <c r="J24" i="13" s="1"/>
  <c r="J29" i="13" a="1"/>
  <c r="J29" i="13" s="1"/>
  <c r="J18" i="13" a="1"/>
  <c r="J18" i="13" s="1"/>
  <c r="J28" i="13" a="1"/>
  <c r="J28" i="13" s="1"/>
  <c r="J19" i="13" a="1"/>
  <c r="J19" i="13" s="1"/>
  <c r="J21" i="13" a="1"/>
  <c r="J21" i="13" s="1"/>
  <c r="J31" i="13" a="1"/>
  <c r="J31" i="13" s="1"/>
  <c r="J17" i="13" a="1"/>
  <c r="J17" i="13" s="1"/>
  <c r="J25" i="13" a="1"/>
  <c r="J25" i="13" s="1"/>
  <c r="J16" i="13" a="1"/>
  <c r="J16" i="13" s="1"/>
  <c r="J15" i="13" a="1"/>
  <c r="J15" i="13" s="1"/>
  <c r="J21" i="10" a="1"/>
  <c r="J21" i="10" s="1"/>
  <c r="J19" i="10" a="1"/>
  <c r="J19" i="10" s="1"/>
  <c r="J16" i="10" a="1"/>
  <c r="J16" i="10" s="1"/>
  <c r="J20" i="10" a="1"/>
  <c r="J20" i="10" s="1"/>
  <c r="J13" i="10" a="1"/>
  <c r="J13" i="10" s="1"/>
  <c r="J18" i="10" a="1"/>
  <c r="J18" i="10" s="1"/>
  <c r="J13" i="8" a="1"/>
  <c r="J13" i="8" s="1"/>
  <c r="J15" i="8" a="1"/>
  <c r="J15" i="8" s="1"/>
  <c r="J14" i="8" a="1"/>
  <c r="J14" i="8" s="1"/>
  <c r="J17" i="8" a="1"/>
  <c r="J17" i="8" s="1"/>
  <c r="J16" i="8" a="1"/>
  <c r="J16" i="8" s="1"/>
  <c r="J14" i="10" a="1"/>
  <c r="J14" i="10" s="1"/>
  <c r="J17" i="10" a="1"/>
  <c r="J17" i="10" s="1"/>
  <c r="J15" i="10" a="1"/>
  <c r="J15" i="10" s="1"/>
  <c r="J21" i="9" a="1"/>
  <c r="J21" i="9" s="1"/>
  <c r="J25" i="9" a="1"/>
  <c r="J25" i="9" s="1"/>
  <c r="J16" i="9" a="1"/>
  <c r="J16" i="9" s="1"/>
  <c r="J13" i="9" a="1"/>
  <c r="J13" i="9" s="1"/>
  <c r="J13" i="13" a="1"/>
  <c r="J13" i="13" s="1"/>
  <c r="H16" i="14" a="1"/>
  <c r="H16" i="14" s="1"/>
  <c r="H18" i="14" a="1"/>
  <c r="H18" i="14" s="1"/>
  <c r="J12" i="14"/>
  <c r="H15" i="14" a="1"/>
  <c r="H15" i="14" s="1"/>
  <c r="J21" i="2" a="1"/>
  <c r="J21" i="2" s="1"/>
  <c r="L11" i="8"/>
  <c r="E14" i="4" s="1"/>
  <c r="L18" i="2"/>
  <c r="J19" i="12" a="1"/>
  <c r="J19" i="12" s="1"/>
  <c r="J26" i="12" a="1"/>
  <c r="J26" i="12" s="1"/>
  <c r="J20" i="12" a="1"/>
  <c r="J20" i="12" s="1"/>
  <c r="J15" i="12" a="1"/>
  <c r="J15" i="12" s="1"/>
  <c r="L11" i="12"/>
  <c r="E18" i="4" s="1"/>
  <c r="J21" i="12" a="1"/>
  <c r="J21" i="12" s="1"/>
  <c r="L11" i="13"/>
  <c r="E19" i="4" s="1"/>
  <c r="J31" i="12" a="1"/>
  <c r="J31" i="12" s="1"/>
  <c r="J14" i="12" a="1"/>
  <c r="J14" i="12" s="1"/>
  <c r="J25" i="12" a="1"/>
  <c r="J25" i="12" s="1"/>
  <c r="J27" i="12" a="1"/>
  <c r="J27" i="12" s="1"/>
  <c r="J18" i="12" a="1"/>
  <c r="J18" i="12" s="1"/>
  <c r="J22" i="12" a="1"/>
  <c r="J22" i="12" s="1"/>
  <c r="J30" i="12" a="1"/>
  <c r="J30" i="12" s="1"/>
  <c r="J16" i="12" a="1"/>
  <c r="J16" i="12" s="1"/>
  <c r="J29" i="12" a="1"/>
  <c r="J29" i="12" s="1"/>
  <c r="L11" i="10"/>
  <c r="E16" i="4" s="1"/>
  <c r="J30" i="9" a="1"/>
  <c r="J30" i="9" s="1"/>
  <c r="J23" i="9" a="1"/>
  <c r="J23" i="9" s="1"/>
  <c r="J27" i="9" a="1"/>
  <c r="J27" i="9" s="1"/>
  <c r="J15" i="9" a="1"/>
  <c r="J15" i="9" s="1"/>
  <c r="L11" i="9"/>
  <c r="E17" i="4" s="1"/>
  <c r="J31" i="9" a="1"/>
  <c r="J31" i="9" s="1"/>
  <c r="J18" i="9" a="1"/>
  <c r="J18" i="9" s="1"/>
  <c r="J22" i="9" a="1"/>
  <c r="J22" i="9" s="1"/>
  <c r="J14" i="9" a="1"/>
  <c r="J14" i="9" s="1"/>
  <c r="J17" i="9" a="1"/>
  <c r="J17" i="9" s="1"/>
  <c r="J24" i="9" a="1"/>
  <c r="J24" i="9" s="1"/>
  <c r="J26" i="9" a="1"/>
  <c r="J26" i="9" s="1"/>
  <c r="J19" i="9" a="1"/>
  <c r="J19" i="9" s="1"/>
  <c r="J28" i="9" a="1"/>
  <c r="J28" i="9" s="1"/>
  <c r="G11" i="1" l="1"/>
  <c r="H17" i="1" l="1"/>
  <c r="Z17" i="1" s="1" a="1"/>
  <c r="Z17" i="1" s="1"/>
  <c r="H15" i="1"/>
  <c r="Z15" i="1" s="1" a="1"/>
  <c r="Z15" i="1" s="1"/>
  <c r="H16" i="1"/>
  <c r="Z16" i="1" s="1" a="1"/>
  <c r="Z16" i="1" s="1"/>
  <c r="L18" i="1"/>
  <c r="H14" i="1"/>
  <c r="Z14" i="1" s="1" a="1"/>
  <c r="Z14" i="1" s="1"/>
  <c r="H13" i="1"/>
  <c r="L13" i="1" s="1"/>
  <c r="L15" i="1" l="1"/>
  <c r="Y15" i="1" a="1"/>
  <c r="Y15" i="1" s="1"/>
  <c r="J15" i="1" s="1" a="1"/>
  <c r="J15" i="1" s="1"/>
  <c r="L16" i="1"/>
  <c r="Y16" i="1" a="1"/>
  <c r="Y16" i="1" s="1"/>
  <c r="J16" i="1" s="1" a="1"/>
  <c r="J16" i="1" s="1"/>
  <c r="L17" i="1"/>
  <c r="Y17" i="1" a="1"/>
  <c r="Y17" i="1" s="1"/>
  <c r="J17" i="1" s="1" a="1"/>
  <c r="J17" i="1" s="1"/>
  <c r="Y13" i="1" a="1"/>
  <c r="Y13" i="1" s="1"/>
  <c r="L14" i="1"/>
  <c r="Y14" i="1" a="1"/>
  <c r="Y14" i="1" s="1"/>
  <c r="J14" i="1" s="1" a="1"/>
  <c r="J14" i="1" s="1"/>
  <c r="AA13" i="1" a="1"/>
  <c r="AA13" i="1" s="1"/>
  <c r="AB13" i="1" a="1"/>
  <c r="AB13" i="1" s="1"/>
  <c r="Z13" i="1" a="1"/>
  <c r="Z13" i="1" s="1"/>
  <c r="H11" i="1"/>
  <c r="J13" i="1" l="1" a="1"/>
  <c r="J13" i="1" s="1"/>
  <c r="L11" i="1" l="1"/>
  <c r="E15" i="4" s="1"/>
  <c r="E2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tc={6EDE6644-28CA-4380-8D66-541E8BD7226B}</author>
    <author>tc={A7A9781F-8B9E-44C3-BBED-9270FFF55B72}</author>
    <author>Jacques Erasmus</author>
  </authors>
  <commentList>
    <comment ref="C13" authorId="0" shapeId="0" xr:uid="{6EDE6644-28CA-4380-8D66-541E8BD7226B}">
      <text>
        <t xml:space="preserve">[Threaded comment]
Your version of Excel allows you to read this threaded comment; however, any edits to it will get removed if the file is opened in a newer version of Excel. Learn more: https://go.microsoft.com/fwlink/?linkid=870924
Comment:
    The Business Requirement Specification document usually contains statements using business or plain English terminology. </t>
      </text>
    </comment>
    <comment ref="C15" authorId="1" shapeId="0" xr:uid="{A7A9781F-8B9E-44C3-BBED-9270FFF55B72}">
      <text>
        <t xml:space="preserve">[Threaded comment]
Your version of Excel allows you to read this threaded comment; however, any edits to it will get removed if the file is opened in a newer version of Excel. Learn more: https://go.microsoft.com/fwlink/?linkid=870924
Comment:
    The logical design document contains a Functional Decomposition Model which has translated the BRS statements into more usable functional statements for purposes of evaluation </t>
      </text>
    </comment>
    <comment ref="F18" authorId="2" shapeId="0" xr:uid="{D030DCB8-7869-417C-83CD-709C71EAA9D4}">
      <text>
        <r>
          <rPr>
            <b/>
            <sz val="9"/>
            <color indexed="81"/>
            <rFont val="Tahoma"/>
            <family val="2"/>
          </rPr>
          <t>Jacques Erasmus:</t>
        </r>
        <r>
          <rPr>
            <sz val="9"/>
            <color indexed="81"/>
            <rFont val="Tahoma"/>
            <family val="2"/>
          </rPr>
          <t xml:space="preserve">
This must be linked to the agreed associatedpercentage from the Scoring Summary sheet</t>
        </r>
      </text>
    </comment>
    <comment ref="B19" authorId="2" shapeId="0" xr:uid="{9D462F7C-8C21-4104-92BE-11224B824450}">
      <text>
        <r>
          <rPr>
            <b/>
            <sz val="9"/>
            <color indexed="81"/>
            <rFont val="Tahoma"/>
            <family val="2"/>
          </rPr>
          <t>Leon Jean Louis:</t>
        </r>
        <r>
          <rPr>
            <sz val="9"/>
            <color indexed="81"/>
            <rFont val="Tahoma"/>
            <family val="2"/>
          </rPr>
          <t xml:space="preserve">
1- In this column define and as far as possible quantify the business/functional requirements in a clear statement. 
2- The statement defines only ONE requirement that will be measured and the scoring guideline (column J) must align to this. </t>
        </r>
      </text>
    </comment>
    <comment ref="H19" authorId="2" shapeId="0" xr:uid="{F04559AF-06CB-404C-A8FA-E239DB3BD809}">
      <text>
        <r>
          <rPr>
            <b/>
            <sz val="9"/>
            <color indexed="81"/>
            <rFont val="Tahoma"/>
            <family val="2"/>
          </rPr>
          <t>Leon Jean-Louis:</t>
        </r>
        <r>
          <rPr>
            <sz val="9"/>
            <color indexed="81"/>
            <rFont val="Tahoma"/>
            <family val="2"/>
          </rPr>
          <t xml:space="preserve">
1- To adjust the question weight, change the priority description (column G)
2- The tab/category weight must only be adjusted on the scoring summary tab any changes to the weighting on the scoring summary tab will automatically update here.</t>
        </r>
      </text>
    </comment>
    <comment ref="M19" authorId="2" shapeId="0" xr:uid="{788F22BF-E414-4AFE-91A8-4E9EF56D7FCC}">
      <text>
        <r>
          <rPr>
            <b/>
            <sz val="9"/>
            <color indexed="81"/>
            <rFont val="Tahoma"/>
            <family val="2"/>
          </rPr>
          <t>Leon Jean-Louis:</t>
        </r>
        <r>
          <rPr>
            <sz val="9"/>
            <color indexed="81"/>
            <rFont val="Tahoma"/>
            <family val="2"/>
          </rPr>
          <t xml:space="preserve">
Evaluators must provide comments for every score given. The comments also assist evaluators to recall how they arrived at their score when asked at a later stage.</t>
        </r>
      </text>
    </comment>
    <comment ref="B20" authorId="2" shapeId="0" xr:uid="{286D35B0-5C6C-4361-BB29-EA88F386C03E}">
      <text>
        <r>
          <rPr>
            <b/>
            <sz val="9"/>
            <color indexed="81"/>
            <rFont val="Tahoma"/>
            <family val="2"/>
          </rPr>
          <t>Leon Jean-Louis:</t>
        </r>
        <r>
          <rPr>
            <sz val="9"/>
            <color indexed="81"/>
            <rFont val="Tahoma"/>
            <family val="2"/>
          </rPr>
          <t xml:space="preserve">
Note: The original statement from the BRS is not always specific enough to quantify scoring. Rather use the statements from the logical design/functional decomposition if it is available - its more technical &amp; specific to what is being evaluated. Where a logical design/functional decomposition is not available revise the BRS statements where applicable so they are specific to what will be evaluated.</t>
        </r>
      </text>
    </comment>
    <comment ref="C20" authorId="2" shapeId="0" xr:uid="{C39B3F16-C3B8-4F5E-976C-E321BDA8FDDB}">
      <text>
        <r>
          <rPr>
            <b/>
            <sz val="9"/>
            <color indexed="81"/>
            <rFont val="Tahoma"/>
            <family val="2"/>
          </rPr>
          <t>Leon Jean-Louis:</t>
        </r>
        <r>
          <rPr>
            <sz val="9"/>
            <color indexed="81"/>
            <rFont val="Tahoma"/>
            <family val="2"/>
          </rPr>
          <t xml:space="preserve">
Its good practice to ask a vendor to provide evidence for their answer but this is not mandatory.
NOTE: When evidence is requested, and a vendor does not provide the required evidence in their response, a TET member may not award points for that response.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Jacques Erasmus</author>
  </authors>
  <commentList>
    <comment ref="C13" authorId="0" shapeId="0" xr:uid="{8559CFC2-EEFD-4762-B12B-00BBDF626F7C}">
      <text>
        <r>
          <rPr>
            <b/>
            <sz val="9"/>
            <color indexed="81"/>
            <rFont val="Tahoma"/>
            <family val="2"/>
          </rPr>
          <t>Jacques Erasmus:</t>
        </r>
        <r>
          <rPr>
            <sz val="9"/>
            <color indexed="81"/>
            <rFont val="Tahoma"/>
            <family val="2"/>
          </rPr>
          <t xml:space="preserve">
This is the MASTER Weight list. It must only be updated here. All other weights must refer to this one. This one must be decided FIRST.</t>
        </r>
      </text>
    </comment>
    <comment ref="D13" authorId="0" shapeId="0" xr:uid="{185A7574-67FD-4B53-8C19-1666ED4DD1A8}">
      <text>
        <r>
          <rPr>
            <b/>
            <sz val="9"/>
            <color indexed="81"/>
            <rFont val="Tahoma"/>
            <family val="2"/>
          </rPr>
          <t>Jacques Erasmus:</t>
        </r>
        <r>
          <rPr>
            <sz val="9"/>
            <color indexed="81"/>
            <rFont val="Tahoma"/>
            <family val="2"/>
          </rPr>
          <t xml:space="preserve">
Acceptable ratio of Score to Weight.
Insert as a percentage.</t>
        </r>
      </text>
    </comment>
    <comment ref="E13" authorId="0" shapeId="0" xr:uid="{D5EFC4A5-C7B2-48FD-8C57-1B71072A1517}">
      <text>
        <r>
          <rPr>
            <b/>
            <sz val="9"/>
            <color indexed="81"/>
            <rFont val="Tahoma"/>
            <family val="2"/>
          </rPr>
          <t>Jacques Erasmus:</t>
        </r>
        <r>
          <rPr>
            <sz val="9"/>
            <color indexed="81"/>
            <rFont val="Tahoma"/>
            <family val="2"/>
          </rPr>
          <t xml:space="preserve">
Condition shading when threshold not provided or threshold not met.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Jacques Erasmus</author>
  </authors>
  <commentList>
    <comment ref="F8" authorId="0" shapeId="0" xr:uid="{7A6D5A5C-47CD-4D7F-B825-81C378B982B7}">
      <text>
        <r>
          <rPr>
            <b/>
            <sz val="9"/>
            <color indexed="81"/>
            <rFont val="Tahoma"/>
            <family val="2"/>
          </rPr>
          <t>Jacques Erasmus:</t>
        </r>
        <r>
          <rPr>
            <sz val="9"/>
            <color indexed="81"/>
            <rFont val="Tahoma"/>
            <family val="2"/>
          </rPr>
          <t xml:space="preserve">
DO NOT DELETE</t>
        </r>
      </text>
    </comment>
    <comment ref="B9" authorId="0" shapeId="0" xr:uid="{5446D0B4-6330-405F-9207-6EE81791BDBA}">
      <text>
        <r>
          <rPr>
            <b/>
            <sz val="9"/>
            <color indexed="81"/>
            <rFont val="Tahoma"/>
            <family val="2"/>
          </rPr>
          <t>Jacques Erasmus:</t>
        </r>
        <r>
          <rPr>
            <sz val="9"/>
            <color indexed="81"/>
            <rFont val="Tahoma"/>
            <family val="2"/>
          </rPr>
          <t xml:space="preserve">
DELETE EMPTY ROWS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tc={F747D8B0-9D8B-45AF-8CEC-CBAEFC9A390A}</author>
  </authors>
  <commentList>
    <comment ref="B14" authorId="0" shapeId="0" xr:uid="{F747D8B0-9D8B-45AF-8CEC-CBAEFC9A390A}">
      <text>
        <t>[Threaded comment]
Your version of Excel allows you to read this threaded comment; however, any edits to it will get removed if the file is opened in a newer version of Excel. Learn more: https://go.microsoft.com/fwlink/?linkid=870924
Comment:
    To Explained more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Jacques Erasmus</author>
  </authors>
  <commentList>
    <comment ref="I12" authorId="0" shapeId="0" xr:uid="{A894B8CA-1621-40EC-B166-F3A19E114097}">
      <text>
        <r>
          <rPr>
            <b/>
            <sz val="9"/>
            <color indexed="81"/>
            <rFont val="Tahoma"/>
            <family val="2"/>
          </rPr>
          <t>Jacques Erasmus:</t>
        </r>
        <r>
          <rPr>
            <sz val="9"/>
            <color indexed="81"/>
            <rFont val="Tahoma"/>
            <family val="2"/>
          </rPr>
          <t xml:space="preserve">
Options must be comma-separated and arrange from best to worst. No other commas allowed.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Jacques Erasmus</author>
  </authors>
  <commentList>
    <comment ref="G13" authorId="0" shapeId="0" xr:uid="{0E0A9425-CC79-4123-A478-ACDF3FFB89A6}">
      <text>
        <r>
          <rPr>
            <b/>
            <sz val="9"/>
            <color indexed="81"/>
            <rFont val="Tahoma"/>
            <family val="2"/>
          </rPr>
          <t>Jacques Erasmus:</t>
        </r>
        <r>
          <rPr>
            <sz val="9"/>
            <color indexed="81"/>
            <rFont val="Tahoma"/>
            <family val="2"/>
          </rPr>
          <t xml:space="preserve">
Options must be comma-separated and arrange from best to worst. No other commas allowed.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<sst xmlns="http://schemas.openxmlformats.org/spreadsheetml/2006/main" count="865" uniqueCount="257">
  <si>
    <r>
      <t xml:space="preserve">This Tab provides guidance to the TET on how the evaluation criteria must be structured and where information can be sourced.
</t>
    </r>
    <r>
      <rPr>
        <b/>
        <u/>
        <sz val="12"/>
        <color rgb="FFFF0000"/>
        <rFont val="Arial"/>
        <family val="2"/>
      </rPr>
      <t>Delete this tab before the TEC is published with the RFP.</t>
    </r>
  </si>
  <si>
    <t>Response Guidelines</t>
  </si>
  <si>
    <t>Once all criteria questions are complete revise the response guidelines tab, the information provided is for vendors to understand what is required of them. 
You may need to rename or adjust the colour coding of the various tabs.
Read through all the information removing what is not applicable and adding important information you want vendors to be aware of.
The template has one reference sheet (Definitions and Abbreviations) it may be necessary to provide vendors with more reference information, which can be listed here.</t>
  </si>
  <si>
    <t>Scoring Summary</t>
  </si>
  <si>
    <t>Gatekeepers are captured here - Gatekeepers are limited to legislative and compliance related criteria only.
Desktop evaluations and demonstrations are separate evaluation stages and the scores may not be added together.
Ensure each stage has a defined threshold
Adjusting the weight for each category on the scoring summary tab will automatically reflect the changes on the respective sheets.
Evaluators scores in each category will also automatically pull through to this sheet
The EL must check the formulas to ensure all are working correctly before evaluations begin.</t>
  </si>
  <si>
    <t>Functional Tab</t>
  </si>
  <si>
    <r>
      <t xml:space="preserve">The functional evaluation specifically seeks to evaluate a given proposal/solution against the functional requirements which must listed in the scope of work. 
The functional requirements can be sourced from the Logical Architecture Design (LAD) where this is applicable. More specifically the Functional Decomposition Model </t>
    </r>
    <r>
      <rPr>
        <sz val="11"/>
        <color rgb="FFFF0000"/>
        <rFont val="Arial"/>
        <family val="2"/>
      </rPr>
      <t>contained within the LAD</t>
    </r>
    <r>
      <rPr>
        <sz val="11"/>
        <color theme="1"/>
        <rFont val="Arial"/>
        <family val="2"/>
      </rPr>
      <t>, lists all the Functional Requirements carefully aligned with industry best practice to ensure complete coverage of the business need. See below the example for the first evaluation criteria.</t>
    </r>
  </si>
  <si>
    <t>EXAMPLE for #1</t>
  </si>
  <si>
    <t>Business Requirement Specification Statement (from the BRS)</t>
  </si>
  <si>
    <t>"The displayed image needs to be flicker free"</t>
  </si>
  <si>
    <t>These statements are developed by a business analyst while engaging with the business in their own language.</t>
  </si>
  <si>
    <t>Functional Business Requirement (from the Logical Design/Functional Decomposition Model)</t>
  </si>
  <si>
    <t>The screen refresh rate should be 60 fps or higher</t>
  </si>
  <si>
    <t>These statements are developed by an architect, which is based on the BRS &amp; designed to be purely functional with a view to use for evaluation, mapping &amp; other analyses.</t>
  </si>
  <si>
    <t>Technical Requirements</t>
  </si>
  <si>
    <t>Vendor Responses</t>
  </si>
  <si>
    <t>Evaluator Scores</t>
  </si>
  <si>
    <t>Sectional Score:</t>
  </si>
  <si>
    <t>Intem#</t>
  </si>
  <si>
    <t xml:space="preserve">Business requirements </t>
  </si>
  <si>
    <r>
      <t xml:space="preserve">Mandatory Returnables - </t>
    </r>
    <r>
      <rPr>
        <sz val="9"/>
        <rFont val="Arial"/>
        <family val="2"/>
      </rPr>
      <t>This colunm lists the mandotory evidence to be provided by the vendor in the technical file and numbered to align with each criteria question.</t>
    </r>
    <r>
      <rPr>
        <b/>
        <sz val="9"/>
        <rFont val="Arial"/>
        <family val="2"/>
      </rPr>
      <t xml:space="preserve"> </t>
    </r>
  </si>
  <si>
    <r>
      <t xml:space="preserve">Vendor Response: </t>
    </r>
    <r>
      <rPr>
        <sz val="9"/>
        <rFont val="Arial"/>
        <family val="2"/>
      </rPr>
      <t>Vendor to indicate if, and to what extent they meet the requirement, detail must be provided in the tender submission</t>
    </r>
  </si>
  <si>
    <r>
      <t xml:space="preserve">Vendor Evidence: </t>
    </r>
    <r>
      <rPr>
        <sz val="9"/>
        <rFont val="Arial"/>
        <family val="2"/>
      </rPr>
      <t>Location of Supporting Document/detailed response in your tender submission (state the file number, section &amp; page number)</t>
    </r>
  </si>
  <si>
    <t>Priority Description</t>
  </si>
  <si>
    <t>Priority</t>
  </si>
  <si>
    <t>Weight</t>
  </si>
  <si>
    <t>Selection Option</t>
  </si>
  <si>
    <t>Option Score</t>
  </si>
  <si>
    <t>Evaluators Response (SELECT)</t>
  </si>
  <si>
    <t>Score</t>
  </si>
  <si>
    <t>Evaluator comments</t>
  </si>
  <si>
    <t>1</t>
  </si>
  <si>
    <t>2</t>
  </si>
  <si>
    <t>3</t>
  </si>
  <si>
    <t>4</t>
  </si>
  <si>
    <t>5</t>
  </si>
  <si>
    <t>6</t>
  </si>
  <si>
    <t>7</t>
  </si>
  <si>
    <t>8</t>
  </si>
  <si>
    <t>9</t>
  </si>
  <si>
    <t>10</t>
  </si>
  <si>
    <t>11</t>
  </si>
  <si>
    <t>12</t>
  </si>
  <si>
    <t>13</t>
  </si>
  <si>
    <t>14</t>
  </si>
  <si>
    <t>15</t>
  </si>
  <si>
    <t>16</t>
  </si>
  <si>
    <t>17</t>
  </si>
  <si>
    <t>18</t>
  </si>
  <si>
    <t>19</t>
  </si>
  <si>
    <t>20</t>
  </si>
  <si>
    <t>21</t>
  </si>
  <si>
    <t>22</t>
  </si>
  <si>
    <t>Eskom requires an application with a screen refresh rate of 60 fps or higher.
(This is the actual evaluation criteria against which the response is being judged - in this example it specifically quantifies how to determine if the screen will be flicker free &amp; smooth i.e. the lower the refresh rate of the screen the worse screen flicker will be evident to the end-user)</t>
  </si>
  <si>
    <t>In your technical response indicate the screen refresh rate and provide a technical specification as evidence of the refresh rate. Note this may also be requested to be physically demonstrated later in the RFP process.</t>
  </si>
  <si>
    <t>&lt;Example for how to complete this column: Technical File, section 5 (company background section), page 11&gt;</t>
  </si>
  <si>
    <t>Important</t>
  </si>
  <si>
    <t>Refresh rate &gt;=60,
Refresh rate &lt;60</t>
  </si>
  <si>
    <t>Refresh rate &gt;=60</t>
  </si>
  <si>
    <t>Appendix G</t>
  </si>
  <si>
    <t>Show stopper</t>
  </si>
  <si>
    <t>abc,
klm,
pqr,
xyz</t>
  </si>
  <si>
    <t xml:space="preserve">
pqr</t>
  </si>
  <si>
    <t>Demonstration tab</t>
  </si>
  <si>
    <t xml:space="preserve">The demonstration tab has important notes to vendors in rows 10 to 13, read these and edit as required by your criteria and evaluation plan. After editing, there must not be any blue text remaining.
If a requirement was evaluated during the desktop evaluation, it may be evaluated again at the demo if there is a need to see/verify the information. 
The demonstration duration agreed to must be strictly adhered to for all vendors for fairness. </t>
  </si>
  <si>
    <t>Tenderer to take note of the following key instructions:</t>
  </si>
  <si>
    <t>Technical Evaluation Guidelines</t>
  </si>
  <si>
    <t>*</t>
  </si>
  <si>
    <r>
      <t xml:space="preserve">Complete </t>
    </r>
    <r>
      <rPr>
        <b/>
        <u/>
        <sz val="11"/>
        <color rgb="FFC00000"/>
        <rFont val="Arial"/>
        <family val="2"/>
      </rPr>
      <t>ALL</t>
    </r>
    <r>
      <rPr>
        <sz val="11"/>
        <color rgb="FF000000"/>
        <rFont val="Arial"/>
        <family val="2"/>
      </rPr>
      <t xml:space="preserve"> </t>
    </r>
    <r>
      <rPr>
        <sz val="11"/>
        <color indexed="8"/>
        <rFont val="Arial"/>
        <family val="2"/>
      </rPr>
      <t>the worksheets listed below.</t>
    </r>
  </si>
  <si>
    <t>Scoring Summary (Gatekeeper questions)</t>
  </si>
  <si>
    <t>Gatekeepers</t>
  </si>
  <si>
    <t>Key Requirements</t>
  </si>
  <si>
    <t>Functional</t>
  </si>
  <si>
    <t>Non-Functional</t>
  </si>
  <si>
    <t>Integration</t>
  </si>
  <si>
    <t>Testing</t>
  </si>
  <si>
    <t>Security</t>
  </si>
  <si>
    <t>Demonstration</t>
  </si>
  <si>
    <t xml:space="preserve"> </t>
  </si>
  <si>
    <t>Reference Information</t>
  </si>
  <si>
    <t xml:space="preserve">Definitions and Abbreviations
</t>
  </si>
  <si>
    <t>Provides information on the definitions and abbreviations used in the Evaluation workbook.</t>
  </si>
  <si>
    <t>Tender Number:</t>
  </si>
  <si>
    <t>&lt;insert before tender publication&gt;</t>
  </si>
  <si>
    <t>Transaction Description:</t>
  </si>
  <si>
    <t>Enterprise Historian</t>
  </si>
  <si>
    <t>Evaluated Tenderer's Registered Name:</t>
  </si>
  <si>
    <t>&lt;Evaluator to complete&gt;</t>
  </si>
  <si>
    <t>Evaluator Name and Surname:</t>
  </si>
  <si>
    <t>Eskom Group Technology:  Technical Evaluation Criteria</t>
  </si>
  <si>
    <t>Date of Evaluation</t>
  </si>
  <si>
    <t>Evaluator Signature</t>
  </si>
  <si>
    <t xml:space="preserve">Ver 7.x </t>
  </si>
  <si>
    <t>Gatekeeper Evaluation</t>
  </si>
  <si>
    <t>Tick to indicate if there are gatekeepers for this assessment:</t>
  </si>
  <si>
    <t>Desktop Evaluation Scoring Summary</t>
  </si>
  <si>
    <t>Evaluation Category</t>
  </si>
  <si>
    <t>Threshold</t>
  </si>
  <si>
    <t xml:space="preserve">Total </t>
  </si>
  <si>
    <t>Eskom Group Technology: 
Technical Evaluation Criteria
GATEKEEPER CRITERIA</t>
  </si>
  <si>
    <t>Gatekeeper Requirements</t>
  </si>
  <si>
    <r>
      <t xml:space="preserve">Mandatory Returnables - </t>
    </r>
    <r>
      <rPr>
        <sz val="8"/>
        <rFont val="Arial"/>
        <family val="2"/>
      </rPr>
      <t>Evidence below to be provided in the technical file and numbered to align with each criteria question.</t>
    </r>
    <r>
      <rPr>
        <b/>
        <sz val="8"/>
        <rFont val="Arial"/>
        <family val="2"/>
      </rPr>
      <t xml:space="preserve"> </t>
    </r>
  </si>
  <si>
    <r>
      <t xml:space="preserve">Vendor Response: </t>
    </r>
    <r>
      <rPr>
        <sz val="8"/>
        <rFont val="Arial"/>
        <family val="2"/>
      </rPr>
      <t>Vendor to provide answer the questions below and provide detail in their tender submission</t>
    </r>
  </si>
  <si>
    <r>
      <t xml:space="preserve">Vendor Evidence: </t>
    </r>
    <r>
      <rPr>
        <sz val="8"/>
        <rFont val="Arial"/>
        <family val="2"/>
      </rPr>
      <t>Location of Supporting Document/detailed response in your tender submission (state the file number, section &amp; page number)</t>
    </r>
  </si>
  <si>
    <t>Scoring</t>
  </si>
  <si>
    <t>System Implementation – Confirm that the Vendor is an accredited/endorsed PI implementation/solution provider</t>
  </si>
  <si>
    <t>Pass</t>
  </si>
  <si>
    <t>Licensing – Confirm that the Vendor is authorised to sell PI software licences</t>
  </si>
  <si>
    <t>Provide written proof  confirming that your company is an authorised software licence reseller for the PI system.</t>
  </si>
  <si>
    <t>Confirm that the Vendor has experience and on AVEVA eDNA</t>
  </si>
  <si>
    <t>Vendor to provide evidence of prior experience with AVEVA eDNA.</t>
  </si>
  <si>
    <t>Eskom Group Technology: 
Technical Evaluation Criteria</t>
  </si>
  <si>
    <t>Resources / Experience (Pi or AVEVA EDNa historian  products)</t>
  </si>
  <si>
    <t>Provide confirmation indicating experience of resources on historian products (most experienced person) That will be allocated to the project</t>
  </si>
  <si>
    <t>Critical</t>
  </si>
  <si>
    <t>5 Years or more,
4 Years,
3 Years,
1 Years,
Less than 1 Years</t>
  </si>
  <si>
    <t>5 Years or more</t>
  </si>
  <si>
    <t>Number of Certified resources available (Pi or AVEVA EDNa historian  products)</t>
  </si>
  <si>
    <t>Provide a list of resources and Pi accreditation certificates available to the project.</t>
  </si>
  <si>
    <t>Yes, No</t>
  </si>
  <si>
    <t>Yes</t>
  </si>
  <si>
    <t>Vendor reference sites of previous implementation of  Pi or similar process historian  products.</t>
  </si>
  <si>
    <t>Provide a reference letter to show that a supplier deployed 2 sites  list of recent reference site including the following information:
- Reference site company name.
- Contact person at senior management level of reference site (eg project sponsor)
- Dates and duration of project.
- Number of tags implemented</t>
  </si>
  <si>
    <t xml:space="preserve"> 1 or more sites, 0 site</t>
  </si>
  <si>
    <t>1 or more sites</t>
  </si>
  <si>
    <t>Project plan</t>
  </si>
  <si>
    <t>Provide a project plan indicating timelines to key milestones and indicating resource requirements</t>
  </si>
  <si>
    <t>Project plan with key milestones and resources,
Project plan with key milestones or resources,
Incomplete project plan</t>
  </si>
  <si>
    <t>Project plan with key milestones and resources</t>
  </si>
  <si>
    <t>Resource availability</t>
  </si>
  <si>
    <t xml:space="preserve">Confirm that the resources submitted, or equivalent, shall be available for the duration of the project </t>
  </si>
  <si>
    <t>Eskom Group Technology:
 Technical Evaluation Criteria</t>
  </si>
  <si>
    <t>Selection Options</t>
  </si>
  <si>
    <t>Install all components of the Enterprise Historian as per design</t>
  </si>
  <si>
    <t>Provide documentation stating how this requirement would be met</t>
  </si>
  <si>
    <t>Yes,
No</t>
  </si>
  <si>
    <t xml:space="preserve">Integration activities to  Integration Bus, </t>
  </si>
  <si>
    <t xml:space="preserve">Upgrade Existing Aveva PI and eDNA to subscription licenses as necessary </t>
  </si>
  <si>
    <t xml:space="preserve"> Migrate existing Aveva eDNA History to new Aveva PI historian</t>
  </si>
  <si>
    <t>Ensure that all current data interfaces are replicated in the Aveva PI environment as per the scope document</t>
  </si>
  <si>
    <t>Vendor confirms that they ensure data continuity with minimal disruptions (cut over plan)</t>
  </si>
  <si>
    <t>Eskom Group Technology:
Technical Evaluation Criteria</t>
  </si>
  <si>
    <t>Dual redundant or high availability architecture</t>
  </si>
  <si>
    <t>Scalable system in terms of volume of data (terra-bytes) up to 10 million tags</t>
  </si>
  <si>
    <t>Backup and recovery mechanisms</t>
  </si>
  <si>
    <t>Logical corruption protection</t>
  </si>
  <si>
    <t>Training on the new EH system</t>
  </si>
  <si>
    <t>Training plan, materials, CVs of change managers</t>
  </si>
  <si>
    <t>Change management</t>
  </si>
  <si>
    <t>Provide Change Management Plan</t>
  </si>
  <si>
    <t>Proposed Design</t>
  </si>
  <si>
    <t>Project Management Experience</t>
  </si>
  <si>
    <t>Define any project management experience with references</t>
  </si>
  <si>
    <t>(EXAMPLE) Eskom requires an experienced supplier who has provided the work listed in the scope to other clients</t>
  </si>
  <si>
    <t>In your technical response list the clients to whom you have provided XX services to and dates the service was provided. Provide a reference letter from each client listed, each reference letter must have contact details for the clients in order to verify the information provided.</t>
  </si>
  <si>
    <t>Nice to have</t>
  </si>
  <si>
    <t>Compatible,
Incompatible</t>
  </si>
  <si>
    <t>Compatible</t>
  </si>
  <si>
    <t>10 or more clients,
4-7 clients,
3 or less clients.</t>
  </si>
  <si>
    <t xml:space="preserve">
3 or less clients.</t>
  </si>
  <si>
    <t>Useful</t>
  </si>
  <si>
    <t xml:space="preserve">
No</t>
  </si>
  <si>
    <t>5,4,3,2,1</t>
  </si>
  <si>
    <t>op1,
op2,
op3,
op4,
op5</t>
  </si>
  <si>
    <t xml:space="preserve">
op5</t>
  </si>
  <si>
    <t>Very important</t>
  </si>
  <si>
    <t>A,
B,
C,
D</t>
  </si>
  <si>
    <t>A</t>
  </si>
  <si>
    <t>X,
Y,
Z</t>
  </si>
  <si>
    <t>X</t>
  </si>
  <si>
    <t>K,
L,
M</t>
  </si>
  <si>
    <t xml:space="preserve">
L</t>
  </si>
  <si>
    <t>t,
s,
w</t>
  </si>
  <si>
    <t>t</t>
  </si>
  <si>
    <t xml:space="preserve">
C</t>
  </si>
  <si>
    <t>3,2,1</t>
  </si>
  <si>
    <t>M,N,P</t>
  </si>
  <si>
    <t>M</t>
  </si>
  <si>
    <t>Y,N</t>
  </si>
  <si>
    <t>Y</t>
  </si>
  <si>
    <t>X,Y,Z,A</t>
  </si>
  <si>
    <t>A,B,X,Y</t>
  </si>
  <si>
    <t>B</t>
  </si>
  <si>
    <t>10,9,8,7,6,5,4,3,2,1,0</t>
  </si>
  <si>
    <t>Vendor unit testing</t>
  </si>
  <si>
    <t xml:space="preserve">Does you proposal include unit testing </t>
  </si>
  <si>
    <r>
      <rPr>
        <b/>
        <sz val="8"/>
        <rFont val="Arial"/>
        <family val="2"/>
      </rPr>
      <t xml:space="preserve">Data Residency </t>
    </r>
    <r>
      <rPr>
        <sz val="8"/>
        <rFont val="Arial"/>
        <family val="2"/>
      </rPr>
      <t xml:space="preserve">
All data uploaded or created, including historian records and backup files, must be stored and maintained within the geographic borders of the Republic of South Africa. This requirement applies to both primary storage and any secondary or backup storage systems, whether on-premises or hosted.</t>
    </r>
  </si>
  <si>
    <t>The Tenderer is required to confirm and demonstrate that all data associated with the proposed Historian solution, including backups, will be stored and maintained exclusively within the borders of South Africa. The submission must include architectural details and supporting documentation that show the physical location of data storage, backup strategies, and measures in place to ensure compliance with local data residency and protection regulations.</t>
  </si>
  <si>
    <r>
      <rPr>
        <b/>
        <sz val="8"/>
        <rFont val="Arial"/>
        <family val="2"/>
      </rPr>
      <t>ISO Certifications</t>
    </r>
    <r>
      <rPr>
        <sz val="8"/>
        <rFont val="Arial"/>
        <family val="2"/>
      </rPr>
      <t xml:space="preserve">
The Tenderer shall have a valid ISO27001, ISO27017 and ISO27018 certification for SAAS solutions with only compliance for on prem solutions.</t>
    </r>
  </si>
  <si>
    <t xml:space="preserve">The Tenderer is required to submit a valid ISO 27001, ISO27017 and ISO27018 certificates/compliance. </t>
  </si>
  <si>
    <r>
      <rPr>
        <b/>
        <sz val="8"/>
        <rFont val="Arial"/>
        <family val="2"/>
      </rPr>
      <t>POPIA Compliance</t>
    </r>
    <r>
      <rPr>
        <sz val="8"/>
        <rFont val="Arial"/>
        <family val="2"/>
      </rPr>
      <t xml:space="preserve">
The Tenderer shall comply with applicable privacy and protection of personal information Acts such as GDPR in European Union (EU) and POPIA in South Africa (SA) where the cloud service is hosted, where the data is collected and the region where the data subjects are physically located. If hosted in EU, the Tenderer shall confirm that the data of the natural and juristic persons personal Identifiable Information (PII) will be protected.</t>
    </r>
  </si>
  <si>
    <t>The Tenderer is required to submit the Privacy Policy.</t>
  </si>
  <si>
    <t>Do you offer any clauses in your contracts that reflect that Eskom data shall not in any circumstances (incl. black swan events such as war etc.) be used without Eskom's consent?</t>
  </si>
  <si>
    <t>The tenderer to provide confirmation</t>
  </si>
  <si>
    <r>
      <rPr>
        <b/>
        <sz val="8"/>
        <rFont val="Arial"/>
        <family val="2"/>
      </rPr>
      <t>Access control:</t>
    </r>
    <r>
      <rPr>
        <sz val="8"/>
        <rFont val="Arial"/>
        <family val="2"/>
      </rPr>
      <t xml:space="preserve">
The proposed solution must support and employ ABAC (Attribute based access control) mechanism for the Data model security. This will allow for: 
• Ability to support user rights to allow or deny access to any of the model’s functions.
• Ability to have, as minimum, access rights applicable to the model hierarchy, analysis functions, external data references, templates/classes, and notifications/alerts.
• Ability for access and administration of the model framework via native tools as well as any API or SDK shall equally be authorised</t>
    </r>
  </si>
  <si>
    <t xml:space="preserve">The Tenderer is required to submit the OEM documentation, technical specification and design that depicts that solution supports ABAC with option for RBAC can also be supported.  </t>
  </si>
  <si>
    <r>
      <rPr>
        <b/>
        <sz val="8"/>
        <rFont val="Arial"/>
        <family val="2"/>
      </rPr>
      <t>Integration Security - IAM</t>
    </r>
    <r>
      <rPr>
        <sz val="8"/>
        <rFont val="Arial"/>
        <family val="2"/>
      </rPr>
      <t xml:space="preserve">
The proposed solution shall integrate with the Eskoms existing Identity Provider (IdP), specifically Microsoft Active Directory (AD) for user authentication, and Microsoft Entra ID (formerly Azure AD) to enable Single Sign-On (SSO) and Multi-Factor Authentication (MFA). 
</t>
    </r>
  </si>
  <si>
    <t>The Tenderer is required to submit the OEM documentation, technical specification and design that depicts that the solution supports integration to MS AD and Entra ID to enable MFA.</t>
  </si>
  <si>
    <r>
      <t xml:space="preserve">Priveledge Management: 
</t>
    </r>
    <r>
      <rPr>
        <sz val="8"/>
        <rFont val="Arial"/>
        <family val="2"/>
      </rPr>
      <t>Implement the principle of least privilege for users and systems to reduce the risk of unauthorized access and limit potential damage.</t>
    </r>
  </si>
  <si>
    <t>The Tenderer is required to confirm and demonstrate how the proposed Historian solution enforces the principle of least privilege for both users and system components. The submission must include details on how privilege levels are restricted to only what is necessary for a given function, and how administrative and elevated permissions are controlled, monitored, and auditable.</t>
  </si>
  <si>
    <r>
      <rPr>
        <b/>
        <sz val="8"/>
        <rFont val="Arial"/>
        <family val="2"/>
      </rPr>
      <t>Encryption Standard</t>
    </r>
    <r>
      <rPr>
        <sz val="8"/>
        <rFont val="Arial"/>
        <family val="2"/>
      </rPr>
      <t xml:space="preserve">
Describe a detail technical approach and methodology of protecting data in the following: 
</t>
    </r>
    <r>
      <rPr>
        <b/>
        <sz val="8"/>
        <rFont val="Arial"/>
        <family val="2"/>
      </rPr>
      <t xml:space="preserve"> - Data at rest </t>
    </r>
    <r>
      <rPr>
        <sz val="8"/>
        <rFont val="Arial"/>
        <family val="2"/>
      </rPr>
      <t xml:space="preserve">(at minimum Data at rest shall be encrypted using AES-256 and advanced quantum safe encryption standard),
</t>
    </r>
    <r>
      <rPr>
        <b/>
        <sz val="8"/>
        <rFont val="Arial"/>
        <family val="2"/>
      </rPr>
      <t xml:space="preserve"> - Data in transit</t>
    </r>
    <r>
      <rPr>
        <sz val="8"/>
        <rFont val="Arial"/>
        <family val="2"/>
      </rPr>
      <t xml:space="preserve"> - shall be encrypted and secure. (as an example using at TLS 1.2 or later version (TLS 1.3) where possible and Secure File Transfer Protocol (SFTP) encryption standard),
</t>
    </r>
    <r>
      <rPr>
        <b/>
        <sz val="8"/>
        <rFont val="Arial"/>
        <family val="2"/>
      </rPr>
      <t xml:space="preserve">- Data in use </t>
    </r>
    <r>
      <rPr>
        <sz val="8"/>
        <rFont val="Arial"/>
        <family val="2"/>
      </rPr>
      <t>- shall be protects and secured</t>
    </r>
  </si>
  <si>
    <t>The Tenderer is required to submit the OEM documentation, technical specification and design that depicts that data is encrypted and secured in transit, at rest and what security measures are applied for data in use.</t>
  </si>
  <si>
    <r>
      <rPr>
        <b/>
        <sz val="8"/>
        <rFont val="Arial"/>
        <family val="2"/>
      </rPr>
      <t>Audit Trails, Logs, User and Activity Logs</t>
    </r>
    <r>
      <rPr>
        <sz val="8"/>
        <rFont val="Arial"/>
        <family val="2"/>
      </rPr>
      <t xml:space="preserve">
The proposed solution shall have Audit trails, logs, user administration and user activity logs enabled, encrypted, and securely kept with limited access to administrators.
 </t>
    </r>
  </si>
  <si>
    <t>The Tenderer is required to submit the OEM documentation, technical specification and design that depicts that logs are enabled, encrypred and security kept.</t>
  </si>
  <si>
    <r>
      <t xml:space="preserve">The proposed solution shall support integration with a </t>
    </r>
    <r>
      <rPr>
        <b/>
        <sz val="8"/>
        <rFont val="Arial"/>
        <family val="2"/>
      </rPr>
      <t>Security Information and Event Management (SIEM)</t>
    </r>
    <r>
      <rPr>
        <sz val="8"/>
        <rFont val="Arial"/>
        <family val="2"/>
      </rPr>
      <t xml:space="preserve"> system or central log aggregation platform for visibility into security events and enable rapid detection and response to cyberattacks.</t>
    </r>
  </si>
  <si>
    <t>The Tenderer is required to submit OEM documentation and technical specifications demonstrating how logs from the proposed solution can be integrated with a SIEM or log aggregation system. This should include supported protocols/formats (e.g., syslog, API), security controls for log transmission, and configuration examples if available.</t>
  </si>
  <si>
    <r>
      <rPr>
        <b/>
        <sz val="8"/>
        <rFont val="Arial"/>
        <family val="2"/>
      </rPr>
      <t>Patch Management</t>
    </r>
    <r>
      <rPr>
        <sz val="8"/>
        <rFont val="Arial"/>
        <family val="2"/>
      </rPr>
      <t xml:space="preserve">
Patch Management Process  shall be defined. Software updates and patches shall be tested on development environment prior being deployed into production environment.</t>
    </r>
  </si>
  <si>
    <t>The Tenderer is required to submit an approved Patch Management Process.</t>
  </si>
  <si>
    <r>
      <rPr>
        <b/>
        <sz val="8"/>
        <rFont val="Arial"/>
        <family val="2"/>
      </rPr>
      <t xml:space="preserve">System Hardening </t>
    </r>
    <r>
      <rPr>
        <sz val="8"/>
        <rFont val="Arial"/>
        <family val="2"/>
      </rPr>
      <t xml:space="preserve">
Describe a detail technical approach and methodology for hardening the system to meet operational requirments along with security best practices </t>
    </r>
  </si>
  <si>
    <t>The Tenderer is required to submit documentation describing the system hardening measures applied to the solution, including baseline configuration standards, lists of disabled services and ports, and how the principle of least privilege is enforced. Reference to compliance with any recognized hardening standards (e.g., CIS, NIST, OEM guidelines) must be included.</t>
  </si>
  <si>
    <r>
      <rPr>
        <b/>
        <sz val="8"/>
        <rFont val="Arial"/>
        <family val="2"/>
      </rPr>
      <t>Application level security and API security:</t>
    </r>
    <r>
      <rPr>
        <sz val="8"/>
        <rFont val="Arial"/>
        <family val="2"/>
      </rPr>
      <t xml:space="preserve">
The proposed solution shall ensure secure development and operation of applications, tools and APIs. This includes protection against common vulnerabilities (e.g., OWASP Top 10), use of secure authentication for API and client tool access, encryption of communications, input validation, logging, rate limiting, and appropriate error handling.</t>
    </r>
  </si>
  <si>
    <t>The Tenderer is required to submit documentation detailing application and API security measures, including secure coding practices, supported authentication methods (e.g., OAuth, token-based access), encryption protocols for API traffic, and measures for mitigating common API threats. API and applications security testing evidence and documentation may be included where applicable.</t>
  </si>
  <si>
    <r>
      <rPr>
        <b/>
        <sz val="8"/>
        <rFont val="Arial"/>
        <family val="2"/>
      </rPr>
      <t xml:space="preserve">Zero trust Arhcitecture principles: </t>
    </r>
    <r>
      <rPr>
        <sz val="8"/>
        <rFont val="Arial"/>
        <family val="2"/>
      </rPr>
      <t xml:space="preserve">
The proposed solution shall support the principles of Zero Trust Architecture, including continuous authentication and authorization based on identity, device, and contextual attributes. The system must enforce least-privilege access, verify all users and devices before granting access, and support micro-segmentation and policy enforcement at critical control points.</t>
    </r>
  </si>
  <si>
    <t>The Tenderer is required to submit a technical description of how Zero Trust principles are implemented or supported within the solution. This should include access control mechanisms, authentication policies, segmentation strategies, and the enforcement of contextual or identity-based access decisions.</t>
  </si>
  <si>
    <r>
      <rPr>
        <b/>
        <sz val="8"/>
        <rFont val="Arial"/>
        <family val="2"/>
      </rPr>
      <t xml:space="preserve">Vulnerability Management: </t>
    </r>
    <r>
      <rPr>
        <sz val="8"/>
        <rFont val="Arial"/>
        <family val="2"/>
      </rPr>
      <t xml:space="preserve">
The supplier shall have a formal vulnerability management process in place for the proposed Historian solution. This process must include regular security assessments (such as vulnerability scanning and penetration testing), tracking and remediation of identified vulnerabilities, and a defined mechanism for notifying customers of relevant security issues, updates, and mitigation guidance.</t>
    </r>
  </si>
  <si>
    <t>The Tenderer is required to submit documentation describing the supplier's vulnerability management practices for the Historian solution. This should include:
 - The methods used to identify and assess vulnerabilities (e.g., internal testing, third-party assessments, penetration testing).
 - Frequency of such assessments.
 - Processes for tracking and remediating vulnerabilities.
 - Procedures for informing customers of discovered vulnerabilities, including notification timelines and distribution methods (e.g., advisories, bulletins, secure portals).</t>
  </si>
  <si>
    <r>
      <rPr>
        <b/>
        <sz val="8"/>
        <rFont val="Arial"/>
        <family val="2"/>
      </rPr>
      <t>Significant Changes Notification</t>
    </r>
    <r>
      <rPr>
        <sz val="8"/>
        <rFont val="Arial"/>
        <family val="2"/>
      </rPr>
      <t xml:space="preserve">
The Tenderer shall notify Eskom if there are any significant changes to the business, platform and service provider or any change that could have an impact to the security requirments and functionality of the system. This will extend to any cloud /hosted services for or any change that could have an impact the security assessment conducted and the auditor’s opinion on the SOC audit. </t>
    </r>
  </si>
  <si>
    <t>The Tenderer is required to submit a generic Contract and SLA. An Exact extract of the contract and SLA that depicts that customers are notified of significant changes.</t>
  </si>
  <si>
    <r>
      <rPr>
        <b/>
        <sz val="8"/>
        <rFont val="Arial"/>
        <family val="2"/>
      </rPr>
      <t xml:space="preserve">Database Security Management: </t>
    </r>
    <r>
      <rPr>
        <sz val="8"/>
        <rFont val="Arial"/>
        <family val="2"/>
      </rPr>
      <t xml:space="preserve">
 1. The Tenderer shall place the database behind the perimeter firewall.
2. The proposed solution shall include or support the use of a Database Security Management Tool that provides real-time auditing, monitoring, and protection against unauthorized access to the database. The tool must also enable enforcement of segregation of duties by controlling and restricting database activities based on user roles and responsibilities.</t>
    </r>
  </si>
  <si>
    <t>The Tenderer is required to confirm the availability and integration of a Database Security Management Tool and provide supporting documentation (e.g., OEM specifications, architectural diagrams, or configurations) demonstrating how the tool enables real-time monitoring, prevents unauthorized access, and enforces segregation of duties within the database environment.</t>
  </si>
  <si>
    <r>
      <rPr>
        <b/>
        <sz val="8"/>
        <rFont val="Arial"/>
        <family val="2"/>
      </rPr>
      <t>Data Masking</t>
    </r>
    <r>
      <rPr>
        <sz val="8"/>
        <rFont val="Arial"/>
        <family val="2"/>
      </rPr>
      <t xml:space="preserve">
Sensitive data such as PII shall be masked on the non-production environments to lessen exposure.</t>
    </r>
  </si>
  <si>
    <t>The Tenderer is required to submit the OEM documentation, technical specification and design that depicts that data masking is masked in non-production environement.</t>
  </si>
  <si>
    <r>
      <rPr>
        <b/>
        <sz val="8"/>
        <rFont val="Arial"/>
        <family val="2"/>
      </rPr>
      <t>Daily Incremental Back Ups</t>
    </r>
    <r>
      <rPr>
        <sz val="8"/>
        <rFont val="Arial"/>
        <family val="2"/>
      </rPr>
      <t xml:space="preserve">
Incremental daily back-ups shall be done, encrypted, and securely kept offsite. </t>
    </r>
  </si>
  <si>
    <t>The Tenderer is required to submit the OEM documentation, technical specification and design that depicts that daily increamental back ups are done, encrypted and kept offsite.</t>
  </si>
  <si>
    <r>
      <rPr>
        <b/>
        <sz val="8"/>
        <rFont val="Arial"/>
        <family val="2"/>
      </rPr>
      <t>Real-time data synchronization or data replication</t>
    </r>
    <r>
      <rPr>
        <sz val="8"/>
        <rFont val="Arial"/>
        <family val="2"/>
      </rPr>
      <t xml:space="preserve">
The Tenderer shall employ real-time data synchronization or data replication to a secondary or disaster recovery (DR) site, located in different region. </t>
    </r>
  </si>
  <si>
    <t xml:space="preserve">The Tenderer is required to submit the OEM documentation, technical specification and design that depicts thatdata is syncronised, replicated to secondary site. </t>
  </si>
  <si>
    <r>
      <rPr>
        <b/>
        <sz val="8"/>
        <rFont val="Arial"/>
        <family val="2"/>
      </rPr>
      <t>Application Security (AppSec) Tests</t>
    </r>
    <r>
      <rPr>
        <sz val="8"/>
        <rFont val="Arial"/>
        <family val="2"/>
      </rPr>
      <t xml:space="preserve">
The Tenderer shall perform static application security test (SAST), and dynamic application security test (DAST), vulnerability assessment, penetration test prior deploying the cloud system to production environments.</t>
    </r>
  </si>
  <si>
    <t>The Tenderer is required to submit the recent SAST, DAST, Vulnerability Assessment and Penetration Test Results.</t>
  </si>
  <si>
    <r>
      <rPr>
        <b/>
        <sz val="8"/>
        <rFont val="Arial"/>
        <family val="2"/>
      </rPr>
      <t>Cyber or Data Breach Incident Notification</t>
    </r>
    <r>
      <rPr>
        <sz val="8"/>
        <rFont val="Arial"/>
        <family val="2"/>
      </rPr>
      <t xml:space="preserve">
Tenderer shall have formal notification process to notify customers of cyber attack and data breach incidents. Please specify the service level agreement (SLA).</t>
    </r>
  </si>
  <si>
    <t>The Tenderer is required to submit a Cyber and Data Breach Incident Notification Process, Generic SaaS Contract and SLA that depicts that customers are indeed notified. An exact extract of the contract and SLA that depicts these requirements.</t>
  </si>
  <si>
    <r>
      <rPr>
        <b/>
        <sz val="8"/>
        <rFont val="Arial"/>
        <family val="2"/>
      </rPr>
      <t>DRP/IRM</t>
    </r>
    <r>
      <rPr>
        <sz val="8"/>
        <rFont val="Arial"/>
        <family val="2"/>
      </rPr>
      <t xml:space="preserve">
1. The Tenderer shall have Disaster Recovery Plan (DRP) and Back up Restore Plan defined, annually tested.
2. The Tenderer shall have Incident Response Management (IRM) process defined, and part of the service level agreement (SLA) and master service agreement (MSA).
3. The Tenderer is required to specify the recovery point objective (RPO) and recovery time objective (RTO)</t>
    </r>
  </si>
  <si>
    <t>The Tenderer is required to submit a recent DRP Results and Back up Restore Results, IRM Process, SLA, RPO and RTO.</t>
  </si>
  <si>
    <t>The proposed Historian solution must fully support the deployment and operation of industry-recognized endpoint protection technology on all hosts and operating systems where the Historian software and its associated tools will be installed. This support must not introduce performance issues, interfere with system operations, or require disabling of essential security features.</t>
  </si>
  <si>
    <r>
      <t xml:space="preserve">Demonstration Brief - </t>
    </r>
    <r>
      <rPr>
        <sz val="8"/>
        <rFont val="Arial"/>
        <family val="2"/>
      </rPr>
      <t>Explain to the Vendor what must be included in their presentation</t>
    </r>
  </si>
  <si>
    <r>
      <rPr>
        <b/>
        <i/>
        <sz val="8"/>
        <rFont val="Arial"/>
        <family val="2"/>
      </rPr>
      <t>(EXAMPLE)</t>
    </r>
    <r>
      <rPr>
        <i/>
        <sz val="8"/>
        <rFont val="Arial"/>
        <family val="2"/>
      </rPr>
      <t xml:space="preserve"> Eskom requires the system to have Payment principals in the categories below:
*Breakout
*Freeze
*isolate
*control
As business policy chnages, we will need to update the payment authority workflow quickly and with ease.</t>
    </r>
  </si>
  <si>
    <t xml:space="preserve">Your demonstration must show the payment principals available in the system and take us through the process to change payment authority workflow. </t>
  </si>
  <si>
    <t>Vendor has shown all four payment principals are available</t>
  </si>
  <si>
    <t>Yes,No</t>
  </si>
  <si>
    <t>Changing payment principals are easily done with little or low code required</t>
  </si>
  <si>
    <t>Difference between A &amp; B is clearly flagged in the system.</t>
  </si>
  <si>
    <t>No</t>
  </si>
  <si>
    <t>Changes can be easily made through the UI or through the a low code method. any development is not suitable.</t>
  </si>
  <si>
    <t>Abbreviations</t>
  </si>
  <si>
    <t>Definitions</t>
  </si>
  <si>
    <t>Vendor to provide a proposed design</t>
  </si>
  <si>
    <t>Configure and licence the following environments as required: Production, Pre-Production, Development/ Quality Assurance (Test), Training and Disaster Recovery</t>
  </si>
  <si>
    <t>PI</t>
  </si>
  <si>
    <t>Plant Historian product name</t>
  </si>
  <si>
    <t>AVEVA</t>
  </si>
  <si>
    <t>EDNa</t>
  </si>
  <si>
    <t>Product name</t>
  </si>
  <si>
    <t>EH</t>
  </si>
  <si>
    <t>OEM</t>
  </si>
  <si>
    <t>Original Equipment Manufacturer</t>
  </si>
  <si>
    <t>Company name</t>
  </si>
  <si>
    <r>
      <t xml:space="preserve">The Tenderer is required to confirm and demonstrate that the proposed solution is compatible with industry-recognized endpoint protection tools (e.g., antivirus, EDR, anti-malware) without causing performance degradation or requiring the exclusion of critical files or processes. The submission must include documentation describing </t>
    </r>
    <r>
      <rPr>
        <b/>
        <sz val="8"/>
        <rFont val="Arial"/>
        <family val="2"/>
      </rPr>
      <t xml:space="preserve">known supported security tools </t>
    </r>
    <r>
      <rPr>
        <sz val="8"/>
        <rFont val="Arial"/>
        <family val="2"/>
      </rPr>
      <t xml:space="preserve"> and evidence that endpoint protection can run concurrently with the Historian system without impacting its stability, performance, or functionality.</t>
    </r>
  </si>
  <si>
    <t>Provide written proof  confirming that your company is  is an accredited/endorsed PI implementation/solution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</si>
</sst>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Aptos Narrow"/>
      <family val="2"/>
      <scheme val="minor"/>
    </font>
    <font>
      <sz val="11"/>
      <color theme="1"/>
      <name val="Aptos Narrow"/>
      <family val="2"/>
      <scheme val="minor"/>
    </font>
    <font>
      <b/>
      <sz val="9"/>
      <color indexed="81"/>
      <name val="Tahoma"/>
      <family val="2"/>
    </font>
    <font>
      <sz val="9"/>
      <color indexed="81"/>
      <name val="Tahoma"/>
      <family val="2"/>
    </font>
    <font>
      <sz val="8"/>
      <name val="Aptos Narrow"/>
      <family val="2"/>
      <scheme val="minor"/>
    </font>
    <font>
      <b/>
      <sz val="9"/>
      <color theme="1"/>
      <name val="Arial"/>
      <family val="2"/>
    </font>
    <font>
      <sz val="9"/>
      <color theme="1"/>
      <name val="Arial"/>
      <family val="2"/>
    </font>
    <font>
      <b/>
      <sz val="9"/>
      <name val="Arial"/>
      <family val="2"/>
    </font>
    <font>
      <sz val="9"/>
      <name val="Arial"/>
      <family val="2"/>
    </font>
    <font>
      <sz val="9"/>
      <color rgb="FF002060"/>
      <name val="Arial"/>
      <family val="2"/>
    </font>
    <font>
      <b/>
      <sz val="8"/>
      <color theme="1"/>
      <name val="Arial"/>
      <family val="2"/>
    </font>
    <font>
      <b/>
      <u/>
      <sz val="12"/>
      <color theme="1"/>
      <name val="Arial"/>
      <family val="2"/>
    </font>
    <font>
      <b/>
      <u/>
      <sz val="12"/>
      <color rgb="FFFF0000"/>
      <name val="Arial"/>
      <family val="2"/>
    </font>
    <font>
      <sz val="8"/>
      <color theme="1"/>
      <name val="Arial"/>
      <family val="2"/>
    </font>
    <font>
      <b/>
      <u/>
      <sz val="14"/>
      <color theme="1"/>
      <name val="Arial"/>
      <family val="2"/>
    </font>
    <font>
      <sz val="12"/>
      <color theme="1"/>
      <name val="Arial"/>
      <family val="2"/>
    </font>
    <font>
      <sz val="11"/>
      <color theme="1"/>
      <name val="Arial"/>
      <family val="2"/>
    </font>
    <font>
      <sz val="11"/>
      <color rgb="FFFF0000"/>
      <name val="Arial"/>
      <family val="2"/>
    </font>
    <font>
      <b/>
      <u/>
      <sz val="10"/>
      <color theme="1"/>
      <name val="Arial"/>
      <family val="2"/>
    </font>
    <font>
      <b/>
      <u/>
      <sz val="8"/>
      <color theme="1"/>
      <name val="Arial"/>
      <family val="2"/>
    </font>
    <font>
      <i/>
      <sz val="8"/>
      <color theme="1"/>
      <name val="Arial"/>
      <family val="2"/>
    </font>
    <font>
      <b/>
      <sz val="8"/>
      <name val="Arial"/>
      <family val="2"/>
    </font>
    <font>
      <b/>
      <i/>
      <sz val="8"/>
      <name val="Arial"/>
      <family val="2"/>
    </font>
    <font>
      <i/>
      <sz val="8"/>
      <name val="Arial"/>
      <family val="2"/>
    </font>
    <font>
      <sz val="8"/>
      <name val="Arial"/>
      <family val="2"/>
    </font>
    <font>
      <sz val="11"/>
      <color indexed="8"/>
      <name val="Arial"/>
      <family val="2"/>
    </font>
    <font>
      <b/>
      <sz val="16"/>
      <color rgb="FFC00000"/>
      <name val="Arial"/>
      <family val="2"/>
    </font>
    <font>
      <sz val="12"/>
      <color indexed="8"/>
      <name val="Arial"/>
      <family val="2"/>
    </font>
    <font>
      <b/>
      <sz val="12"/>
      <color indexed="8"/>
      <name val="Arial"/>
      <family val="2"/>
    </font>
    <font>
      <b/>
      <sz val="11"/>
      <color indexed="8"/>
      <name val="Arial"/>
      <family val="2"/>
    </font>
    <font>
      <b/>
      <u/>
      <sz val="11"/>
      <color rgb="FFC00000"/>
      <name val="Arial"/>
      <family val="2"/>
    </font>
    <font>
      <sz val="11"/>
      <color rgb="FF000000"/>
      <name val="Arial"/>
      <family val="2"/>
    </font>
    <font>
      <b/>
      <sz val="11"/>
      <color theme="1"/>
      <name val="Arial"/>
      <family val="2"/>
    </font>
    <font>
      <b/>
      <sz val="12"/>
      <name val="Arial"/>
      <family val="2"/>
    </font>
    <font>
      <sz val="12"/>
      <color rgb="FF000000"/>
      <name val="Arial"/>
      <family val="2"/>
    </font>
    <font>
      <b/>
      <sz val="12"/>
      <color theme="1"/>
      <name val="Arial"/>
      <family val="2"/>
    </font>
    <font>
      <b/>
      <sz val="12"/>
      <color theme="1"/>
      <name val="Aptos Narrow"/>
      <family val="2"/>
      <scheme val="minor"/>
    </font>
    <font>
      <i/>
      <sz val="9"/>
      <name val="Arial"/>
      <family val="2"/>
    </font>
    <font>
      <b/>
      <sz val="11"/>
      <name val="Arial"/>
      <family val="2"/>
    </font>
    <font>
      <i/>
      <sz val="12"/>
      <name val="Arial"/>
      <family val="2"/>
    </font>
    <font>
      <b/>
      <i/>
      <sz val="12"/>
      <color indexed="8"/>
      <name val="Arial"/>
      <family val="2"/>
    </font>
    <font>
      <i/>
      <sz val="12"/>
      <color theme="1"/>
      <name val="Arial"/>
      <family val="2"/>
    </font>
    <font>
      <b/>
      <sz val="9"/>
      <color theme="0"/>
      <name val="Arial"/>
      <family val="2"/>
    </font>
    <font>
      <i/>
      <sz val="11"/>
      <color rgb="FF0000CC"/>
      <name val="Arial"/>
      <family val="2"/>
    </font>
    <font>
      <sz val="12"/>
      <color rgb="FF0000CC"/>
      <name val="Arial"/>
      <family val="2"/>
    </font>
    <font>
      <sz val="8"/>
      <name val="Arial"/>
    </font>
    <font>
      <b/>
      <sz val="8"/>
      <name val="Arial"/>
    </font>
  </fonts>
  <fills count="26">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99FF99"/>
        <bgColor indexed="64"/>
      </patternFill>
    </fill>
    <fill>
      <patternFill patternType="solid">
        <fgColor rgb="FF96330F"/>
        <bgColor indexed="64"/>
      </patternFill>
    </fill>
    <fill>
      <patternFill patternType="solid">
        <fgColor rgb="FFFFFF00"/>
        <bgColor indexed="64"/>
      </patternFill>
    </fill>
    <fill>
      <patternFill patternType="solid">
        <fgColor rgb="FF598787"/>
        <bgColor indexed="64"/>
      </patternFill>
    </fill>
    <fill>
      <patternFill patternType="solid">
        <fgColor rgb="FF003896"/>
        <bgColor indexed="64"/>
      </patternFill>
    </fill>
    <fill>
      <patternFill patternType="solid">
        <fgColor rgb="FF0DB02B"/>
        <bgColor indexed="64"/>
      </patternFill>
    </fill>
    <fill>
      <patternFill patternType="solid">
        <fgColor rgb="FF71725B"/>
        <bgColor indexed="64"/>
      </patternFill>
    </fill>
    <fill>
      <patternFill patternType="solid">
        <fgColor theme="0"/>
        <bgColor indexed="64"/>
      </patternFill>
    </fill>
    <fill>
      <patternFill patternType="solid">
        <fgColor rgb="FF22A2A8"/>
        <bgColor indexed="64"/>
      </patternFill>
    </fill>
    <fill>
      <patternFill patternType="solid">
        <fgColor rgb="FFC97A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5"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230">
    <xf numFmtId="0" fontId="0" fillId="0" borderId="0" xfId="0"/>
    <xf numFmtId="10" fontId="5" fillId="5" borderId="2" xfId="0" applyNumberFormat="1" applyFont="1" applyFill="1" applyBorder="1" applyAlignment="1">
      <alignment horizontal="centerContinuous" vertical="center"/>
    </xf>
    <xf numFmtId="1" fontId="5" fillId="5" borderId="3" xfId="0" applyNumberFormat="1" applyFont="1" applyFill="1" applyBorder="1" applyAlignment="1">
      <alignment horizontal="centerContinuous" vertical="center"/>
    </xf>
    <xf numFmtId="10" fontId="5" fillId="5" borderId="3" xfId="0" applyNumberFormat="1" applyFont="1" applyFill="1" applyBorder="1" applyAlignment="1">
      <alignment horizontal="centerContinuous" vertical="center"/>
    </xf>
    <xf numFmtId="10" fontId="5" fillId="5" borderId="3" xfId="0" applyNumberFormat="1" applyFont="1" applyFill="1" applyBorder="1" applyAlignment="1">
      <alignment horizontal="center" vertical="center"/>
    </xf>
    <xf numFmtId="10" fontId="5" fillId="5" borderId="4" xfId="0" applyNumberFormat="1" applyFont="1" applyFill="1" applyBorder="1" applyAlignment="1">
      <alignment vertical="center"/>
    </xf>
    <xf numFmtId="0" fontId="6" fillId="0" borderId="0" xfId="0" applyFont="1"/>
    <xf numFmtId="0" fontId="5" fillId="5" borderId="6" xfId="0" applyFont="1" applyFill="1" applyBorder="1" applyAlignment="1">
      <alignment vertical="center"/>
    </xf>
    <xf numFmtId="9" fontId="6" fillId="2" borderId="6" xfId="0" applyNumberFormat="1" applyFont="1" applyFill="1" applyBorder="1" applyAlignment="1">
      <alignment vertical="center"/>
    </xf>
    <xf numFmtId="0" fontId="5" fillId="5" borderId="6" xfId="0" applyFont="1" applyFill="1" applyBorder="1" applyAlignment="1">
      <alignment horizontal="right" vertical="center"/>
    </xf>
    <xf numFmtId="1" fontId="5" fillId="2" borderId="7" xfId="0" applyNumberFormat="1" applyFont="1" applyFill="1" applyBorder="1" applyAlignment="1">
      <alignment vertical="center"/>
    </xf>
    <xf numFmtId="0" fontId="5" fillId="2" borderId="8" xfId="0" applyFont="1" applyFill="1" applyBorder="1" applyAlignment="1">
      <alignment vertical="center" textRotation="90"/>
    </xf>
    <xf numFmtId="49" fontId="7" fillId="6" borderId="7" xfId="0" applyNumberFormat="1" applyFont="1" applyFill="1" applyBorder="1" applyAlignment="1">
      <alignment vertical="top" wrapText="1"/>
    </xf>
    <xf numFmtId="0" fontId="7" fillId="6" borderId="7" xfId="0" applyFont="1" applyFill="1" applyBorder="1" applyAlignment="1">
      <alignment vertical="top" wrapText="1"/>
    </xf>
    <xf numFmtId="0" fontId="7" fillId="7" borderId="7" xfId="0" applyFont="1" applyFill="1" applyBorder="1" applyAlignment="1">
      <alignment vertical="top" wrapText="1"/>
    </xf>
    <xf numFmtId="0" fontId="7" fillId="8" borderId="7" xfId="0" applyFont="1" applyFill="1" applyBorder="1" applyAlignment="1">
      <alignment vertical="center" wrapText="1"/>
    </xf>
    <xf numFmtId="10" fontId="7" fillId="2"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6" fillId="9" borderId="7" xfId="0" applyFont="1" applyFill="1" applyBorder="1"/>
    <xf numFmtId="0" fontId="6" fillId="0" borderId="7" xfId="0" applyFont="1" applyBorder="1"/>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left" vertical="top" wrapText="1"/>
      <protection locked="0"/>
    </xf>
    <xf numFmtId="0" fontId="9" fillId="0" borderId="1" xfId="0" applyFont="1" applyBorder="1" applyAlignment="1" applyProtection="1">
      <alignment horizontal="center" vertical="center"/>
      <protection locked="0"/>
    </xf>
    <xf numFmtId="0" fontId="9" fillId="0" borderId="1" xfId="0" applyFont="1" applyBorder="1" applyAlignment="1">
      <alignment horizontal="center" vertical="center"/>
    </xf>
    <xf numFmtId="10" fontId="9" fillId="0" borderId="1" xfId="1" applyNumberFormat="1" applyFont="1" applyBorder="1" applyAlignment="1">
      <alignment horizontal="center" vertical="center"/>
    </xf>
    <xf numFmtId="0" fontId="9" fillId="0" borderId="1" xfId="0" applyFont="1" applyBorder="1" applyAlignment="1" applyProtection="1">
      <alignment horizontal="left" vertical="top" wrapText="1"/>
      <protection locked="0"/>
    </xf>
    <xf numFmtId="0" fontId="9" fillId="0" borderId="1" xfId="0" applyFont="1" applyBorder="1" applyAlignment="1" applyProtection="1">
      <alignment vertical="center" wrapText="1"/>
      <protection locked="0"/>
    </xf>
    <xf numFmtId="10" fontId="8" fillId="0" borderId="1" xfId="0" applyNumberFormat="1" applyFont="1" applyBorder="1" applyAlignment="1" applyProtection="1">
      <alignment horizontal="center" vertical="center"/>
      <protection locked="0"/>
    </xf>
    <xf numFmtId="0" fontId="6" fillId="0" borderId="1" xfId="0" applyFont="1" applyBorder="1" applyProtection="1">
      <protection locked="0"/>
    </xf>
    <xf numFmtId="0" fontId="6" fillId="0" borderId="5" xfId="0" applyFont="1" applyBorder="1" applyAlignment="1">
      <alignment vertical="center"/>
    </xf>
    <xf numFmtId="10" fontId="6" fillId="0" borderId="1" xfId="0" applyNumberFormat="1" applyFont="1" applyBorder="1" applyAlignment="1">
      <alignment vertical="center"/>
    </xf>
    <xf numFmtId="0" fontId="6" fillId="0" borderId="1" xfId="0" applyFont="1" applyBorder="1" applyAlignment="1" applyProtection="1">
      <alignment horizontal="left" vertical="top"/>
      <protection locked="0"/>
    </xf>
    <xf numFmtId="0" fontId="6" fillId="0" borderId="9" xfId="0" applyFont="1" applyBorder="1" applyAlignment="1" applyProtection="1">
      <alignment horizontal="center" vertical="center"/>
      <protection locked="0"/>
    </xf>
    <xf numFmtId="0" fontId="6" fillId="0" borderId="5" xfId="0" applyFont="1" applyBorder="1" applyAlignment="1" applyProtection="1">
      <alignment horizontal="left" vertical="top"/>
      <protection locked="0"/>
    </xf>
    <xf numFmtId="0" fontId="9" fillId="0" borderId="5" xfId="0" applyFont="1" applyBorder="1" applyAlignment="1" applyProtection="1">
      <alignment horizontal="center" vertical="center"/>
      <protection locked="0"/>
    </xf>
    <xf numFmtId="0" fontId="9" fillId="0" borderId="5" xfId="0" applyFont="1" applyBorder="1" applyAlignment="1">
      <alignment horizontal="center" vertical="center"/>
    </xf>
    <xf numFmtId="10" fontId="9" fillId="0" borderId="5" xfId="1" applyNumberFormat="1" applyFont="1" applyBorder="1" applyAlignment="1">
      <alignment horizontal="center" vertical="center"/>
    </xf>
    <xf numFmtId="0" fontId="9" fillId="0" borderId="5" xfId="0" applyFont="1" applyBorder="1" applyAlignment="1" applyProtection="1">
      <alignment horizontal="left" vertical="top" wrapText="1"/>
      <protection locked="0"/>
    </xf>
    <xf numFmtId="0" fontId="9" fillId="0" borderId="5" xfId="0" applyFont="1" applyBorder="1" applyAlignment="1" applyProtection="1">
      <alignment vertical="center" wrapText="1"/>
      <protection locked="0"/>
    </xf>
    <xf numFmtId="10" fontId="8" fillId="0" borderId="5" xfId="0" applyNumberFormat="1" applyFont="1" applyBorder="1" applyAlignment="1" applyProtection="1">
      <alignment horizontal="center" vertical="center"/>
      <protection locked="0"/>
    </xf>
    <xf numFmtId="0" fontId="6" fillId="0" borderId="5" xfId="0" applyFont="1" applyBorder="1" applyProtection="1">
      <protection locked="0"/>
    </xf>
    <xf numFmtId="0" fontId="6" fillId="0" borderId="1"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10" fontId="6" fillId="0" borderId="5" xfId="0" applyNumberFormat="1" applyFont="1" applyBorder="1" applyAlignment="1">
      <alignment vertical="center"/>
    </xf>
    <xf numFmtId="0" fontId="6" fillId="0" borderId="0" xfId="0" applyFont="1" applyAlignment="1">
      <alignment horizontal="center" vertical="center"/>
    </xf>
    <xf numFmtId="0" fontId="6" fillId="0" borderId="0" xfId="0" applyFont="1" applyAlignment="1">
      <alignment vertical="center"/>
    </xf>
    <xf numFmtId="9" fontId="5" fillId="5" borderId="6" xfId="1" applyFont="1" applyFill="1" applyBorder="1" applyAlignment="1">
      <alignment vertical="center"/>
    </xf>
    <xf numFmtId="1" fontId="6" fillId="2" borderId="6" xfId="0" applyNumberFormat="1" applyFont="1" applyFill="1" applyBorder="1" applyAlignment="1">
      <alignment vertical="center"/>
    </xf>
    <xf numFmtId="0" fontId="10" fillId="0" borderId="0" xfId="0" applyFont="1" applyAlignment="1">
      <alignment horizontal="center" vertical="center"/>
    </xf>
    <xf numFmtId="0" fontId="11" fillId="0" borderId="0" xfId="0" applyFont="1" applyAlignment="1">
      <alignment horizontal="left" vertical="top" wrapText="1"/>
    </xf>
    <xf numFmtId="1" fontId="13" fillId="0" borderId="0" xfId="0" applyNumberFormat="1" applyFont="1" applyAlignment="1">
      <alignment vertical="center"/>
    </xf>
    <xf numFmtId="0" fontId="13" fillId="0" borderId="0" xfId="0" applyFont="1"/>
    <xf numFmtId="0" fontId="10" fillId="0" borderId="0" xfId="0" applyFont="1"/>
    <xf numFmtId="0" fontId="15" fillId="0" borderId="0" xfId="0" applyFont="1" applyAlignment="1">
      <alignment horizontal="left" vertical="top" wrapText="1"/>
    </xf>
    <xf numFmtId="0" fontId="11" fillId="0" borderId="0" xfId="0" applyFont="1" applyAlignment="1">
      <alignment horizontal="center" wrapText="1"/>
    </xf>
    <xf numFmtId="0" fontId="18" fillId="0" borderId="0" xfId="0" applyFont="1" applyAlignment="1">
      <alignment wrapText="1"/>
    </xf>
    <xf numFmtId="0" fontId="13" fillId="0" borderId="0" xfId="0" applyFont="1" applyAlignment="1">
      <alignment wrapText="1"/>
    </xf>
    <xf numFmtId="164" fontId="13" fillId="0" borderId="0" xfId="0" applyNumberFormat="1" applyFont="1"/>
    <xf numFmtId="0" fontId="13" fillId="0" borderId="0" xfId="0" applyFont="1" applyAlignment="1">
      <alignment vertical="center"/>
    </xf>
    <xf numFmtId="0" fontId="19" fillId="0" borderId="0" xfId="0" applyFont="1" applyAlignment="1">
      <alignment wrapText="1"/>
    </xf>
    <xf numFmtId="0" fontId="13" fillId="11" borderId="0" xfId="0" applyFont="1" applyFill="1" applyAlignment="1">
      <alignment vertical="center" wrapText="1"/>
    </xf>
    <xf numFmtId="0" fontId="6" fillId="11" borderId="0" xfId="0" applyFont="1" applyFill="1" applyAlignment="1">
      <alignment vertical="center" wrapText="1"/>
    </xf>
    <xf numFmtId="0" fontId="10" fillId="0" borderId="0" xfId="0" applyFont="1" applyAlignment="1">
      <alignment vertical="center" wrapText="1"/>
    </xf>
    <xf numFmtId="0" fontId="20" fillId="0" borderId="0" xfId="0" applyFont="1"/>
    <xf numFmtId="0" fontId="20" fillId="11" borderId="0" xfId="0" applyFont="1" applyFill="1" applyAlignment="1">
      <alignment vertical="center" wrapText="1"/>
    </xf>
    <xf numFmtId="0" fontId="24" fillId="0" borderId="1" xfId="0" applyFont="1" applyBorder="1" applyAlignment="1">
      <alignment horizontal="left" vertical="top" wrapText="1"/>
    </xf>
    <xf numFmtId="0" fontId="25" fillId="0" borderId="24" xfId="0" applyFont="1" applyBorder="1" applyAlignment="1" applyProtection="1">
      <alignment horizontal="left" vertical="top"/>
      <protection locked="0"/>
    </xf>
    <xf numFmtId="0" fontId="25" fillId="0" borderId="0" xfId="0" applyFont="1" applyAlignment="1" applyProtection="1">
      <alignment horizontal="left" vertical="top"/>
      <protection locked="0"/>
    </xf>
    <xf numFmtId="0" fontId="25" fillId="0" borderId="0" xfId="0" applyFont="1" applyAlignment="1" applyProtection="1">
      <alignment horizontal="left" vertical="top" wrapText="1"/>
      <protection locked="0"/>
    </xf>
    <xf numFmtId="0" fontId="27" fillId="0" borderId="24" xfId="0" applyFont="1" applyBorder="1" applyAlignment="1" applyProtection="1">
      <alignment horizontal="left" vertical="center"/>
      <protection locked="0"/>
    </xf>
    <xf numFmtId="0" fontId="27" fillId="0" borderId="0" xfId="0" applyFont="1" applyAlignment="1" applyProtection="1">
      <alignment horizontal="left" vertical="center"/>
      <protection locked="0"/>
    </xf>
    <xf numFmtId="0" fontId="29" fillId="0" borderId="0" xfId="0" applyFont="1" applyAlignment="1" applyProtection="1">
      <alignment horizontal="left" vertical="top" wrapText="1"/>
      <protection locked="0"/>
    </xf>
    <xf numFmtId="0" fontId="29" fillId="0" borderId="0" xfId="0" applyFont="1" applyAlignment="1" applyProtection="1">
      <alignment horizontal="left" vertical="top"/>
      <protection locked="0"/>
    </xf>
    <xf numFmtId="0" fontId="25" fillId="0" borderId="0" xfId="0" quotePrefix="1" applyFont="1" applyAlignment="1" applyProtection="1">
      <alignment horizontal="right" vertical="top"/>
      <protection locked="0"/>
    </xf>
    <xf numFmtId="0" fontId="25" fillId="0" borderId="0" xfId="0" quotePrefix="1" applyFont="1" applyAlignment="1" applyProtection="1">
      <alignment horizontal="left" vertical="top" wrapText="1"/>
      <protection locked="0"/>
    </xf>
    <xf numFmtId="0" fontId="25" fillId="13" borderId="0" xfId="0" applyFont="1" applyFill="1" applyAlignment="1" applyProtection="1">
      <alignment horizontal="left" vertical="top"/>
      <protection locked="0"/>
    </xf>
    <xf numFmtId="0" fontId="25" fillId="14" borderId="0" xfId="0" applyFont="1" applyFill="1" applyAlignment="1" applyProtection="1">
      <alignment horizontal="left" vertical="top"/>
      <protection locked="0"/>
    </xf>
    <xf numFmtId="0" fontId="29" fillId="15" borderId="1" xfId="0" applyFont="1" applyFill="1" applyBorder="1" applyAlignment="1" applyProtection="1">
      <alignment horizontal="left" vertical="top" wrapText="1"/>
      <protection locked="0"/>
    </xf>
    <xf numFmtId="0" fontId="25" fillId="16" borderId="1" xfId="0" applyFont="1" applyFill="1" applyBorder="1" applyAlignment="1" applyProtection="1">
      <alignment horizontal="left" vertical="top" wrapText="1"/>
      <protection locked="0"/>
    </xf>
    <xf numFmtId="0" fontId="25" fillId="17" borderId="1" xfId="0" applyFont="1" applyFill="1" applyBorder="1" applyAlignment="1" applyProtection="1">
      <alignment horizontal="left" vertical="top" wrapText="1"/>
      <protection locked="0"/>
    </xf>
    <xf numFmtId="0" fontId="25" fillId="18" borderId="1" xfId="0" applyFont="1" applyFill="1" applyBorder="1" applyAlignment="1" applyProtection="1">
      <alignment horizontal="left" vertical="top" wrapText="1"/>
      <protection locked="0"/>
    </xf>
    <xf numFmtId="0" fontId="25" fillId="19" borderId="1" xfId="0" applyFont="1" applyFill="1" applyBorder="1" applyAlignment="1" applyProtection="1">
      <alignment horizontal="left" vertical="top" wrapText="1"/>
      <protection locked="0"/>
    </xf>
    <xf numFmtId="0" fontId="25" fillId="20" borderId="1" xfId="0" applyFont="1" applyFill="1" applyBorder="1" applyAlignment="1" applyProtection="1">
      <alignment horizontal="left" vertical="top" wrapText="1"/>
      <protection locked="0"/>
    </xf>
    <xf numFmtId="0" fontId="25" fillId="21" borderId="1" xfId="0" applyFont="1" applyFill="1" applyBorder="1" applyAlignment="1" applyProtection="1">
      <alignment horizontal="left" vertical="top" wrapText="1"/>
      <protection locked="0"/>
    </xf>
    <xf numFmtId="0" fontId="25" fillId="0" borderId="0" xfId="0" applyFont="1" applyAlignment="1">
      <alignment horizontal="left" vertical="top"/>
    </xf>
    <xf numFmtId="0" fontId="27" fillId="0" borderId="0" xfId="0" applyFont="1" applyAlignment="1">
      <alignment horizontal="left" vertical="center"/>
    </xf>
    <xf numFmtId="0" fontId="25" fillId="0" borderId="0" xfId="0" applyFont="1" applyAlignment="1" applyProtection="1">
      <alignment vertical="top" wrapText="1"/>
      <protection locked="0"/>
    </xf>
    <xf numFmtId="0" fontId="25" fillId="0" borderId="0" xfId="0" quotePrefix="1" applyFont="1" applyAlignment="1" applyProtection="1">
      <alignment horizontal="right" vertical="center"/>
      <protection locked="0"/>
    </xf>
    <xf numFmtId="0" fontId="0" fillId="0" borderId="0" xfId="0" applyAlignment="1" applyProtection="1">
      <alignment vertical="top" wrapText="1"/>
      <protection locked="0"/>
    </xf>
    <xf numFmtId="0" fontId="16" fillId="0" borderId="1" xfId="0" applyFont="1" applyBorder="1" applyAlignment="1">
      <alignment horizontal="right" vertical="top" wrapText="1"/>
    </xf>
    <xf numFmtId="0" fontId="32" fillId="2" borderId="1" xfId="0" applyFont="1" applyFill="1" applyBorder="1" applyAlignment="1" applyProtection="1">
      <alignment horizontal="left" wrapText="1"/>
      <protection locked="0"/>
    </xf>
    <xf numFmtId="0" fontId="11" fillId="0" borderId="0" xfId="0" applyFont="1" applyAlignment="1">
      <alignment horizontal="centerContinuous" vertical="top" wrapText="1"/>
    </xf>
    <xf numFmtId="0" fontId="32" fillId="0" borderId="1" xfId="0" applyFont="1" applyBorder="1" applyAlignment="1" applyProtection="1">
      <alignment horizontal="left" wrapText="1"/>
      <protection locked="0"/>
    </xf>
    <xf numFmtId="0" fontId="29" fillId="0" borderId="0" xfId="0" applyFont="1" applyAlignment="1">
      <alignment horizontal="center" vertical="center" wrapText="1"/>
    </xf>
    <xf numFmtId="0" fontId="28" fillId="22" borderId="22" xfId="0" applyFont="1" applyFill="1" applyBorder="1" applyAlignment="1">
      <alignment horizontal="centerContinuous" vertical="center"/>
    </xf>
    <xf numFmtId="0" fontId="28" fillId="22" borderId="23" xfId="0" applyFont="1" applyFill="1" applyBorder="1" applyAlignment="1">
      <alignment horizontal="centerContinuous" vertical="center"/>
    </xf>
    <xf numFmtId="0" fontId="28" fillId="22" borderId="25" xfId="0" applyFont="1" applyFill="1" applyBorder="1" applyAlignment="1">
      <alignment horizontal="centerContinuous" vertical="center"/>
    </xf>
    <xf numFmtId="0" fontId="15" fillId="19" borderId="21" xfId="0" applyFont="1" applyFill="1" applyBorder="1" applyAlignment="1">
      <alignment horizontal="left" vertical="center" wrapText="1"/>
    </xf>
    <xf numFmtId="0" fontId="34" fillId="19" borderId="21" xfId="0" applyFont="1" applyFill="1" applyBorder="1" applyAlignment="1">
      <alignment vertical="center"/>
    </xf>
    <xf numFmtId="49" fontId="13" fillId="0" borderId="0" xfId="0" applyNumberFormat="1" applyFont="1" applyAlignment="1">
      <alignment wrapText="1"/>
    </xf>
    <xf numFmtId="0" fontId="32" fillId="3" borderId="26" xfId="0" applyFont="1" applyFill="1" applyBorder="1" applyAlignment="1">
      <alignment horizontal="centerContinuous" vertical="center" wrapText="1"/>
    </xf>
    <xf numFmtId="49" fontId="21" fillId="0" borderId="1" xfId="0" applyNumberFormat="1" applyFont="1" applyBorder="1" applyAlignment="1" applyProtection="1">
      <alignment vertical="center" wrapText="1"/>
      <protection locked="0"/>
    </xf>
    <xf numFmtId="0" fontId="0" fillId="0" borderId="1" xfId="0" applyBorder="1" applyAlignment="1" applyProtection="1">
      <alignment horizontal="center" vertical="center"/>
      <protection locked="0"/>
    </xf>
    <xf numFmtId="0" fontId="21" fillId="0" borderId="19" xfId="0" applyFont="1" applyBorder="1" applyProtection="1">
      <protection locked="0"/>
    </xf>
    <xf numFmtId="0" fontId="0" fillId="0" borderId="20" xfId="0" applyBorder="1"/>
    <xf numFmtId="0" fontId="0" fillId="0" borderId="18" xfId="0" applyBorder="1"/>
    <xf numFmtId="0" fontId="0" fillId="0" borderId="21" xfId="0" applyBorder="1"/>
    <xf numFmtId="0" fontId="0" fillId="0" borderId="19" xfId="0" applyBorder="1"/>
    <xf numFmtId="0" fontId="0" fillId="0" borderId="14" xfId="0" applyBorder="1"/>
    <xf numFmtId="0" fontId="0" fillId="0" borderId="16" xfId="0" applyBorder="1"/>
    <xf numFmtId="0" fontId="11" fillId="0" borderId="0" xfId="0" applyFont="1" applyAlignment="1">
      <alignment horizontal="centerContinuous" wrapText="1"/>
    </xf>
    <xf numFmtId="0" fontId="6" fillId="0" borderId="12" xfId="0" applyFont="1" applyBorder="1"/>
    <xf numFmtId="0" fontId="6" fillId="0" borderId="1" xfId="0" applyFont="1" applyBorder="1" applyAlignment="1" applyProtection="1">
      <alignment horizontal="center" vertical="center"/>
      <protection locked="0"/>
    </xf>
    <xf numFmtId="9" fontId="13" fillId="24" borderId="0" xfId="1" applyFont="1" applyFill="1"/>
    <xf numFmtId="0" fontId="23" fillId="0" borderId="1" xfId="0" applyFont="1" applyBorder="1" applyAlignment="1">
      <alignment horizontal="left" vertical="center" wrapText="1"/>
    </xf>
    <xf numFmtId="0" fontId="6" fillId="0" borderId="0" xfId="0" applyFont="1" applyAlignment="1">
      <alignment horizontal="centerContinuous"/>
    </xf>
    <xf numFmtId="0" fontId="8" fillId="0" borderId="1" xfId="0" applyFont="1" applyBorder="1" applyAlignment="1" applyProtection="1">
      <alignment horizontal="left" vertical="top" wrapText="1"/>
      <protection locked="0"/>
    </xf>
    <xf numFmtId="0" fontId="37" fillId="0" borderId="1" xfId="0" applyFont="1" applyBorder="1" applyAlignment="1" applyProtection="1">
      <alignment horizontal="left" vertical="center" wrapText="1"/>
      <protection locked="0"/>
    </xf>
    <xf numFmtId="0" fontId="6" fillId="9" borderId="8" xfId="0" applyFont="1" applyFill="1" applyBorder="1"/>
    <xf numFmtId="1" fontId="5" fillId="2" borderId="8" xfId="0" applyNumberFormat="1" applyFont="1" applyFill="1" applyBorder="1" applyAlignment="1">
      <alignment vertical="center"/>
    </xf>
    <xf numFmtId="0" fontId="6" fillId="0" borderId="4" xfId="0" applyFont="1" applyBorder="1" applyAlignment="1">
      <alignment vertical="center"/>
    </xf>
    <xf numFmtId="10" fontId="5" fillId="5" borderId="1" xfId="0" applyNumberFormat="1" applyFont="1" applyFill="1" applyBorder="1" applyAlignment="1">
      <alignment horizontal="centerContinuous" vertical="center"/>
    </xf>
    <xf numFmtId="1" fontId="5" fillId="5" borderId="1" xfId="0" applyNumberFormat="1" applyFont="1" applyFill="1" applyBorder="1" applyAlignment="1">
      <alignment horizontal="centerContinuous" vertical="center"/>
    </xf>
    <xf numFmtId="10" fontId="5" fillId="5" borderId="1" xfId="0" applyNumberFormat="1" applyFont="1" applyFill="1" applyBorder="1" applyAlignment="1">
      <alignment horizontal="center" vertical="center"/>
    </xf>
    <xf numFmtId="10" fontId="5" fillId="5" borderId="1" xfId="0" applyNumberFormat="1" applyFont="1" applyFill="1" applyBorder="1" applyAlignment="1">
      <alignment vertical="center"/>
    </xf>
    <xf numFmtId="1" fontId="6" fillId="2" borderId="1" xfId="0" applyNumberFormat="1" applyFont="1" applyFill="1" applyBorder="1" applyAlignment="1">
      <alignment vertical="center"/>
    </xf>
    <xf numFmtId="9" fontId="6" fillId="2" borderId="1" xfId="0" applyNumberFormat="1" applyFont="1" applyFill="1" applyBorder="1" applyAlignment="1">
      <alignment vertical="center"/>
    </xf>
    <xf numFmtId="0" fontId="5" fillId="5" borderId="1" xfId="0" applyFont="1" applyFill="1" applyBorder="1" applyAlignment="1">
      <alignment vertical="center"/>
    </xf>
    <xf numFmtId="0" fontId="5" fillId="5" borderId="1" xfId="0" applyFont="1" applyFill="1" applyBorder="1" applyAlignment="1">
      <alignment horizontal="right" vertical="center"/>
    </xf>
    <xf numFmtId="0" fontId="5" fillId="2" borderId="1" xfId="0" applyFont="1" applyFill="1" applyBorder="1" applyAlignment="1">
      <alignment vertical="center" textRotation="90"/>
    </xf>
    <xf numFmtId="49" fontId="21" fillId="6" borderId="1" xfId="0" applyNumberFormat="1" applyFont="1" applyFill="1" applyBorder="1" applyAlignment="1">
      <alignment horizontal="left" vertical="center" wrapText="1"/>
    </xf>
    <xf numFmtId="0" fontId="21" fillId="6" borderId="1" xfId="0" applyFont="1" applyFill="1" applyBorder="1" applyAlignment="1">
      <alignment vertical="center" wrapText="1"/>
    </xf>
    <xf numFmtId="0" fontId="7" fillId="8" borderId="1" xfId="0" applyFont="1" applyFill="1" applyBorder="1" applyAlignment="1">
      <alignment vertical="center" wrapText="1"/>
    </xf>
    <xf numFmtId="10"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23" fillId="0" borderId="1" xfId="0" applyFont="1" applyBorder="1" applyAlignment="1">
      <alignment vertical="center" wrapText="1"/>
    </xf>
    <xf numFmtId="0" fontId="27" fillId="19" borderId="13" xfId="0" applyFont="1" applyFill="1" applyBorder="1" applyAlignment="1">
      <alignment vertical="center" wrapText="1"/>
    </xf>
    <xf numFmtId="0" fontId="15" fillId="19" borderId="14" xfId="0" applyFont="1" applyFill="1" applyBorder="1" applyAlignment="1">
      <alignment horizontal="left" vertical="center" wrapText="1"/>
    </xf>
    <xf numFmtId="0" fontId="38" fillId="3" borderId="27" xfId="0" applyFont="1" applyFill="1" applyBorder="1" applyAlignment="1">
      <alignment horizontal="centerContinuous" vertical="center" wrapText="1"/>
    </xf>
    <xf numFmtId="0" fontId="21" fillId="3" borderId="28" xfId="0" applyFont="1" applyFill="1" applyBorder="1" applyAlignment="1">
      <alignment vertical="center" wrapText="1"/>
    </xf>
    <xf numFmtId="0" fontId="21" fillId="4" borderId="29" xfId="0" applyFont="1" applyFill="1" applyBorder="1" applyAlignment="1">
      <alignment vertical="center" wrapText="1"/>
    </xf>
    <xf numFmtId="0" fontId="21" fillId="4" borderId="28" xfId="0" applyFont="1" applyFill="1" applyBorder="1" applyAlignment="1">
      <alignment vertical="center" wrapText="1"/>
    </xf>
    <xf numFmtId="164" fontId="7" fillId="5" borderId="17" xfId="0" applyNumberFormat="1" applyFont="1" applyFill="1" applyBorder="1" applyAlignment="1">
      <alignment vertical="center" wrapText="1"/>
    </xf>
    <xf numFmtId="0" fontId="7" fillId="5" borderId="28" xfId="0" applyFont="1" applyFill="1" applyBorder="1" applyAlignment="1">
      <alignment vertical="center"/>
    </xf>
    <xf numFmtId="0" fontId="28" fillId="22" borderId="39" xfId="0" applyFont="1" applyFill="1" applyBorder="1" applyAlignment="1">
      <alignment horizontal="center" vertical="center"/>
    </xf>
    <xf numFmtId="0" fontId="28" fillId="22" borderId="6" xfId="0" applyFont="1" applyFill="1" applyBorder="1" applyAlignment="1">
      <alignment horizontal="center" vertical="center"/>
    </xf>
    <xf numFmtId="0" fontId="28" fillId="22" borderId="40" xfId="0" applyFont="1" applyFill="1" applyBorder="1" applyAlignment="1">
      <alignment horizontal="center" vertical="center"/>
    </xf>
    <xf numFmtId="10" fontId="33" fillId="0" borderId="37" xfId="1" applyNumberFormat="1" applyFont="1" applyFill="1" applyBorder="1" applyAlignment="1">
      <alignment vertical="center"/>
    </xf>
    <xf numFmtId="0" fontId="35" fillId="19" borderId="41" xfId="0" applyFont="1" applyFill="1" applyBorder="1" applyAlignment="1">
      <alignment horizontal="left" vertical="center" wrapText="1"/>
    </xf>
    <xf numFmtId="9" fontId="33" fillId="0" borderId="42" xfId="1" applyFont="1" applyFill="1" applyBorder="1" applyAlignment="1">
      <alignment vertical="center"/>
    </xf>
    <xf numFmtId="10" fontId="33" fillId="0" borderId="44" xfId="1" applyNumberFormat="1" applyFont="1" applyFill="1" applyBorder="1" applyAlignment="1">
      <alignment vertical="center"/>
    </xf>
    <xf numFmtId="10" fontId="33" fillId="0" borderId="36" xfId="1" applyNumberFormat="1" applyFont="1" applyFill="1" applyBorder="1" applyAlignment="1">
      <alignment vertical="center"/>
    </xf>
    <xf numFmtId="10" fontId="33" fillId="0" borderId="38" xfId="1" applyNumberFormat="1" applyFont="1" applyFill="1" applyBorder="1" applyAlignment="1">
      <alignment vertical="center"/>
    </xf>
    <xf numFmtId="9" fontId="39" fillId="23" borderId="32" xfId="1" applyFont="1" applyFill="1" applyBorder="1" applyAlignment="1">
      <alignment vertical="center"/>
    </xf>
    <xf numFmtId="9" fontId="39" fillId="23" borderId="1" xfId="1" applyFont="1" applyFill="1" applyBorder="1" applyAlignment="1">
      <alignment vertical="center"/>
    </xf>
    <xf numFmtId="9" fontId="39" fillId="23" borderId="15" xfId="1" applyFont="1" applyFill="1" applyBorder="1" applyAlignment="1">
      <alignment vertical="center"/>
    </xf>
    <xf numFmtId="0" fontId="40" fillId="22" borderId="11" xfId="0" applyFont="1" applyFill="1" applyBorder="1" applyAlignment="1">
      <alignment horizontal="center" vertical="center"/>
    </xf>
    <xf numFmtId="9" fontId="39" fillId="22" borderId="34" xfId="1" applyFont="1" applyFill="1" applyBorder="1" applyAlignment="1">
      <alignment vertical="center"/>
    </xf>
    <xf numFmtId="9" fontId="39" fillId="22" borderId="2" xfId="1" applyFont="1" applyFill="1" applyBorder="1" applyAlignment="1">
      <alignment vertical="center"/>
    </xf>
    <xf numFmtId="9" fontId="39" fillId="22" borderId="35" xfId="1" applyFont="1" applyFill="1" applyBorder="1" applyAlignment="1">
      <alignment vertical="center"/>
    </xf>
    <xf numFmtId="9" fontId="41" fillId="0" borderId="43" xfId="0" applyNumberFormat="1" applyFont="1" applyBorder="1" applyAlignment="1">
      <alignment wrapText="1"/>
    </xf>
    <xf numFmtId="0" fontId="16" fillId="0" borderId="0" xfId="0" applyFont="1" applyAlignment="1">
      <alignment horizontal="center" vertical="center" wrapText="1"/>
    </xf>
    <xf numFmtId="0" fontId="11" fillId="0" borderId="11" xfId="0" applyFont="1" applyBorder="1" applyAlignment="1">
      <alignment horizontal="centerContinuous" vertical="top" wrapText="1"/>
    </xf>
    <xf numFmtId="0" fontId="11" fillId="0" borderId="33" xfId="0" applyFont="1" applyBorder="1" applyAlignment="1">
      <alignment horizontal="centerContinuous" wrapText="1"/>
    </xf>
    <xf numFmtId="0" fontId="11" fillId="0" borderId="12" xfId="0" applyFont="1" applyBorder="1" applyAlignment="1">
      <alignment horizontal="center" wrapText="1"/>
    </xf>
    <xf numFmtId="0" fontId="11" fillId="0" borderId="8" xfId="0" applyFont="1" applyBorder="1" applyAlignment="1">
      <alignment horizontal="center" wrapText="1"/>
    </xf>
    <xf numFmtId="0" fontId="11" fillId="0" borderId="11" xfId="0" applyFont="1" applyBorder="1" applyAlignment="1">
      <alignment horizontal="centerContinuous" wrapText="1"/>
    </xf>
    <xf numFmtId="0" fontId="6" fillId="0" borderId="8" xfId="0" applyFont="1" applyBorder="1"/>
    <xf numFmtId="0" fontId="6" fillId="0" borderId="33" xfId="0" applyFont="1" applyBorder="1" applyAlignment="1">
      <alignment horizontal="centerContinuous"/>
    </xf>
    <xf numFmtId="9" fontId="42" fillId="25" borderId="6" xfId="1" applyFont="1" applyFill="1" applyBorder="1" applyAlignment="1">
      <alignment vertical="center"/>
    </xf>
    <xf numFmtId="9" fontId="42" fillId="25" borderId="1" xfId="1" applyFont="1" applyFill="1" applyBorder="1" applyAlignment="1">
      <alignment vertical="center"/>
    </xf>
    <xf numFmtId="0" fontId="44" fillId="0" borderId="0" xfId="0" applyFont="1" applyAlignment="1">
      <alignment horizontal="center" vertical="center" wrapText="1"/>
      <extLst>
        <ext xmlns:xfpb="http://schemas.microsoft.com/office/spreadsheetml/2022/featurepropertybag" uri="{C7286773-470A-42A8-94C5-96B5CB345126}">
          <xfpb:xfComplement i="0"/>
        </ext>
      </extLst>
    </xf>
    <xf numFmtId="0" fontId="32" fillId="2" borderId="1" xfId="0" applyFont="1" applyFill="1" applyBorder="1" applyAlignment="1" applyProtection="1">
      <alignment horizontal="left" vertical="top" wrapText="1"/>
      <protection locked="0"/>
    </xf>
    <xf numFmtId="0" fontId="32" fillId="0" borderId="1" xfId="0" applyFont="1" applyBorder="1" applyAlignment="1" applyProtection="1">
      <alignment horizontal="left" vertical="top" wrapText="1"/>
      <protection locked="0"/>
    </xf>
    <xf numFmtId="0" fontId="45" fillId="0" borderId="7" xfId="0" applyFont="1" applyBorder="1" applyAlignment="1">
      <alignment horizontal="left" vertical="center" wrapText="1"/>
    </xf>
    <xf numFmtId="0" fontId="45" fillId="0" borderId="1" xfId="0" applyFont="1" applyBorder="1" applyAlignment="1">
      <alignment horizontal="left" vertical="center" wrapText="1"/>
    </xf>
    <xf numFmtId="0" fontId="45" fillId="0" borderId="18" xfId="0" applyFont="1" applyBorder="1" applyAlignment="1">
      <alignment vertical="center" wrapText="1"/>
    </xf>
    <xf numFmtId="0" fontId="45" fillId="0" borderId="47" xfId="0" applyFont="1" applyBorder="1" applyAlignment="1">
      <alignment horizontal="center" vertical="center" wrapText="1"/>
    </xf>
    <xf numFmtId="0" fontId="45" fillId="0" borderId="5" xfId="0" applyFont="1" applyBorder="1" applyAlignment="1">
      <alignment horizontal="left" vertical="center" wrapText="1"/>
    </xf>
    <xf numFmtId="0" fontId="45" fillId="0" borderId="48" xfId="0" applyFont="1" applyBorder="1" applyAlignment="1">
      <alignment horizontal="left" vertical="top" wrapText="1"/>
    </xf>
    <xf numFmtId="0" fontId="45" fillId="0" borderId="47" xfId="0" applyFont="1" applyBorder="1" applyAlignment="1">
      <alignment horizontal="left" vertical="top" wrapText="1"/>
    </xf>
    <xf numFmtId="0" fontId="45" fillId="0" borderId="5" xfId="0" applyFont="1" applyBorder="1" applyAlignment="1">
      <alignment horizontal="left" vertical="top" wrapText="1"/>
    </xf>
    <xf numFmtId="0" fontId="45" fillId="0" borderId="47" xfId="0" applyFont="1" applyBorder="1" applyAlignment="1">
      <alignment horizontal="left" vertical="center" wrapText="1"/>
    </xf>
    <xf numFmtId="0" fontId="45" fillId="0" borderId="18" xfId="0" applyFont="1" applyBorder="1" applyAlignment="1">
      <alignment horizontal="left" vertical="center" wrapText="1"/>
    </xf>
    <xf numFmtId="0" fontId="45" fillId="0" borderId="19" xfId="0" applyFont="1" applyBorder="1" applyAlignment="1">
      <alignment horizontal="left" vertical="center" wrapText="1"/>
    </xf>
    <xf numFmtId="0" fontId="46" fillId="0" borderId="1" xfId="0" applyFont="1" applyBorder="1" applyAlignment="1">
      <alignment horizontal="left" vertical="center" wrapText="1"/>
    </xf>
    <xf numFmtId="0" fontId="45" fillId="19" borderId="46" xfId="0" applyFont="1" applyFill="1" applyBorder="1" applyAlignment="1">
      <alignment horizontal="left" vertical="center" wrapText="1"/>
    </xf>
    <xf numFmtId="0" fontId="45" fillId="19" borderId="47" xfId="0" applyFont="1" applyFill="1" applyBorder="1" applyAlignment="1">
      <alignment horizontal="left" vertical="center" wrapText="1"/>
    </xf>
    <xf numFmtId="0" fontId="45" fillId="19" borderId="1" xfId="0" applyFont="1" applyFill="1" applyBorder="1" applyAlignment="1">
      <alignment horizontal="left" vertical="center" wrapText="1"/>
    </xf>
    <xf numFmtId="0" fontId="6" fillId="14" borderId="1" xfId="0" applyFont="1" applyFill="1" applyBorder="1" applyAlignment="1" applyProtection="1">
      <alignment horizontal="left" vertical="top"/>
      <protection locked="0"/>
    </xf>
    <xf numFmtId="0" fontId="6" fillId="19" borderId="1" xfId="0" applyFont="1" applyFill="1" applyBorder="1" applyAlignment="1" applyProtection="1">
      <alignment horizontal="left" vertical="top" wrapText="1"/>
      <protection locked="0"/>
    </xf>
    <xf numFmtId="49" fontId="21" fillId="0" borderId="5" xfId="0" applyNumberFormat="1" applyFont="1" applyBorder="1" applyAlignment="1" applyProtection="1">
      <alignment vertical="center" wrapText="1"/>
      <protection locked="0"/>
    </xf>
    <xf numFmtId="0" fontId="0" fillId="0" borderId="5" xfId="0" applyBorder="1" applyAlignment="1" applyProtection="1">
      <alignment horizontal="center" vertical="center"/>
      <protection locked="0"/>
    </xf>
    <xf numFmtId="0" fontId="0" fillId="0" borderId="5" xfId="0" applyBorder="1" applyProtection="1">
      <protection locked="0"/>
    </xf>
    <xf numFmtId="49" fontId="8" fillId="0" borderId="5" xfId="0" applyNumberFormat="1" applyFont="1" applyBorder="1" applyAlignment="1" applyProtection="1">
      <alignment horizontal="left" vertical="top" wrapText="1"/>
      <protection locked="0"/>
    </xf>
    <xf numFmtId="0" fontId="24" fillId="0" borderId="18" xfId="0" applyFont="1" applyBorder="1" applyAlignment="1">
      <alignment vertical="center" wrapText="1"/>
    </xf>
    <xf numFmtId="0" fontId="14" fillId="10" borderId="0" xfId="0" applyFont="1" applyFill="1" applyAlignment="1">
      <alignment horizontal="left" vertical="top" wrapText="1"/>
    </xf>
    <xf numFmtId="0" fontId="16" fillId="0" borderId="0" xfId="0" applyFont="1" applyAlignment="1">
      <alignment horizontal="left" vertical="top" wrapText="1"/>
    </xf>
    <xf numFmtId="0" fontId="5" fillId="2" borderId="5" xfId="0" applyFont="1" applyFill="1" applyBorder="1" applyAlignment="1">
      <alignment horizontal="center" vertical="center" textRotation="90"/>
    </xf>
    <xf numFmtId="0" fontId="5" fillId="2" borderId="6" xfId="0" applyFont="1" applyFill="1" applyBorder="1" applyAlignment="1">
      <alignment horizontal="center" vertical="center" textRotation="90"/>
    </xf>
    <xf numFmtId="0" fontId="5" fillId="3" borderId="1" xfId="0" applyFont="1" applyFill="1" applyBorder="1" applyAlignment="1">
      <alignment horizontal="center" vertical="center"/>
    </xf>
    <xf numFmtId="0" fontId="5" fillId="3" borderId="5"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5" xfId="0" applyFont="1" applyFill="1" applyBorder="1" applyAlignment="1">
      <alignment horizontal="center" vertical="center"/>
    </xf>
    <xf numFmtId="0" fontId="11" fillId="0" borderId="0" xfId="0" applyFont="1" applyAlignment="1">
      <alignment horizontal="left" vertical="top" wrapText="1"/>
    </xf>
    <xf numFmtId="0" fontId="15" fillId="0" borderId="0" xfId="0" applyFont="1" applyAlignment="1">
      <alignment horizontal="left" vertical="top" wrapText="1"/>
    </xf>
    <xf numFmtId="0" fontId="0" fillId="0" borderId="0" xfId="0" applyAlignment="1" applyProtection="1">
      <alignment horizontal="left" vertical="top"/>
      <protection locked="0"/>
    </xf>
    <xf numFmtId="0" fontId="0" fillId="0" borderId="11" xfId="0" applyBorder="1" applyAlignment="1" applyProtection="1">
      <alignment horizontal="left"/>
      <protection locked="0"/>
    </xf>
    <xf numFmtId="0" fontId="0" fillId="0" borderId="0" xfId="0" applyAlignment="1" applyProtection="1">
      <alignment horizontal="left"/>
      <protection locked="0"/>
    </xf>
    <xf numFmtId="0" fontId="25" fillId="0" borderId="0" xfId="0" applyFont="1" applyAlignment="1" applyProtection="1">
      <alignment horizontal="left" vertical="top" wrapText="1"/>
      <protection locked="0"/>
    </xf>
    <xf numFmtId="0" fontId="28" fillId="12" borderId="11" xfId="0" applyFont="1" applyFill="1" applyBorder="1" applyAlignment="1" applyProtection="1">
      <alignment horizontal="center" vertical="center" wrapText="1"/>
      <protection locked="0"/>
    </xf>
    <xf numFmtId="0" fontId="28" fillId="12" borderId="0" xfId="0" applyFont="1" applyFill="1" applyAlignment="1" applyProtection="1">
      <alignment horizontal="center" vertical="center" wrapText="1"/>
      <protection locked="0"/>
    </xf>
    <xf numFmtId="0" fontId="26" fillId="0" borderId="0" xfId="0" applyFont="1" applyAlignment="1" applyProtection="1">
      <alignment horizontal="center" vertical="top" wrapText="1"/>
      <protection locked="0"/>
    </xf>
    <xf numFmtId="0" fontId="0" fillId="0" borderId="0" xfId="0" applyAlignment="1" applyProtection="1">
      <alignment horizontal="left" vertical="top" wrapText="1"/>
      <protection locked="0"/>
    </xf>
    <xf numFmtId="0" fontId="25" fillId="0" borderId="0" xfId="0" quotePrefix="1" applyFont="1" applyAlignment="1" applyProtection="1">
      <alignment horizontal="left" vertical="top" wrapText="1"/>
      <protection locked="0"/>
    </xf>
    <xf numFmtId="0" fontId="28" fillId="22" borderId="40" xfId="0" applyFont="1" applyFill="1" applyBorder="1" applyAlignment="1">
      <alignment horizontal="center" vertical="center"/>
    </xf>
    <xf numFmtId="0" fontId="28" fillId="22" borderId="45" xfId="0" applyFont="1" applyFill="1" applyBorder="1" applyAlignment="1">
      <alignment horizontal="center" vertical="center"/>
    </xf>
    <xf numFmtId="0" fontId="43" fillId="0" borderId="24" xfId="0" applyFont="1" applyBorder="1" applyAlignment="1">
      <alignment horizontal="right" vertical="center" wrapText="1"/>
    </xf>
    <xf numFmtId="0" fontId="43" fillId="0" borderId="0" xfId="0" applyFont="1" applyAlignment="1">
      <alignment horizontal="right" vertical="center" wrapText="1"/>
    </xf>
    <xf numFmtId="0" fontId="11" fillId="0" borderId="10"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11" fillId="0" borderId="33" xfId="0" applyFont="1" applyBorder="1" applyAlignment="1">
      <alignment horizontal="center" vertical="top" wrapText="1"/>
    </xf>
    <xf numFmtId="0" fontId="11" fillId="0" borderId="0" xfId="0" applyFont="1" applyAlignment="1">
      <alignment horizontal="center" wrapText="1"/>
    </xf>
    <xf numFmtId="0" fontId="11" fillId="0" borderId="0" xfId="0" applyFont="1" applyAlignment="1">
      <alignment horizontal="center" vertical="top" wrapText="1"/>
    </xf>
    <xf numFmtId="0" fontId="5" fillId="2" borderId="1" xfId="0" applyFont="1" applyFill="1" applyBorder="1" applyAlignment="1">
      <alignment horizontal="center" vertical="center" textRotation="90"/>
    </xf>
    <xf numFmtId="0" fontId="36" fillId="0" borderId="30" xfId="0" applyFont="1" applyBorder="1" applyAlignment="1">
      <alignment horizontal="center"/>
    </xf>
    <xf numFmtId="0" fontId="36" fillId="0" borderId="31" xfId="0" applyFont="1" applyBorder="1" applyAlignment="1">
      <alignment horizontal="center"/>
    </xf>
  </cellXfs>
  <cellStyles count="2">
    <cellStyle name="Normal" xfId="0" builtinId="0"/>
    <cellStyle name="Percent" xfId="1" builtinId="5"/>
  </cellStyles>
  <dxfs count="339">
    <dxf>
      <font>
        <color rgb="FFC00000"/>
      </font>
      <fill>
        <patternFill>
          <bgColor rgb="FFFF5050"/>
        </patternFill>
      </fill>
    </dxf>
    <dxf>
      <font>
        <color rgb="FFC00000"/>
      </font>
      <fill>
        <patternFill>
          <bgColor rgb="FFFF5050"/>
        </patternFill>
      </fill>
    </dxf>
    <dxf>
      <font>
        <color rgb="FFC00000"/>
      </font>
      <fill>
        <patternFill>
          <bgColor rgb="FFFF5050"/>
        </patternFill>
      </fill>
    </dxf>
    <dxf>
      <font>
        <color rgb="FFC00000"/>
      </font>
      <fill>
        <patternFill>
          <bgColor rgb="FFFF5050"/>
        </patternFill>
      </fill>
    </dxf>
    <dxf>
      <font>
        <color rgb="FFC00000"/>
      </font>
      <fill>
        <patternFill>
          <bgColor rgb="FFFF5050"/>
        </patternFill>
      </fill>
    </dxf>
    <dxf>
      <font>
        <color rgb="FFC00000"/>
      </font>
      <fill>
        <patternFill>
          <bgColor rgb="FFFF5050"/>
        </patternFill>
      </fill>
    </dxf>
    <dxf>
      <font>
        <color rgb="FFC00000"/>
      </font>
      <fill>
        <patternFill>
          <bgColor rgb="FFFF5050"/>
        </patternFill>
      </fill>
    </dxf>
    <dxf>
      <font>
        <color rgb="FFC00000"/>
      </font>
      <fill>
        <patternFill>
          <bgColor rgb="FFFF5050"/>
        </patternFill>
      </fill>
    </dxf>
    <dxf>
      <font>
        <b/>
        <i val="0"/>
        <color theme="2" tint="-0.749961851863155"/>
      </font>
      <fill>
        <patternFill>
          <bgColor theme="2"/>
        </patternFill>
      </fill>
    </dxf>
    <dxf>
      <font>
        <color rgb="FFC00000"/>
      </font>
      <fill>
        <patternFill>
          <bgColor rgb="FFFF5050"/>
        </patternFill>
      </fill>
    </dxf>
    <dxf>
      <font>
        <color rgb="FFC00000"/>
      </font>
      <fill>
        <patternFill>
          <bgColor rgb="FFFF5050"/>
        </patternFill>
      </fill>
    </dxf>
    <dxf>
      <font>
        <color rgb="FF00B050"/>
      </font>
      <fill>
        <patternFill>
          <bgColor theme="9" tint="0.39994506668294322"/>
        </patternFill>
      </fill>
    </dxf>
    <dxf>
      <font>
        <color rgb="FFC00000"/>
      </font>
      <fill>
        <patternFill>
          <bgColor rgb="FFFF5050"/>
        </patternFill>
      </fill>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color auto="1"/>
        <name val="Arial"/>
        <family val="2"/>
        <scheme val="none"/>
      </font>
      <numFmt numFmtId="14"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206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2060"/>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206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2060"/>
        <name val="Arial"/>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9"/>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Arial"/>
        <family val="2"/>
        <scheme val="none"/>
      </font>
    </dxf>
    <dxf>
      <border>
        <bottom style="thin">
          <color rgb="FF000000"/>
        </bottom>
      </border>
    </dxf>
    <dxf>
      <font>
        <strike val="0"/>
        <outline val="0"/>
        <shadow val="0"/>
        <u val="none"/>
        <vertAlign val="baseline"/>
        <sz val="9"/>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Arial"/>
        <family val="2"/>
        <scheme val="none"/>
      </font>
      <numFmt numFmtId="14"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9"/>
        <color rgb="FF00206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Arial"/>
        <family val="2"/>
        <scheme val="none"/>
      </font>
    </dxf>
    <dxf>
      <border>
        <bottom style="thin">
          <color rgb="FF000000"/>
        </bottom>
      </border>
    </dxf>
    <dxf>
      <font>
        <strike val="0"/>
        <outline val="0"/>
        <shadow val="0"/>
        <u val="none"/>
        <vertAlign val="baseline"/>
        <sz val="9"/>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Arial"/>
        <family val="2"/>
        <scheme val="none"/>
      </font>
      <numFmt numFmtId="14"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9"/>
        <color rgb="FF00206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Arial"/>
        <family val="2"/>
        <scheme val="none"/>
      </font>
    </dxf>
    <dxf>
      <border>
        <bottom style="thin">
          <color rgb="FF000000"/>
        </bottom>
      </border>
    </dxf>
    <dxf>
      <font>
        <strike val="0"/>
        <outline val="0"/>
        <shadow val="0"/>
        <u val="none"/>
        <vertAlign val="baseline"/>
        <sz val="9"/>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Arial"/>
        <family val="2"/>
        <scheme val="none"/>
      </font>
      <numFmt numFmtId="14"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9"/>
        <color rgb="FF00206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Arial"/>
        <family val="2"/>
        <scheme val="none"/>
      </font>
    </dxf>
    <dxf>
      <border>
        <bottom style="thin">
          <color rgb="FF000000"/>
        </bottom>
      </border>
    </dxf>
    <dxf>
      <font>
        <strike val="0"/>
        <outline val="0"/>
        <shadow val="0"/>
        <u val="none"/>
        <vertAlign val="baseline"/>
        <sz val="9"/>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Arial"/>
        <family val="2"/>
        <scheme val="none"/>
      </font>
      <numFmt numFmtId="14"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9"/>
        <color rgb="FF00206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Arial"/>
        <family val="2"/>
        <scheme val="none"/>
      </font>
    </dxf>
    <dxf>
      <border>
        <bottom style="thin">
          <color rgb="FF000000"/>
        </bottom>
      </border>
    </dxf>
    <dxf>
      <font>
        <strike val="0"/>
        <outline val="0"/>
        <shadow val="0"/>
        <u val="none"/>
        <vertAlign val="baseline"/>
        <sz val="9"/>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Arial"/>
        <family val="2"/>
        <scheme val="none"/>
      </font>
      <numFmt numFmtId="14"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9"/>
        <color rgb="FF00206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dxf>
    <dxf>
      <border>
        <bottom style="thin">
          <color indexed="64"/>
        </bottom>
      </border>
    </dxf>
    <dxf>
      <font>
        <strike val="0"/>
        <outline val="0"/>
        <shadow val="0"/>
        <u val="none"/>
        <vertAlign val="baseline"/>
        <sz val="9"/>
        <color theme="1"/>
        <name val="Arial"/>
        <family val="2"/>
        <scheme val="none"/>
      </font>
      <border diagonalUp="0" diagonalDown="0" outline="0">
        <left style="thin">
          <color indexed="64"/>
        </left>
        <right style="thin">
          <color indexed="64"/>
        </right>
        <top/>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14"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0" formatCode="Genera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color auto="1"/>
        <name val="Arial"/>
        <family val="2"/>
        <scheme val="none"/>
      </font>
      <numFmt numFmtId="14"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0" hidden="0"/>
    </dxf>
    <dxf>
      <font>
        <b val="0"/>
        <i val="0"/>
        <strike val="0"/>
        <condense val="0"/>
        <extend val="0"/>
        <outline val="0"/>
        <shadow val="0"/>
        <u val="none"/>
        <vertAlign val="baseline"/>
        <sz val="9"/>
        <color rgb="FF002060"/>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rgb="FF002060"/>
        <name val="Arial"/>
        <family val="2"/>
        <scheme val="none"/>
      </font>
      <numFmt numFmtId="14" formatCode="0.0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9"/>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9"/>
        <name val="Arial"/>
        <family val="2"/>
        <scheme val="none"/>
      </font>
    </dxf>
    <dxf>
      <border>
        <bottom style="thin">
          <color rgb="FF000000"/>
        </bottom>
      </border>
    </dxf>
    <dxf>
      <font>
        <strike val="0"/>
        <outline val="0"/>
        <shadow val="0"/>
        <u val="none"/>
        <vertAlign val="baseline"/>
        <sz val="9"/>
        <color theme="1"/>
        <name val="Arial"/>
        <family val="2"/>
        <scheme val="none"/>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8"/>
        <color auto="1"/>
        <name val="Arial"/>
        <family val="2"/>
        <scheme val="none"/>
      </font>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8"/>
        <color auto="1"/>
        <name val="Arial"/>
        <family val="2"/>
        <scheme val="none"/>
      </font>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strike val="0"/>
        <outline val="0"/>
        <shadow val="0"/>
        <u val="none"/>
        <vertAlign val="baseline"/>
        <sz val="9"/>
        <color auto="1"/>
        <name val="Arial"/>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i/>
        <strike val="0"/>
        <outline val="0"/>
        <shadow val="0"/>
        <u val="none"/>
        <vertAlign val="baseline"/>
        <sz val="9"/>
        <color auto="1"/>
        <name val="Arial"/>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medium">
          <color indexed="64"/>
        </right>
        <top style="medium">
          <color indexed="64"/>
        </top>
        <bottom style="medium">
          <color indexed="64"/>
        </bottom>
      </border>
    </dxf>
    <dxf>
      <font>
        <strike val="0"/>
        <outline val="0"/>
        <shadow val="0"/>
        <u val="none"/>
        <vertAlign val="baseline"/>
        <color auto="1"/>
        <name val="Arial"/>
        <family val="2"/>
        <scheme val="none"/>
      </font>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1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numFmt numFmtId="0" formatCode="Genera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auto="1"/>
        <name val="Arial"/>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2060"/>
        <name val="Arial"/>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2060"/>
        <name val="Arial"/>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206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rgb="FF002060"/>
        <name val="Arial"/>
        <family val="2"/>
        <scheme val="none"/>
      </font>
      <numFmt numFmtId="14" formatCode="0.0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2060"/>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indexed="64"/>
        </top>
      </border>
    </dxf>
    <dxf>
      <border outline="0">
        <right style="thin">
          <color indexed="64"/>
        </right>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theme="1"/>
        <name val="Arial"/>
        <family val="2"/>
        <scheme val="none"/>
      </font>
      <border diagonalUp="0" diagonalDown="0" outline="0">
        <left style="thin">
          <color indexed="64"/>
        </left>
        <right style="thin">
          <color indexed="64"/>
        </right>
        <top/>
        <bottom/>
      </border>
    </dxf>
  </dxfs>
  <tableStyles count="0" defaultTableStyle="TableStyleMedium2" defaultPivotStyle="PivotStyleLight16"/>
  <colors>
    <mruColors>
      <color rgb="FF0000CC"/>
      <color rgb="FFFF5050"/>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944301</xdr:colOff>
      <xdr:row>9</xdr:row>
      <xdr:rowOff>0</xdr:rowOff>
    </xdr:from>
    <xdr:ext cx="1553154" cy="445511"/>
    <xdr:pic>
      <xdr:nvPicPr>
        <xdr:cNvPr id="2" name="Picture 1" hidden="1">
          <a:extLst>
            <a:ext uri="{FF2B5EF4-FFF2-40B4-BE49-F238E27FC236}">
              <a16:creationId xmlns:a16="http://schemas.microsoft.com/office/drawing/2014/main" id="{40081B74-8FE6-43F0-A799-B40FB58426BD}"/>
            </a:ext>
          </a:extLst>
        </xdr:cNvPr>
        <xdr:cNvPicPr>
          <a:picLocks noChangeAspect="1"/>
        </xdr:cNvPicPr>
      </xdr:nvPicPr>
      <xdr:blipFill>
        <a:blip xmlns:r="http://schemas.openxmlformats.org/officeDocument/2006/relationships" r:embed="rId1"/>
        <a:stretch>
          <a:fillRect/>
        </a:stretch>
      </xdr:blipFill>
      <xdr:spPr>
        <a:xfrm>
          <a:off x="15107976" y="3705225"/>
          <a:ext cx="1553154" cy="445511"/>
        </a:xfrm>
        <a:prstGeom prst="rect">
          <a:avLst/>
        </a:prstGeom>
      </xdr:spPr>
    </xdr:pic>
    <xdr:clientData/>
  </xdr:oneCellAnchor>
  <xdr:oneCellAnchor>
    <xdr:from>
      <xdr:col>12</xdr:col>
      <xdr:colOff>944301</xdr:colOff>
      <xdr:row>9</xdr:row>
      <xdr:rowOff>0</xdr:rowOff>
    </xdr:from>
    <xdr:ext cx="1553154" cy="443183"/>
    <xdr:pic>
      <xdr:nvPicPr>
        <xdr:cNvPr id="3" name="Picture 2" hidden="1">
          <a:extLst>
            <a:ext uri="{FF2B5EF4-FFF2-40B4-BE49-F238E27FC236}">
              <a16:creationId xmlns:a16="http://schemas.microsoft.com/office/drawing/2014/main" id="{0E9C3B76-FF65-41A2-BDF2-04C0EFF03DFF}"/>
            </a:ext>
          </a:extLst>
        </xdr:cNvPr>
        <xdr:cNvPicPr>
          <a:picLocks noChangeAspect="1"/>
        </xdr:cNvPicPr>
      </xdr:nvPicPr>
      <xdr:blipFill>
        <a:blip xmlns:r="http://schemas.openxmlformats.org/officeDocument/2006/relationships" r:embed="rId1"/>
        <a:stretch>
          <a:fillRect/>
        </a:stretch>
      </xdr:blipFill>
      <xdr:spPr>
        <a:xfrm>
          <a:off x="15107976" y="3705225"/>
          <a:ext cx="1553154" cy="443183"/>
        </a:xfrm>
        <a:prstGeom prst="rect">
          <a:avLst/>
        </a:prstGeom>
      </xdr:spPr>
    </xdr:pic>
    <xdr:clientData/>
  </xdr:oneCellAnchor>
  <xdr:oneCellAnchor>
    <xdr:from>
      <xdr:col>12</xdr:col>
      <xdr:colOff>944301</xdr:colOff>
      <xdr:row>9</xdr:row>
      <xdr:rowOff>0</xdr:rowOff>
    </xdr:from>
    <xdr:ext cx="1553154" cy="498428"/>
    <xdr:pic>
      <xdr:nvPicPr>
        <xdr:cNvPr id="4" name="Picture 3" hidden="1">
          <a:extLst>
            <a:ext uri="{FF2B5EF4-FFF2-40B4-BE49-F238E27FC236}">
              <a16:creationId xmlns:a16="http://schemas.microsoft.com/office/drawing/2014/main" id="{65943288-E21A-4B6B-9460-8BB2E3FC2F8D}"/>
            </a:ext>
          </a:extLst>
        </xdr:cNvPr>
        <xdr:cNvPicPr>
          <a:picLocks noChangeAspect="1"/>
        </xdr:cNvPicPr>
      </xdr:nvPicPr>
      <xdr:blipFill>
        <a:blip xmlns:r="http://schemas.openxmlformats.org/officeDocument/2006/relationships" r:embed="rId1"/>
        <a:stretch>
          <a:fillRect/>
        </a:stretch>
      </xdr:blipFill>
      <xdr:spPr>
        <a:xfrm>
          <a:off x="15107976" y="3705225"/>
          <a:ext cx="1553154" cy="498428"/>
        </a:xfrm>
        <a:prstGeom prst="rect">
          <a:avLst/>
        </a:prstGeom>
      </xdr:spPr>
    </xdr:pic>
    <xdr:clientData/>
  </xdr:oneCellAnchor>
  <xdr:twoCellAnchor>
    <xdr:from>
      <xdr:col>2</xdr:col>
      <xdr:colOff>2040255</xdr:colOff>
      <xdr:row>12</xdr:row>
      <xdr:rowOff>306161</xdr:rowOff>
    </xdr:from>
    <xdr:to>
      <xdr:col>3</xdr:col>
      <xdr:colOff>1973036</xdr:colOff>
      <xdr:row>12</xdr:row>
      <xdr:rowOff>312420</xdr:rowOff>
    </xdr:to>
    <xdr:cxnSp macro="">
      <xdr:nvCxnSpPr>
        <xdr:cNvPr id="5" name="Straight Arrow Connector 4">
          <a:extLst>
            <a:ext uri="{FF2B5EF4-FFF2-40B4-BE49-F238E27FC236}">
              <a16:creationId xmlns:a16="http://schemas.microsoft.com/office/drawing/2014/main" id="{F13F682C-B844-4073-A0E8-FEA4699AEE05}"/>
            </a:ext>
          </a:extLst>
        </xdr:cNvPr>
        <xdr:cNvCxnSpPr/>
      </xdr:nvCxnSpPr>
      <xdr:spPr>
        <a:xfrm flipH="1">
          <a:off x="4965791" y="4490357"/>
          <a:ext cx="1973852" cy="6259"/>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3876</xdr:colOff>
      <xdr:row>14</xdr:row>
      <xdr:rowOff>441960</xdr:rowOff>
    </xdr:from>
    <xdr:to>
      <xdr:col>3</xdr:col>
      <xdr:colOff>1996966</xdr:colOff>
      <xdr:row>14</xdr:row>
      <xdr:rowOff>446690</xdr:rowOff>
    </xdr:to>
    <xdr:cxnSp macro="">
      <xdr:nvCxnSpPr>
        <xdr:cNvPr id="6" name="Straight Arrow Connector 5">
          <a:extLst>
            <a:ext uri="{FF2B5EF4-FFF2-40B4-BE49-F238E27FC236}">
              <a16:creationId xmlns:a16="http://schemas.microsoft.com/office/drawing/2014/main" id="{7CADEDFB-7743-4242-B5BA-C3CC5D75CB4A}"/>
            </a:ext>
          </a:extLst>
        </xdr:cNvPr>
        <xdr:cNvCxnSpPr/>
      </xdr:nvCxnSpPr>
      <xdr:spPr>
        <a:xfrm flipH="1" flipV="1">
          <a:off x="4950307" y="5368684"/>
          <a:ext cx="1993090" cy="4730"/>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944301</xdr:colOff>
      <xdr:row>24</xdr:row>
      <xdr:rowOff>0</xdr:rowOff>
    </xdr:from>
    <xdr:ext cx="1553154" cy="445511"/>
    <xdr:pic>
      <xdr:nvPicPr>
        <xdr:cNvPr id="7" name="Picture 6" hidden="1">
          <a:extLst>
            <a:ext uri="{FF2B5EF4-FFF2-40B4-BE49-F238E27FC236}">
              <a16:creationId xmlns:a16="http://schemas.microsoft.com/office/drawing/2014/main" id="{C07580C3-5596-4785-9873-9B3B9C42E741}"/>
            </a:ext>
          </a:extLst>
        </xdr:cNvPr>
        <xdr:cNvPicPr>
          <a:picLocks noChangeAspect="1"/>
        </xdr:cNvPicPr>
      </xdr:nvPicPr>
      <xdr:blipFill>
        <a:blip xmlns:r="http://schemas.openxmlformats.org/officeDocument/2006/relationships" r:embed="rId1"/>
        <a:stretch>
          <a:fillRect/>
        </a:stretch>
      </xdr:blipFill>
      <xdr:spPr>
        <a:xfrm>
          <a:off x="15107976" y="10315575"/>
          <a:ext cx="1553154" cy="445511"/>
        </a:xfrm>
        <a:prstGeom prst="rect">
          <a:avLst/>
        </a:prstGeom>
      </xdr:spPr>
    </xdr:pic>
    <xdr:clientData/>
  </xdr:oneCellAnchor>
  <xdr:oneCellAnchor>
    <xdr:from>
      <xdr:col>12</xdr:col>
      <xdr:colOff>944301</xdr:colOff>
      <xdr:row>24</xdr:row>
      <xdr:rowOff>0</xdr:rowOff>
    </xdr:from>
    <xdr:ext cx="1553154" cy="443183"/>
    <xdr:pic>
      <xdr:nvPicPr>
        <xdr:cNvPr id="8" name="Picture 7" hidden="1">
          <a:extLst>
            <a:ext uri="{FF2B5EF4-FFF2-40B4-BE49-F238E27FC236}">
              <a16:creationId xmlns:a16="http://schemas.microsoft.com/office/drawing/2014/main" id="{01F107F8-9C83-48FB-A51B-0B5C230B8C06}"/>
            </a:ext>
          </a:extLst>
        </xdr:cNvPr>
        <xdr:cNvPicPr>
          <a:picLocks noChangeAspect="1"/>
        </xdr:cNvPicPr>
      </xdr:nvPicPr>
      <xdr:blipFill>
        <a:blip xmlns:r="http://schemas.openxmlformats.org/officeDocument/2006/relationships" r:embed="rId1"/>
        <a:stretch>
          <a:fillRect/>
        </a:stretch>
      </xdr:blipFill>
      <xdr:spPr>
        <a:xfrm>
          <a:off x="15107976" y="10315575"/>
          <a:ext cx="1553154" cy="443183"/>
        </a:xfrm>
        <a:prstGeom prst="rect">
          <a:avLst/>
        </a:prstGeom>
      </xdr:spPr>
    </xdr:pic>
    <xdr:clientData/>
  </xdr:oneCellAnchor>
  <xdr:oneCellAnchor>
    <xdr:from>
      <xdr:col>12</xdr:col>
      <xdr:colOff>944301</xdr:colOff>
      <xdr:row>24</xdr:row>
      <xdr:rowOff>0</xdr:rowOff>
    </xdr:from>
    <xdr:ext cx="1553154" cy="498428"/>
    <xdr:pic>
      <xdr:nvPicPr>
        <xdr:cNvPr id="9" name="Picture 8" hidden="1">
          <a:extLst>
            <a:ext uri="{FF2B5EF4-FFF2-40B4-BE49-F238E27FC236}">
              <a16:creationId xmlns:a16="http://schemas.microsoft.com/office/drawing/2014/main" id="{E9966A76-1417-4285-B285-BFD64F5B32E6}"/>
            </a:ext>
          </a:extLst>
        </xdr:cNvPr>
        <xdr:cNvPicPr>
          <a:picLocks noChangeAspect="1"/>
        </xdr:cNvPicPr>
      </xdr:nvPicPr>
      <xdr:blipFill>
        <a:blip xmlns:r="http://schemas.openxmlformats.org/officeDocument/2006/relationships" r:embed="rId1"/>
        <a:stretch>
          <a:fillRect/>
        </a:stretch>
      </xdr:blipFill>
      <xdr:spPr>
        <a:xfrm>
          <a:off x="15107976" y="10315575"/>
          <a:ext cx="1553154" cy="498428"/>
        </a:xfrm>
        <a:prstGeom prst="rect">
          <a:avLst/>
        </a:prstGeom>
      </xdr:spPr>
    </xdr:pic>
    <xdr:clientData/>
  </xdr:oneCellAnchor>
  <xdr:oneCellAnchor>
    <xdr:from>
      <xdr:col>12</xdr:col>
      <xdr:colOff>944301</xdr:colOff>
      <xdr:row>16</xdr:row>
      <xdr:rowOff>0</xdr:rowOff>
    </xdr:from>
    <xdr:ext cx="1553154" cy="444818"/>
    <xdr:pic>
      <xdr:nvPicPr>
        <xdr:cNvPr id="22" name="Picture 21" hidden="1">
          <a:extLst>
            <a:ext uri="{FF2B5EF4-FFF2-40B4-BE49-F238E27FC236}">
              <a16:creationId xmlns:a16="http://schemas.microsoft.com/office/drawing/2014/main" id="{267C7530-D338-4F6C-BBAB-EF0D09566E25}"/>
            </a:ext>
          </a:extLst>
        </xdr:cNvPr>
        <xdr:cNvPicPr>
          <a:picLocks noChangeAspect="1"/>
        </xdr:cNvPicPr>
      </xdr:nvPicPr>
      <xdr:blipFill>
        <a:blip xmlns:r="http://schemas.openxmlformats.org/officeDocument/2006/relationships" r:embed="rId1"/>
        <a:stretch>
          <a:fillRect/>
        </a:stretch>
      </xdr:blipFill>
      <xdr:spPr>
        <a:xfrm>
          <a:off x="15955701" y="2524125"/>
          <a:ext cx="1553154" cy="444818"/>
        </a:xfrm>
        <a:prstGeom prst="rect">
          <a:avLst/>
        </a:prstGeom>
      </xdr:spPr>
    </xdr:pic>
    <xdr:clientData/>
  </xdr:oneCellAnchor>
  <xdr:oneCellAnchor>
    <xdr:from>
      <xdr:col>12</xdr:col>
      <xdr:colOff>944301</xdr:colOff>
      <xdr:row>16</xdr:row>
      <xdr:rowOff>0</xdr:rowOff>
    </xdr:from>
    <xdr:ext cx="1549344" cy="446300"/>
    <xdr:pic>
      <xdr:nvPicPr>
        <xdr:cNvPr id="23" name="Picture 22" hidden="1">
          <a:extLst>
            <a:ext uri="{FF2B5EF4-FFF2-40B4-BE49-F238E27FC236}">
              <a16:creationId xmlns:a16="http://schemas.microsoft.com/office/drawing/2014/main" id="{3D8FFF8E-53AE-4E04-8DA4-4310CAF06B6B}"/>
            </a:ext>
          </a:extLst>
        </xdr:cNvPr>
        <xdr:cNvPicPr>
          <a:picLocks noChangeAspect="1"/>
        </xdr:cNvPicPr>
      </xdr:nvPicPr>
      <xdr:blipFill>
        <a:blip xmlns:r="http://schemas.openxmlformats.org/officeDocument/2006/relationships" r:embed="rId1"/>
        <a:stretch>
          <a:fillRect/>
        </a:stretch>
      </xdr:blipFill>
      <xdr:spPr>
        <a:xfrm>
          <a:off x="15955701" y="2524125"/>
          <a:ext cx="1549344" cy="446300"/>
        </a:xfrm>
        <a:prstGeom prst="rect">
          <a:avLst/>
        </a:prstGeom>
      </xdr:spPr>
    </xdr:pic>
    <xdr:clientData/>
  </xdr:oneCellAnchor>
  <xdr:oneCellAnchor>
    <xdr:from>
      <xdr:col>12</xdr:col>
      <xdr:colOff>944301</xdr:colOff>
      <xdr:row>16</xdr:row>
      <xdr:rowOff>0</xdr:rowOff>
    </xdr:from>
    <xdr:ext cx="1549344" cy="494964"/>
    <xdr:pic>
      <xdr:nvPicPr>
        <xdr:cNvPr id="24" name="Picture 23" hidden="1">
          <a:extLst>
            <a:ext uri="{FF2B5EF4-FFF2-40B4-BE49-F238E27FC236}">
              <a16:creationId xmlns:a16="http://schemas.microsoft.com/office/drawing/2014/main" id="{6C18CC3C-8B49-42D6-91BE-19DCF5C9D755}"/>
            </a:ext>
          </a:extLst>
        </xdr:cNvPr>
        <xdr:cNvPicPr>
          <a:picLocks noChangeAspect="1"/>
        </xdr:cNvPicPr>
      </xdr:nvPicPr>
      <xdr:blipFill>
        <a:blip xmlns:r="http://schemas.openxmlformats.org/officeDocument/2006/relationships" r:embed="rId1"/>
        <a:stretch>
          <a:fillRect/>
        </a:stretch>
      </xdr:blipFill>
      <xdr:spPr>
        <a:xfrm>
          <a:off x="15955701" y="2524125"/>
          <a:ext cx="1549344" cy="494964"/>
        </a:xfrm>
        <a:prstGeom prst="rect">
          <a:avLst/>
        </a:prstGeom>
      </xdr:spPr>
    </xdr:pic>
    <xdr:clientData/>
  </xdr:oneCellAnchor>
  <xdr:oneCellAnchor>
    <xdr:from>
      <xdr:col>23</xdr:col>
      <xdr:colOff>944301</xdr:colOff>
      <xdr:row>16</xdr:row>
      <xdr:rowOff>0</xdr:rowOff>
    </xdr:from>
    <xdr:ext cx="1553154" cy="444818"/>
    <xdr:pic>
      <xdr:nvPicPr>
        <xdr:cNvPr id="25" name="Picture 24" hidden="1">
          <a:extLst>
            <a:ext uri="{FF2B5EF4-FFF2-40B4-BE49-F238E27FC236}">
              <a16:creationId xmlns:a16="http://schemas.microsoft.com/office/drawing/2014/main" id="{F80D6091-E355-4302-A3B3-E8DF1364AE49}"/>
            </a:ext>
          </a:extLst>
        </xdr:cNvPr>
        <xdr:cNvPicPr>
          <a:picLocks noChangeAspect="1"/>
        </xdr:cNvPicPr>
      </xdr:nvPicPr>
      <xdr:blipFill>
        <a:blip xmlns:r="http://schemas.openxmlformats.org/officeDocument/2006/relationships" r:embed="rId1"/>
        <a:stretch>
          <a:fillRect/>
        </a:stretch>
      </xdr:blipFill>
      <xdr:spPr>
        <a:xfrm>
          <a:off x="16325850" y="2524125"/>
          <a:ext cx="1553154" cy="444818"/>
        </a:xfrm>
        <a:prstGeom prst="rect">
          <a:avLst/>
        </a:prstGeom>
      </xdr:spPr>
    </xdr:pic>
    <xdr:clientData/>
  </xdr:oneCellAnchor>
  <xdr:oneCellAnchor>
    <xdr:from>
      <xdr:col>23</xdr:col>
      <xdr:colOff>944301</xdr:colOff>
      <xdr:row>16</xdr:row>
      <xdr:rowOff>0</xdr:rowOff>
    </xdr:from>
    <xdr:ext cx="1549344" cy="446300"/>
    <xdr:pic>
      <xdr:nvPicPr>
        <xdr:cNvPr id="26" name="Picture 25" hidden="1">
          <a:extLst>
            <a:ext uri="{FF2B5EF4-FFF2-40B4-BE49-F238E27FC236}">
              <a16:creationId xmlns:a16="http://schemas.microsoft.com/office/drawing/2014/main" id="{3C2A4771-2942-496B-9BA4-BD7D92F785E5}"/>
            </a:ext>
          </a:extLst>
        </xdr:cNvPr>
        <xdr:cNvPicPr>
          <a:picLocks noChangeAspect="1"/>
        </xdr:cNvPicPr>
      </xdr:nvPicPr>
      <xdr:blipFill>
        <a:blip xmlns:r="http://schemas.openxmlformats.org/officeDocument/2006/relationships" r:embed="rId1"/>
        <a:stretch>
          <a:fillRect/>
        </a:stretch>
      </xdr:blipFill>
      <xdr:spPr>
        <a:xfrm>
          <a:off x="16325850" y="2524125"/>
          <a:ext cx="1549344" cy="446300"/>
        </a:xfrm>
        <a:prstGeom prst="rect">
          <a:avLst/>
        </a:prstGeom>
      </xdr:spPr>
    </xdr:pic>
    <xdr:clientData/>
  </xdr:oneCellAnchor>
  <xdr:oneCellAnchor>
    <xdr:from>
      <xdr:col>23</xdr:col>
      <xdr:colOff>944301</xdr:colOff>
      <xdr:row>16</xdr:row>
      <xdr:rowOff>0</xdr:rowOff>
    </xdr:from>
    <xdr:ext cx="1549344" cy="494964"/>
    <xdr:pic>
      <xdr:nvPicPr>
        <xdr:cNvPr id="27" name="Picture 26" hidden="1">
          <a:extLst>
            <a:ext uri="{FF2B5EF4-FFF2-40B4-BE49-F238E27FC236}">
              <a16:creationId xmlns:a16="http://schemas.microsoft.com/office/drawing/2014/main" id="{7944E30F-1071-4C20-A3A2-94471DF56CC0}"/>
            </a:ext>
          </a:extLst>
        </xdr:cNvPr>
        <xdr:cNvPicPr>
          <a:picLocks noChangeAspect="1"/>
        </xdr:cNvPicPr>
      </xdr:nvPicPr>
      <xdr:blipFill>
        <a:blip xmlns:r="http://schemas.openxmlformats.org/officeDocument/2006/relationships" r:embed="rId1"/>
        <a:stretch>
          <a:fillRect/>
        </a:stretch>
      </xdr:blipFill>
      <xdr:spPr>
        <a:xfrm>
          <a:off x="16325850" y="2524125"/>
          <a:ext cx="1549344" cy="49496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12</xdr:col>
      <xdr:colOff>944301</xdr:colOff>
      <xdr:row>9</xdr:row>
      <xdr:rowOff>0</xdr:rowOff>
    </xdr:from>
    <xdr:ext cx="1553154" cy="444818"/>
    <xdr:pic>
      <xdr:nvPicPr>
        <xdr:cNvPr id="2" name="Picture 1" hidden="1">
          <a:extLst>
            <a:ext uri="{FF2B5EF4-FFF2-40B4-BE49-F238E27FC236}">
              <a16:creationId xmlns:a16="http://schemas.microsoft.com/office/drawing/2014/main" id="{55D91ECA-AD9B-41E4-A653-1E6D947871DF}"/>
            </a:ext>
          </a:extLst>
        </xdr:cNvPr>
        <xdr:cNvPicPr>
          <a:picLocks noChangeAspect="1"/>
        </xdr:cNvPicPr>
      </xdr:nvPicPr>
      <xdr:blipFill>
        <a:blip xmlns:r="http://schemas.openxmlformats.org/officeDocument/2006/relationships" r:embed="rId1"/>
        <a:stretch>
          <a:fillRect/>
        </a:stretch>
      </xdr:blipFill>
      <xdr:spPr>
        <a:xfrm>
          <a:off x="15955701" y="2200275"/>
          <a:ext cx="1553154" cy="444818"/>
        </a:xfrm>
        <a:prstGeom prst="rect">
          <a:avLst/>
        </a:prstGeom>
      </xdr:spPr>
    </xdr:pic>
    <xdr:clientData/>
  </xdr:oneCellAnchor>
  <xdr:oneCellAnchor>
    <xdr:from>
      <xdr:col>12</xdr:col>
      <xdr:colOff>944301</xdr:colOff>
      <xdr:row>9</xdr:row>
      <xdr:rowOff>0</xdr:rowOff>
    </xdr:from>
    <xdr:ext cx="1549344" cy="446300"/>
    <xdr:pic>
      <xdr:nvPicPr>
        <xdr:cNvPr id="3" name="Picture 2" hidden="1">
          <a:extLst>
            <a:ext uri="{FF2B5EF4-FFF2-40B4-BE49-F238E27FC236}">
              <a16:creationId xmlns:a16="http://schemas.microsoft.com/office/drawing/2014/main" id="{226CBDAC-BAA2-4B0D-A0AB-AD55B523BD99}"/>
            </a:ext>
          </a:extLst>
        </xdr:cNvPr>
        <xdr:cNvPicPr>
          <a:picLocks noChangeAspect="1"/>
        </xdr:cNvPicPr>
      </xdr:nvPicPr>
      <xdr:blipFill>
        <a:blip xmlns:r="http://schemas.openxmlformats.org/officeDocument/2006/relationships" r:embed="rId1"/>
        <a:stretch>
          <a:fillRect/>
        </a:stretch>
      </xdr:blipFill>
      <xdr:spPr>
        <a:xfrm>
          <a:off x="15955701" y="2200275"/>
          <a:ext cx="1549344" cy="446300"/>
        </a:xfrm>
        <a:prstGeom prst="rect">
          <a:avLst/>
        </a:prstGeom>
      </xdr:spPr>
    </xdr:pic>
    <xdr:clientData/>
  </xdr:oneCellAnchor>
  <xdr:oneCellAnchor>
    <xdr:from>
      <xdr:col>12</xdr:col>
      <xdr:colOff>944301</xdr:colOff>
      <xdr:row>9</xdr:row>
      <xdr:rowOff>0</xdr:rowOff>
    </xdr:from>
    <xdr:ext cx="1549344" cy="494964"/>
    <xdr:pic>
      <xdr:nvPicPr>
        <xdr:cNvPr id="4" name="Picture 3" hidden="1">
          <a:extLst>
            <a:ext uri="{FF2B5EF4-FFF2-40B4-BE49-F238E27FC236}">
              <a16:creationId xmlns:a16="http://schemas.microsoft.com/office/drawing/2014/main" id="{4AB83354-3A41-4962-875F-9D3F6A96EC09}"/>
            </a:ext>
          </a:extLst>
        </xdr:cNvPr>
        <xdr:cNvPicPr>
          <a:picLocks noChangeAspect="1"/>
        </xdr:cNvPicPr>
      </xdr:nvPicPr>
      <xdr:blipFill>
        <a:blip xmlns:r="http://schemas.openxmlformats.org/officeDocument/2006/relationships" r:embed="rId1"/>
        <a:stretch>
          <a:fillRect/>
        </a:stretch>
      </xdr:blipFill>
      <xdr:spPr>
        <a:xfrm>
          <a:off x="15955701" y="2200275"/>
          <a:ext cx="1549344" cy="494964"/>
        </a:xfrm>
        <a:prstGeom prst="rect">
          <a:avLst/>
        </a:prstGeom>
      </xdr:spPr>
    </xdr:pic>
    <xdr:clientData/>
  </xdr:oneCellAnchor>
  <xdr:oneCellAnchor>
    <xdr:from>
      <xdr:col>23</xdr:col>
      <xdr:colOff>944301</xdr:colOff>
      <xdr:row>9</xdr:row>
      <xdr:rowOff>0</xdr:rowOff>
    </xdr:from>
    <xdr:ext cx="1553154" cy="444818"/>
    <xdr:pic>
      <xdr:nvPicPr>
        <xdr:cNvPr id="5" name="Picture 4" hidden="1">
          <a:extLst>
            <a:ext uri="{FF2B5EF4-FFF2-40B4-BE49-F238E27FC236}">
              <a16:creationId xmlns:a16="http://schemas.microsoft.com/office/drawing/2014/main" id="{22BFD976-D799-4EA5-B54F-86BC7B42977F}"/>
            </a:ext>
          </a:extLst>
        </xdr:cNvPr>
        <xdr:cNvPicPr>
          <a:picLocks noChangeAspect="1"/>
        </xdr:cNvPicPr>
      </xdr:nvPicPr>
      <xdr:blipFill>
        <a:blip xmlns:r="http://schemas.openxmlformats.org/officeDocument/2006/relationships" r:embed="rId1"/>
        <a:stretch>
          <a:fillRect/>
        </a:stretch>
      </xdr:blipFill>
      <xdr:spPr>
        <a:xfrm>
          <a:off x="16325850" y="2200275"/>
          <a:ext cx="1553154" cy="444818"/>
        </a:xfrm>
        <a:prstGeom prst="rect">
          <a:avLst/>
        </a:prstGeom>
      </xdr:spPr>
    </xdr:pic>
    <xdr:clientData/>
  </xdr:oneCellAnchor>
  <xdr:oneCellAnchor>
    <xdr:from>
      <xdr:col>23</xdr:col>
      <xdr:colOff>944301</xdr:colOff>
      <xdr:row>9</xdr:row>
      <xdr:rowOff>0</xdr:rowOff>
    </xdr:from>
    <xdr:ext cx="1549344" cy="446300"/>
    <xdr:pic>
      <xdr:nvPicPr>
        <xdr:cNvPr id="6" name="Picture 5" hidden="1">
          <a:extLst>
            <a:ext uri="{FF2B5EF4-FFF2-40B4-BE49-F238E27FC236}">
              <a16:creationId xmlns:a16="http://schemas.microsoft.com/office/drawing/2014/main" id="{F445E373-73C7-4C81-822B-E0B7B161B2A1}"/>
            </a:ext>
          </a:extLst>
        </xdr:cNvPr>
        <xdr:cNvPicPr>
          <a:picLocks noChangeAspect="1"/>
        </xdr:cNvPicPr>
      </xdr:nvPicPr>
      <xdr:blipFill>
        <a:blip xmlns:r="http://schemas.openxmlformats.org/officeDocument/2006/relationships" r:embed="rId1"/>
        <a:stretch>
          <a:fillRect/>
        </a:stretch>
      </xdr:blipFill>
      <xdr:spPr>
        <a:xfrm>
          <a:off x="16325850" y="2200275"/>
          <a:ext cx="1549344" cy="446300"/>
        </a:xfrm>
        <a:prstGeom prst="rect">
          <a:avLst/>
        </a:prstGeom>
      </xdr:spPr>
    </xdr:pic>
    <xdr:clientData/>
  </xdr:oneCellAnchor>
  <xdr:oneCellAnchor>
    <xdr:from>
      <xdr:col>23</xdr:col>
      <xdr:colOff>944301</xdr:colOff>
      <xdr:row>9</xdr:row>
      <xdr:rowOff>0</xdr:rowOff>
    </xdr:from>
    <xdr:ext cx="1549344" cy="494964"/>
    <xdr:pic>
      <xdr:nvPicPr>
        <xdr:cNvPr id="7" name="Picture 6" hidden="1">
          <a:extLst>
            <a:ext uri="{FF2B5EF4-FFF2-40B4-BE49-F238E27FC236}">
              <a16:creationId xmlns:a16="http://schemas.microsoft.com/office/drawing/2014/main" id="{3C146D11-C0B6-4A00-80B1-2D9F9908B709}"/>
            </a:ext>
          </a:extLst>
        </xdr:cNvPr>
        <xdr:cNvPicPr>
          <a:picLocks noChangeAspect="1"/>
        </xdr:cNvPicPr>
      </xdr:nvPicPr>
      <xdr:blipFill>
        <a:blip xmlns:r="http://schemas.openxmlformats.org/officeDocument/2006/relationships" r:embed="rId1"/>
        <a:stretch>
          <a:fillRect/>
        </a:stretch>
      </xdr:blipFill>
      <xdr:spPr>
        <a:xfrm>
          <a:off x="16325850" y="2200275"/>
          <a:ext cx="1549344" cy="49496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10</xdr:col>
      <xdr:colOff>944301</xdr:colOff>
      <xdr:row>10</xdr:row>
      <xdr:rowOff>0</xdr:rowOff>
    </xdr:from>
    <xdr:ext cx="1553154" cy="444818"/>
    <xdr:pic>
      <xdr:nvPicPr>
        <xdr:cNvPr id="2" name="Picture 1" hidden="1">
          <a:extLst>
            <a:ext uri="{FF2B5EF4-FFF2-40B4-BE49-F238E27FC236}">
              <a16:creationId xmlns:a16="http://schemas.microsoft.com/office/drawing/2014/main" id="{50A15755-1434-4795-B69B-088C892F81FE}"/>
            </a:ext>
          </a:extLst>
        </xdr:cNvPr>
        <xdr:cNvPicPr>
          <a:picLocks noChangeAspect="1"/>
        </xdr:cNvPicPr>
      </xdr:nvPicPr>
      <xdr:blipFill>
        <a:blip xmlns:r="http://schemas.openxmlformats.org/officeDocument/2006/relationships" r:embed="rId1"/>
        <a:stretch>
          <a:fillRect/>
        </a:stretch>
      </xdr:blipFill>
      <xdr:spPr>
        <a:xfrm>
          <a:off x="15955701" y="2524125"/>
          <a:ext cx="1553154" cy="444818"/>
        </a:xfrm>
        <a:prstGeom prst="rect">
          <a:avLst/>
        </a:prstGeom>
      </xdr:spPr>
    </xdr:pic>
    <xdr:clientData/>
  </xdr:oneCellAnchor>
  <xdr:oneCellAnchor>
    <xdr:from>
      <xdr:col>10</xdr:col>
      <xdr:colOff>944301</xdr:colOff>
      <xdr:row>10</xdr:row>
      <xdr:rowOff>0</xdr:rowOff>
    </xdr:from>
    <xdr:ext cx="1549344" cy="446300"/>
    <xdr:pic>
      <xdr:nvPicPr>
        <xdr:cNvPr id="3" name="Picture 2" hidden="1">
          <a:extLst>
            <a:ext uri="{FF2B5EF4-FFF2-40B4-BE49-F238E27FC236}">
              <a16:creationId xmlns:a16="http://schemas.microsoft.com/office/drawing/2014/main" id="{EC74B075-E746-42ED-8E06-E2044125F0B0}"/>
            </a:ext>
          </a:extLst>
        </xdr:cNvPr>
        <xdr:cNvPicPr>
          <a:picLocks noChangeAspect="1"/>
        </xdr:cNvPicPr>
      </xdr:nvPicPr>
      <xdr:blipFill>
        <a:blip xmlns:r="http://schemas.openxmlformats.org/officeDocument/2006/relationships" r:embed="rId1"/>
        <a:stretch>
          <a:fillRect/>
        </a:stretch>
      </xdr:blipFill>
      <xdr:spPr>
        <a:xfrm>
          <a:off x="15955701" y="2524125"/>
          <a:ext cx="1549344" cy="446300"/>
        </a:xfrm>
        <a:prstGeom prst="rect">
          <a:avLst/>
        </a:prstGeom>
      </xdr:spPr>
    </xdr:pic>
    <xdr:clientData/>
  </xdr:oneCellAnchor>
  <xdr:oneCellAnchor>
    <xdr:from>
      <xdr:col>10</xdr:col>
      <xdr:colOff>944301</xdr:colOff>
      <xdr:row>10</xdr:row>
      <xdr:rowOff>0</xdr:rowOff>
    </xdr:from>
    <xdr:ext cx="1549344" cy="494964"/>
    <xdr:pic>
      <xdr:nvPicPr>
        <xdr:cNvPr id="4" name="Picture 3" hidden="1">
          <a:extLst>
            <a:ext uri="{FF2B5EF4-FFF2-40B4-BE49-F238E27FC236}">
              <a16:creationId xmlns:a16="http://schemas.microsoft.com/office/drawing/2014/main" id="{8AD4477A-2840-4A49-85BC-82DC59AF5DBE}"/>
            </a:ext>
          </a:extLst>
        </xdr:cNvPr>
        <xdr:cNvPicPr>
          <a:picLocks noChangeAspect="1"/>
        </xdr:cNvPicPr>
      </xdr:nvPicPr>
      <xdr:blipFill>
        <a:blip xmlns:r="http://schemas.openxmlformats.org/officeDocument/2006/relationships" r:embed="rId1"/>
        <a:stretch>
          <a:fillRect/>
        </a:stretch>
      </xdr:blipFill>
      <xdr:spPr>
        <a:xfrm>
          <a:off x="15955701" y="2524125"/>
          <a:ext cx="1549344" cy="494964"/>
        </a:xfrm>
        <a:prstGeom prst="rect">
          <a:avLst/>
        </a:prstGeom>
      </xdr:spPr>
    </xdr:pic>
    <xdr:clientData/>
  </xdr:oneCellAnchor>
  <xdr:oneCellAnchor>
    <xdr:from>
      <xdr:col>21</xdr:col>
      <xdr:colOff>944301</xdr:colOff>
      <xdr:row>10</xdr:row>
      <xdr:rowOff>0</xdr:rowOff>
    </xdr:from>
    <xdr:ext cx="1553154" cy="444818"/>
    <xdr:pic>
      <xdr:nvPicPr>
        <xdr:cNvPr id="5" name="Picture 4" hidden="1">
          <a:extLst>
            <a:ext uri="{FF2B5EF4-FFF2-40B4-BE49-F238E27FC236}">
              <a16:creationId xmlns:a16="http://schemas.microsoft.com/office/drawing/2014/main" id="{5FFF47CA-C439-45F5-8752-88A299E49D22}"/>
            </a:ext>
          </a:extLst>
        </xdr:cNvPr>
        <xdr:cNvPicPr>
          <a:picLocks noChangeAspect="1"/>
        </xdr:cNvPicPr>
      </xdr:nvPicPr>
      <xdr:blipFill>
        <a:blip xmlns:r="http://schemas.openxmlformats.org/officeDocument/2006/relationships" r:embed="rId1"/>
        <a:stretch>
          <a:fillRect/>
        </a:stretch>
      </xdr:blipFill>
      <xdr:spPr>
        <a:xfrm>
          <a:off x="16325850" y="2524125"/>
          <a:ext cx="1553154" cy="444818"/>
        </a:xfrm>
        <a:prstGeom prst="rect">
          <a:avLst/>
        </a:prstGeom>
      </xdr:spPr>
    </xdr:pic>
    <xdr:clientData/>
  </xdr:oneCellAnchor>
  <xdr:oneCellAnchor>
    <xdr:from>
      <xdr:col>21</xdr:col>
      <xdr:colOff>944301</xdr:colOff>
      <xdr:row>10</xdr:row>
      <xdr:rowOff>0</xdr:rowOff>
    </xdr:from>
    <xdr:ext cx="1549344" cy="446300"/>
    <xdr:pic>
      <xdr:nvPicPr>
        <xdr:cNvPr id="6" name="Picture 5" hidden="1">
          <a:extLst>
            <a:ext uri="{FF2B5EF4-FFF2-40B4-BE49-F238E27FC236}">
              <a16:creationId xmlns:a16="http://schemas.microsoft.com/office/drawing/2014/main" id="{177D5706-344E-412E-A260-093BA74D2967}"/>
            </a:ext>
          </a:extLst>
        </xdr:cNvPr>
        <xdr:cNvPicPr>
          <a:picLocks noChangeAspect="1"/>
        </xdr:cNvPicPr>
      </xdr:nvPicPr>
      <xdr:blipFill>
        <a:blip xmlns:r="http://schemas.openxmlformats.org/officeDocument/2006/relationships" r:embed="rId1"/>
        <a:stretch>
          <a:fillRect/>
        </a:stretch>
      </xdr:blipFill>
      <xdr:spPr>
        <a:xfrm>
          <a:off x="16325850" y="2524125"/>
          <a:ext cx="1549344" cy="446300"/>
        </a:xfrm>
        <a:prstGeom prst="rect">
          <a:avLst/>
        </a:prstGeom>
      </xdr:spPr>
    </xdr:pic>
    <xdr:clientData/>
  </xdr:oneCellAnchor>
  <xdr:oneCellAnchor>
    <xdr:from>
      <xdr:col>21</xdr:col>
      <xdr:colOff>944301</xdr:colOff>
      <xdr:row>10</xdr:row>
      <xdr:rowOff>0</xdr:rowOff>
    </xdr:from>
    <xdr:ext cx="1549344" cy="494964"/>
    <xdr:pic>
      <xdr:nvPicPr>
        <xdr:cNvPr id="7" name="Picture 6" hidden="1">
          <a:extLst>
            <a:ext uri="{FF2B5EF4-FFF2-40B4-BE49-F238E27FC236}">
              <a16:creationId xmlns:a16="http://schemas.microsoft.com/office/drawing/2014/main" id="{1C277406-F20B-44E0-AB34-59128341EAA2}"/>
            </a:ext>
          </a:extLst>
        </xdr:cNvPr>
        <xdr:cNvPicPr>
          <a:picLocks noChangeAspect="1"/>
        </xdr:cNvPicPr>
      </xdr:nvPicPr>
      <xdr:blipFill>
        <a:blip xmlns:r="http://schemas.openxmlformats.org/officeDocument/2006/relationships" r:embed="rId1"/>
        <a:stretch>
          <a:fillRect/>
        </a:stretch>
      </xdr:blipFill>
      <xdr:spPr>
        <a:xfrm>
          <a:off x="16325850" y="2524125"/>
          <a:ext cx="1549344" cy="494964"/>
        </a:xfrm>
        <a:prstGeom prst="rect">
          <a:avLst/>
        </a:prstGeom>
      </xdr:spPr>
    </xdr:pic>
    <xdr:clientData/>
  </xdr:oneCellAnchor>
  <xdr:twoCellAnchor>
    <xdr:from>
      <xdr:col>0</xdr:col>
      <xdr:colOff>176389</xdr:colOff>
      <xdr:row>8</xdr:row>
      <xdr:rowOff>58795</xdr:rowOff>
    </xdr:from>
    <xdr:to>
      <xdr:col>7</xdr:col>
      <xdr:colOff>428155</xdr:colOff>
      <xdr:row>8</xdr:row>
      <xdr:rowOff>1960032</xdr:rowOff>
    </xdr:to>
    <xdr:sp macro="" textlink="">
      <xdr:nvSpPr>
        <xdr:cNvPr id="8" name="TextBox 7">
          <a:extLst>
            <a:ext uri="{FF2B5EF4-FFF2-40B4-BE49-F238E27FC236}">
              <a16:creationId xmlns:a16="http://schemas.microsoft.com/office/drawing/2014/main" id="{CF57622F-E93B-4318-AD3D-F264C7524EAF}"/>
            </a:ext>
          </a:extLst>
        </xdr:cNvPr>
        <xdr:cNvSpPr txBox="1"/>
      </xdr:nvSpPr>
      <xdr:spPr>
        <a:xfrm>
          <a:off x="176389" y="2422406"/>
          <a:ext cx="9153525" cy="19012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ZA" sz="1100" b="1" i="0" u="none" strike="noStrike" kern="1200" cap="none" spc="0" normalizeH="0" baseline="0" noProof="0" dirty="0">
              <a:ln>
                <a:noFill/>
              </a:ln>
              <a:solidFill>
                <a:prstClr val="black"/>
              </a:solidFill>
              <a:effectLst/>
              <a:uLnTx/>
              <a:uFillTx/>
              <a:latin typeface="+mn-lt"/>
              <a:ea typeface="+mn-ea"/>
              <a:cs typeface="+mn-cs"/>
            </a:rPr>
            <a:t>Important notes to vendors on demonstration:</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Demonstrations will be held </a:t>
          </a:r>
          <a:r>
            <a:rPr kumimoji="0" lang="en-ZA" sz="1100" b="0" i="0" u="none" strike="noStrike" kern="1200" cap="none" spc="0" normalizeH="0" baseline="0" noProof="0" dirty="0">
              <a:ln>
                <a:noFill/>
              </a:ln>
              <a:solidFill>
                <a:schemeClr val="accent1"/>
              </a:solidFill>
              <a:effectLst/>
              <a:uLnTx/>
              <a:uFillTx/>
              <a:latin typeface="+mn-lt"/>
              <a:ea typeface="+mn-ea"/>
              <a:cs typeface="+mn-cs"/>
            </a:rPr>
            <a:t>&lt;indicate virtually or name physical location&gt;</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You will have </a:t>
          </a:r>
          <a:r>
            <a:rPr kumimoji="0" lang="en-ZA" sz="1100" b="0" i="0" u="none" strike="noStrike" kern="1200" cap="none" spc="0" normalizeH="0" baseline="0" noProof="0" dirty="0">
              <a:ln>
                <a:noFill/>
              </a:ln>
              <a:solidFill>
                <a:schemeClr val="accent1"/>
              </a:solidFill>
              <a:effectLst/>
              <a:uLnTx/>
              <a:uFillTx/>
              <a:latin typeface="+mn-lt"/>
              <a:ea typeface="+mn-ea"/>
              <a:cs typeface="+mn-cs"/>
            </a:rPr>
            <a:t>&lt;state allowable time&gt; </a:t>
          </a:r>
          <a:r>
            <a:rPr kumimoji="0" lang="en-ZA" sz="1100" b="0" i="0" u="none" strike="noStrike" kern="1200" cap="none" spc="0" normalizeH="0" baseline="0" noProof="0" dirty="0">
              <a:ln>
                <a:noFill/>
              </a:ln>
              <a:solidFill>
                <a:prstClr val="black"/>
              </a:solidFill>
              <a:effectLst/>
              <a:uLnTx/>
              <a:uFillTx/>
              <a:latin typeface="+mn-lt"/>
              <a:ea typeface="+mn-ea"/>
              <a:cs typeface="+mn-cs"/>
            </a:rPr>
            <a:t>minutes to conclude your demonstration, this will be followed by </a:t>
          </a:r>
          <a:r>
            <a:rPr kumimoji="0" lang="en-ZA" sz="1100" b="0" i="0" u="none" strike="noStrike" kern="1200" cap="none" spc="0" normalizeH="0" baseline="0" noProof="0" dirty="0">
              <a:ln>
                <a:noFill/>
              </a:ln>
              <a:solidFill>
                <a:schemeClr val="accent1"/>
              </a:solidFill>
              <a:effectLst/>
              <a:uLnTx/>
              <a:uFillTx/>
              <a:latin typeface="+mn-lt"/>
              <a:ea typeface="+mn-ea"/>
              <a:cs typeface="+mn-cs"/>
            </a:rPr>
            <a:t>&lt;state allowable time&gt;</a:t>
          </a:r>
          <a:r>
            <a:rPr kumimoji="0" lang="en-ZA" sz="1100" b="0" i="0" u="none" strike="noStrike" kern="1200" cap="none" spc="0" normalizeH="0" baseline="0" noProof="0" dirty="0">
              <a:ln>
                <a:noFill/>
              </a:ln>
              <a:solidFill>
                <a:prstClr val="black"/>
              </a:solidFill>
              <a:effectLst/>
              <a:uLnTx/>
              <a:uFillTx/>
              <a:latin typeface="+mn-lt"/>
              <a:ea typeface="+mn-ea"/>
              <a:cs typeface="+mn-cs"/>
            </a:rPr>
            <a:t> minutes for questions.</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If you are invited for a demonstration, you will have roughly </a:t>
          </a:r>
          <a:r>
            <a:rPr kumimoji="0" lang="en-ZA" sz="1100" b="0" i="0" u="none" strike="noStrike" kern="1200" cap="none" spc="0" normalizeH="0" baseline="0" noProof="0" dirty="0">
              <a:ln>
                <a:noFill/>
              </a:ln>
              <a:solidFill>
                <a:schemeClr val="accent1"/>
              </a:solidFill>
              <a:effectLst/>
              <a:uLnTx/>
              <a:uFillTx/>
              <a:latin typeface="+mn-lt"/>
              <a:ea typeface="+mn-ea"/>
              <a:cs typeface="+mn-cs"/>
            </a:rPr>
            <a:t>&lt;a week&gt; </a:t>
          </a:r>
          <a:r>
            <a:rPr kumimoji="0" lang="en-ZA" sz="1100" b="0" i="0" u="none" strike="noStrike" kern="1200" cap="none" spc="0" normalizeH="0" baseline="0" noProof="0" dirty="0">
              <a:ln>
                <a:noFill/>
              </a:ln>
              <a:solidFill>
                <a:prstClr val="black"/>
              </a:solidFill>
              <a:effectLst/>
              <a:uLnTx/>
              <a:uFillTx/>
              <a:latin typeface="+mn-lt"/>
              <a:ea typeface="+mn-ea"/>
              <a:cs typeface="+mn-cs"/>
            </a:rPr>
            <a:t>to prepare.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For the demonstration you will be required to </a:t>
          </a:r>
          <a:r>
            <a:rPr kumimoji="0" lang="en-ZA" sz="1100" b="0" i="0" u="none" strike="noStrike" kern="1200" cap="none" spc="0" normalizeH="0" baseline="0" noProof="0" dirty="0">
              <a:ln>
                <a:noFill/>
              </a:ln>
              <a:solidFill>
                <a:schemeClr val="accent1"/>
              </a:solidFill>
              <a:effectLst/>
              <a:uLnTx/>
              <a:uFillTx/>
              <a:latin typeface="+mn-lt"/>
              <a:ea typeface="+mn-ea"/>
              <a:cs typeface="+mn-cs"/>
            </a:rPr>
            <a:t>&lt;indicate what you expect i.e. prepare a power point presentation, present the UI of the system or present the back-end or both or share any preferable formats or other overall expectations, demonstrated system should not be any alpha or beta versions, it must be a final production version&gt;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schemeClr val="accent1"/>
              </a:solidFill>
              <a:effectLst/>
              <a:uLnTx/>
              <a:uFillTx/>
              <a:latin typeface="+mn-lt"/>
              <a:ea typeface="+mn-ea"/>
              <a:cs typeface="+mn-cs"/>
            </a:rPr>
            <a:t>&lt;if demonstrations will be done in person, edit then include the following delete if not applicable:&gt;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All visitors are required to provide identification so please bring a driver's licence or ID, or you may not be allowed into the building.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Arrive 10 minutes early to sign in your electronic devices at security, you will be collected from the main reception by an Eskom employee.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 projector with standard VGA connector will be provided, please bring along any adapters you may need i.e. mac book adapter, HDMI etc.</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The venue does not have sound, if you need sound, please bring your own speaker</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ZA" sz="1100" b="0" i="0" u="none" strike="noStrike" kern="1200" cap="none" spc="0" normalizeH="0" baseline="0" noProof="0" dirty="0">
            <a:ln>
              <a:noFill/>
            </a:ln>
            <a:solidFill>
              <a:prstClr val="black"/>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106257</xdr:colOff>
      <xdr:row>17</xdr:row>
      <xdr:rowOff>1691</xdr:rowOff>
    </xdr:from>
    <xdr:to>
      <xdr:col>11</xdr:col>
      <xdr:colOff>0</xdr:colOff>
      <xdr:row>20</xdr:row>
      <xdr:rowOff>10583</xdr:rowOff>
    </xdr:to>
    <xdr:sp macro="" textlink="">
      <xdr:nvSpPr>
        <xdr:cNvPr id="2" name="TextBox 1">
          <a:extLst>
            <a:ext uri="{FF2B5EF4-FFF2-40B4-BE49-F238E27FC236}">
              <a16:creationId xmlns:a16="http://schemas.microsoft.com/office/drawing/2014/main" id="{BAC1172B-2B05-4C45-988A-8D80E461B2FE}"/>
            </a:ext>
          </a:extLst>
        </xdr:cNvPr>
        <xdr:cNvSpPr txBox="1"/>
      </xdr:nvSpPr>
      <xdr:spPr>
        <a:xfrm>
          <a:off x="212514" y="3144941"/>
          <a:ext cx="17465886" cy="3256917"/>
        </a:xfrm>
        <a:prstGeom prst="rect">
          <a:avLst/>
        </a:prstGeom>
        <a:solidFill>
          <a:sysClr val="window" lastClr="FFFFFF"/>
        </a:solidFill>
        <a:ln w="9525" cmpd="sng">
          <a:solidFill>
            <a:sysClr val="window" lastClr="FFFFFF">
              <a:shade val="50000"/>
            </a:sysClr>
          </a:solidFill>
        </a:ln>
        <a:effectLst/>
      </xdr:spPr>
      <xdr:txBody>
        <a:bodyPr wrap="square" rtlCol="0" anchor="t"/>
        <a:lstStyle>
          <a:defPPr>
            <a:defRPr lang="en-US"/>
          </a:defPPr>
          <a:lvl1pPr marL="0" algn="l" defTabSz="914400" rtl="0" eaLnBrk="1" latinLnBrk="0" hangingPunct="1">
            <a:defRPr sz="1800" kern="1200">
              <a:solidFill>
                <a:srgbClr val="003896"/>
              </a:solidFill>
              <a:latin typeface="Arial" panose="020B0604020202020204"/>
            </a:defRPr>
          </a:lvl1pPr>
          <a:lvl2pPr marL="457200" algn="l" defTabSz="914400" rtl="0" eaLnBrk="1" latinLnBrk="0" hangingPunct="1">
            <a:defRPr sz="1800" kern="1200">
              <a:solidFill>
                <a:srgbClr val="003896"/>
              </a:solidFill>
              <a:latin typeface="Arial" panose="020B0604020202020204"/>
            </a:defRPr>
          </a:lvl2pPr>
          <a:lvl3pPr marL="914400" algn="l" defTabSz="914400" rtl="0" eaLnBrk="1" latinLnBrk="0" hangingPunct="1">
            <a:defRPr sz="1800" kern="1200">
              <a:solidFill>
                <a:srgbClr val="003896"/>
              </a:solidFill>
              <a:latin typeface="Arial" panose="020B0604020202020204"/>
            </a:defRPr>
          </a:lvl3pPr>
          <a:lvl4pPr marL="1371600" algn="l" defTabSz="914400" rtl="0" eaLnBrk="1" latinLnBrk="0" hangingPunct="1">
            <a:defRPr sz="1800" kern="1200">
              <a:solidFill>
                <a:srgbClr val="003896"/>
              </a:solidFill>
              <a:latin typeface="Arial" panose="020B0604020202020204"/>
            </a:defRPr>
          </a:lvl4pPr>
          <a:lvl5pPr marL="1828800" algn="l" defTabSz="914400" rtl="0" eaLnBrk="1" latinLnBrk="0" hangingPunct="1">
            <a:defRPr sz="1800" kern="1200">
              <a:solidFill>
                <a:srgbClr val="003896"/>
              </a:solidFill>
              <a:latin typeface="Arial" panose="020B0604020202020204"/>
            </a:defRPr>
          </a:lvl5pPr>
          <a:lvl6pPr marL="2286000" algn="l" defTabSz="914400" rtl="0" eaLnBrk="1" latinLnBrk="0" hangingPunct="1">
            <a:defRPr sz="1800" kern="1200">
              <a:solidFill>
                <a:srgbClr val="003896"/>
              </a:solidFill>
              <a:latin typeface="Arial" panose="020B0604020202020204"/>
            </a:defRPr>
          </a:lvl6pPr>
          <a:lvl7pPr marL="2743200" algn="l" defTabSz="914400" rtl="0" eaLnBrk="1" latinLnBrk="0" hangingPunct="1">
            <a:defRPr sz="1800" kern="1200">
              <a:solidFill>
                <a:srgbClr val="003896"/>
              </a:solidFill>
              <a:latin typeface="Arial" panose="020B0604020202020204"/>
            </a:defRPr>
          </a:lvl7pPr>
          <a:lvl8pPr marL="3200400" algn="l" defTabSz="914400" rtl="0" eaLnBrk="1" latinLnBrk="0" hangingPunct="1">
            <a:defRPr sz="1800" kern="1200">
              <a:solidFill>
                <a:srgbClr val="003896"/>
              </a:solidFill>
              <a:latin typeface="Arial" panose="020B0604020202020204"/>
            </a:defRPr>
          </a:lvl8pPr>
          <a:lvl9pPr marL="3657600" algn="l" defTabSz="914400" rtl="0" eaLnBrk="1" latinLnBrk="0" hangingPunct="1">
            <a:defRPr sz="1800" kern="1200">
              <a:solidFill>
                <a:srgbClr val="003896"/>
              </a:solidFill>
              <a:latin typeface="Arial" panose="020B0604020202020204"/>
            </a:defRPr>
          </a:lvl9pPr>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Each Tab/worksheet describes the technical requirements under the green heading, these include the business requirements and the mandatory returnables a vendor must provide as evidence that they can meet the business requirements.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vendor may only complete the three columns with orange headings, according to the instructions in the column heading.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columns with blue headings are for internal Eskom use.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rgbClr val="ED7D31">
                <a:lumMod val="75000"/>
              </a:srgbClr>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a:ln>
                <a:noFill/>
              </a:ln>
              <a:solidFill>
                <a:sysClr val="windowText" lastClr="000000"/>
              </a:solidFill>
              <a:effectLst/>
              <a:uLnTx/>
              <a:uFillTx/>
              <a:latin typeface="Calibri" panose="020F0502020204030204"/>
            </a:rPr>
            <a:t>NOTE 1: A tenderer must meet or exceed the listed threshold in order to pass. Any tenderer who does not meet the minimum threshold will be disqualified from the tender process.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200" b="1" i="0" u="none" strike="noStrike" kern="0" cap="none" spc="0" normalizeH="0" baseline="0">
            <a:ln>
              <a:noFill/>
            </a:ln>
            <a:solidFill>
              <a:sysClr val="windowText" lastClr="000000"/>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a:ln>
                <a:noFill/>
              </a:ln>
              <a:solidFill>
                <a:sysClr val="windowText" lastClr="000000"/>
              </a:solidFill>
              <a:effectLst/>
              <a:uLnTx/>
              <a:uFillTx/>
              <a:latin typeface="Calibri" panose="020F0502020204030204"/>
            </a:rPr>
            <a:t>Note 2: All mandatory returnables/evidence listed in this criteria must be included in the tender submission. Returnables must be clearly marked in the technical file and numbered to align with each criteria question. </a:t>
          </a:r>
          <a:r>
            <a:rPr kumimoji="0" lang="en-ZA" sz="1200" b="1" i="0" u="sng" strike="noStrike" kern="0" cap="none" spc="0" normalizeH="0" baseline="0">
              <a:ln>
                <a:noFill/>
              </a:ln>
              <a:solidFill>
                <a:sysClr val="windowText" lastClr="000000"/>
              </a:solidFill>
              <a:effectLst/>
              <a:uLnTx/>
              <a:uFillTx/>
              <a:latin typeface="Calibri" panose="020F0502020204030204"/>
            </a:rPr>
            <a:t>Points will not be allocated for questions where no returnables/evidence has been provided.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ysClr val="windowText" lastClr="000000"/>
            </a:solidFill>
            <a:effectLst/>
            <a:uLnTx/>
            <a:uFillTx/>
            <a:latin typeface="Calibri" panose="020F0502020204030204"/>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Only vendors who pass the desktop evaluation threshold will be invited for a demonstration.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Eskom will not reimburse vendors for time spent preparing for or presenting their demonstration.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The demonstration tab describes the business requirements and what what needs to be presented if a vendor is invited for a demonstration.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The threshold to pass the demonstration is stated in the scoring summary tab</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ZA" sz="1100" b="1" i="0" u="none" strike="noStrike" kern="0" cap="none" spc="0" normalizeH="0" baseline="0" noProof="0">
            <a:ln>
              <a:noFill/>
            </a:ln>
            <a:solidFill>
              <a:srgbClr val="ED7D31">
                <a:lumMod val="75000"/>
              </a:srgbClr>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ysClr val="windowText" lastClr="000000"/>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100" b="1" i="0" u="none" strike="noStrike" kern="0" cap="none" spc="0" normalizeH="0" baseline="0">
              <a:ln>
                <a:noFill/>
              </a:ln>
              <a:solidFill>
                <a:sysClr val="windowText" lastClr="000000"/>
              </a:solidFill>
              <a:effectLst/>
              <a:uLnTx/>
              <a:uFillTx/>
              <a:latin typeface="Calibri" panose="020F0502020204030204"/>
            </a:rPr>
            <a:t>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657225</xdr:colOff>
      <xdr:row>0</xdr:row>
      <xdr:rowOff>161925</xdr:rowOff>
    </xdr:from>
    <xdr:ext cx="1352550" cy="447416"/>
    <xdr:pic>
      <xdr:nvPicPr>
        <xdr:cNvPr id="3" name="Picture 2">
          <a:extLst>
            <a:ext uri="{FF2B5EF4-FFF2-40B4-BE49-F238E27FC236}">
              <a16:creationId xmlns:a16="http://schemas.microsoft.com/office/drawing/2014/main" id="{44565A53-AB0E-4D5F-8828-B16DC7649731}"/>
            </a:ext>
          </a:extLst>
        </xdr:cNvPr>
        <xdr:cNvPicPr>
          <a:picLocks noChangeAspect="1"/>
        </xdr:cNvPicPr>
      </xdr:nvPicPr>
      <xdr:blipFill>
        <a:blip xmlns:r="http://schemas.openxmlformats.org/officeDocument/2006/relationships" r:embed="rId1"/>
        <a:stretch>
          <a:fillRect/>
        </a:stretch>
      </xdr:blipFill>
      <xdr:spPr>
        <a:xfrm>
          <a:off x="7343775" y="161925"/>
          <a:ext cx="1352550" cy="44741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6</xdr:col>
      <xdr:colOff>390525</xdr:colOff>
      <xdr:row>1</xdr:row>
      <xdr:rowOff>30232</xdr:rowOff>
    </xdr:from>
    <xdr:ext cx="1352550" cy="447416"/>
    <xdr:pic>
      <xdr:nvPicPr>
        <xdr:cNvPr id="2" name="Picture 1">
          <a:extLst>
            <a:ext uri="{FF2B5EF4-FFF2-40B4-BE49-F238E27FC236}">
              <a16:creationId xmlns:a16="http://schemas.microsoft.com/office/drawing/2014/main" id="{C7E36304-B637-4711-82BC-5E9FFEBB954D}"/>
            </a:ext>
          </a:extLst>
        </xdr:cNvPr>
        <xdr:cNvPicPr>
          <a:picLocks noChangeAspect="1"/>
        </xdr:cNvPicPr>
      </xdr:nvPicPr>
      <xdr:blipFill>
        <a:blip xmlns:r="http://schemas.openxmlformats.org/officeDocument/2006/relationships" r:embed="rId1"/>
        <a:stretch>
          <a:fillRect/>
        </a:stretch>
      </xdr:blipFill>
      <xdr:spPr>
        <a:xfrm>
          <a:off x="11287125" y="211207"/>
          <a:ext cx="1352550" cy="44741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12</xdr:col>
      <xdr:colOff>944301</xdr:colOff>
      <xdr:row>9</xdr:row>
      <xdr:rowOff>0</xdr:rowOff>
    </xdr:from>
    <xdr:ext cx="1553154" cy="444818"/>
    <xdr:pic>
      <xdr:nvPicPr>
        <xdr:cNvPr id="2" name="Picture 1" hidden="1">
          <a:extLst>
            <a:ext uri="{FF2B5EF4-FFF2-40B4-BE49-F238E27FC236}">
              <a16:creationId xmlns:a16="http://schemas.microsoft.com/office/drawing/2014/main" id="{2DD0CF42-7AF7-48B5-BE31-9A5D73751CBA}"/>
            </a:ext>
          </a:extLst>
        </xdr:cNvPr>
        <xdr:cNvPicPr>
          <a:picLocks noChangeAspect="1"/>
        </xdr:cNvPicPr>
      </xdr:nvPicPr>
      <xdr:blipFill>
        <a:blip xmlns:r="http://schemas.openxmlformats.org/officeDocument/2006/relationships" r:embed="rId1"/>
        <a:stretch>
          <a:fillRect/>
        </a:stretch>
      </xdr:blipFill>
      <xdr:spPr>
        <a:xfrm>
          <a:off x="15612801" y="1371600"/>
          <a:ext cx="1553154" cy="444818"/>
        </a:xfrm>
        <a:prstGeom prst="rect">
          <a:avLst/>
        </a:prstGeom>
      </xdr:spPr>
    </xdr:pic>
    <xdr:clientData/>
  </xdr:oneCellAnchor>
  <xdr:oneCellAnchor>
    <xdr:from>
      <xdr:col>12</xdr:col>
      <xdr:colOff>944301</xdr:colOff>
      <xdr:row>9</xdr:row>
      <xdr:rowOff>0</xdr:rowOff>
    </xdr:from>
    <xdr:ext cx="1549344" cy="446300"/>
    <xdr:pic>
      <xdr:nvPicPr>
        <xdr:cNvPr id="3" name="Picture 2" hidden="1">
          <a:extLst>
            <a:ext uri="{FF2B5EF4-FFF2-40B4-BE49-F238E27FC236}">
              <a16:creationId xmlns:a16="http://schemas.microsoft.com/office/drawing/2014/main" id="{B52082D7-8565-407D-81DD-D915CA56ACAC}"/>
            </a:ext>
          </a:extLst>
        </xdr:cNvPr>
        <xdr:cNvPicPr>
          <a:picLocks noChangeAspect="1"/>
        </xdr:cNvPicPr>
      </xdr:nvPicPr>
      <xdr:blipFill>
        <a:blip xmlns:r="http://schemas.openxmlformats.org/officeDocument/2006/relationships" r:embed="rId1"/>
        <a:stretch>
          <a:fillRect/>
        </a:stretch>
      </xdr:blipFill>
      <xdr:spPr>
        <a:xfrm>
          <a:off x="15612801" y="1371600"/>
          <a:ext cx="1549344" cy="446300"/>
        </a:xfrm>
        <a:prstGeom prst="rect">
          <a:avLst/>
        </a:prstGeom>
      </xdr:spPr>
    </xdr:pic>
    <xdr:clientData/>
  </xdr:oneCellAnchor>
  <xdr:oneCellAnchor>
    <xdr:from>
      <xdr:col>12</xdr:col>
      <xdr:colOff>944301</xdr:colOff>
      <xdr:row>9</xdr:row>
      <xdr:rowOff>0</xdr:rowOff>
    </xdr:from>
    <xdr:ext cx="1549344" cy="494964"/>
    <xdr:pic>
      <xdr:nvPicPr>
        <xdr:cNvPr id="4" name="Picture 3" hidden="1">
          <a:extLst>
            <a:ext uri="{FF2B5EF4-FFF2-40B4-BE49-F238E27FC236}">
              <a16:creationId xmlns:a16="http://schemas.microsoft.com/office/drawing/2014/main" id="{9F27E101-A2CF-46EA-B2CF-2B40383055C3}"/>
            </a:ext>
          </a:extLst>
        </xdr:cNvPr>
        <xdr:cNvPicPr>
          <a:picLocks noChangeAspect="1"/>
        </xdr:cNvPicPr>
      </xdr:nvPicPr>
      <xdr:blipFill>
        <a:blip xmlns:r="http://schemas.openxmlformats.org/officeDocument/2006/relationships" r:embed="rId1"/>
        <a:stretch>
          <a:fillRect/>
        </a:stretch>
      </xdr:blipFill>
      <xdr:spPr>
        <a:xfrm>
          <a:off x="15612801" y="1371600"/>
          <a:ext cx="1549344" cy="494964"/>
        </a:xfrm>
        <a:prstGeom prst="rect">
          <a:avLst/>
        </a:prstGeom>
      </xdr:spPr>
    </xdr:pic>
    <xdr:clientData/>
  </xdr:oneCellAnchor>
  <xdr:oneCellAnchor>
    <xdr:from>
      <xdr:col>23</xdr:col>
      <xdr:colOff>944301</xdr:colOff>
      <xdr:row>9</xdr:row>
      <xdr:rowOff>0</xdr:rowOff>
    </xdr:from>
    <xdr:ext cx="1553154" cy="444818"/>
    <xdr:pic>
      <xdr:nvPicPr>
        <xdr:cNvPr id="5" name="Picture 4" hidden="1">
          <a:extLst>
            <a:ext uri="{FF2B5EF4-FFF2-40B4-BE49-F238E27FC236}">
              <a16:creationId xmlns:a16="http://schemas.microsoft.com/office/drawing/2014/main" id="{E792FC8C-FABF-48C3-BCF8-BE2615C234E1}"/>
            </a:ext>
          </a:extLst>
        </xdr:cNvPr>
        <xdr:cNvPicPr>
          <a:picLocks noChangeAspect="1"/>
        </xdr:cNvPicPr>
      </xdr:nvPicPr>
      <xdr:blipFill>
        <a:blip xmlns:r="http://schemas.openxmlformats.org/officeDocument/2006/relationships" r:embed="rId1"/>
        <a:stretch>
          <a:fillRect/>
        </a:stretch>
      </xdr:blipFill>
      <xdr:spPr>
        <a:xfrm>
          <a:off x="15982950" y="1371600"/>
          <a:ext cx="1553154" cy="444818"/>
        </a:xfrm>
        <a:prstGeom prst="rect">
          <a:avLst/>
        </a:prstGeom>
      </xdr:spPr>
    </xdr:pic>
    <xdr:clientData/>
  </xdr:oneCellAnchor>
  <xdr:oneCellAnchor>
    <xdr:from>
      <xdr:col>23</xdr:col>
      <xdr:colOff>944301</xdr:colOff>
      <xdr:row>9</xdr:row>
      <xdr:rowOff>0</xdr:rowOff>
    </xdr:from>
    <xdr:ext cx="1549344" cy="446300"/>
    <xdr:pic>
      <xdr:nvPicPr>
        <xdr:cNvPr id="6" name="Picture 5" hidden="1">
          <a:extLst>
            <a:ext uri="{FF2B5EF4-FFF2-40B4-BE49-F238E27FC236}">
              <a16:creationId xmlns:a16="http://schemas.microsoft.com/office/drawing/2014/main" id="{4104B172-0F3C-4709-96E3-2AA9F6D07E52}"/>
            </a:ext>
          </a:extLst>
        </xdr:cNvPr>
        <xdr:cNvPicPr>
          <a:picLocks noChangeAspect="1"/>
        </xdr:cNvPicPr>
      </xdr:nvPicPr>
      <xdr:blipFill>
        <a:blip xmlns:r="http://schemas.openxmlformats.org/officeDocument/2006/relationships" r:embed="rId1"/>
        <a:stretch>
          <a:fillRect/>
        </a:stretch>
      </xdr:blipFill>
      <xdr:spPr>
        <a:xfrm>
          <a:off x="15982950" y="1371600"/>
          <a:ext cx="1549344" cy="446300"/>
        </a:xfrm>
        <a:prstGeom prst="rect">
          <a:avLst/>
        </a:prstGeom>
      </xdr:spPr>
    </xdr:pic>
    <xdr:clientData/>
  </xdr:oneCellAnchor>
  <xdr:oneCellAnchor>
    <xdr:from>
      <xdr:col>23</xdr:col>
      <xdr:colOff>944301</xdr:colOff>
      <xdr:row>9</xdr:row>
      <xdr:rowOff>0</xdr:rowOff>
    </xdr:from>
    <xdr:ext cx="1549344" cy="494964"/>
    <xdr:pic>
      <xdr:nvPicPr>
        <xdr:cNvPr id="7" name="Picture 6" hidden="1">
          <a:extLst>
            <a:ext uri="{FF2B5EF4-FFF2-40B4-BE49-F238E27FC236}">
              <a16:creationId xmlns:a16="http://schemas.microsoft.com/office/drawing/2014/main" id="{B3CBC863-C163-461C-9E4C-9567F3C758CB}"/>
            </a:ext>
          </a:extLst>
        </xdr:cNvPr>
        <xdr:cNvPicPr>
          <a:picLocks noChangeAspect="1"/>
        </xdr:cNvPicPr>
      </xdr:nvPicPr>
      <xdr:blipFill>
        <a:blip xmlns:r="http://schemas.openxmlformats.org/officeDocument/2006/relationships" r:embed="rId1"/>
        <a:stretch>
          <a:fillRect/>
        </a:stretch>
      </xdr:blipFill>
      <xdr:spPr>
        <a:xfrm>
          <a:off x="15982950" y="1371600"/>
          <a:ext cx="1549344" cy="49496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12</xdr:col>
      <xdr:colOff>944301</xdr:colOff>
      <xdr:row>9</xdr:row>
      <xdr:rowOff>0</xdr:rowOff>
    </xdr:from>
    <xdr:ext cx="1553154" cy="444818"/>
    <xdr:pic>
      <xdr:nvPicPr>
        <xdr:cNvPr id="2" name="Picture 1" hidden="1">
          <a:extLst>
            <a:ext uri="{FF2B5EF4-FFF2-40B4-BE49-F238E27FC236}">
              <a16:creationId xmlns:a16="http://schemas.microsoft.com/office/drawing/2014/main" id="{0D25E826-DF06-4897-A610-CD9300236D79}"/>
            </a:ext>
          </a:extLst>
        </xdr:cNvPr>
        <xdr:cNvPicPr>
          <a:picLocks noChangeAspect="1"/>
        </xdr:cNvPicPr>
      </xdr:nvPicPr>
      <xdr:blipFill>
        <a:blip xmlns:r="http://schemas.openxmlformats.org/officeDocument/2006/relationships" r:embed="rId1"/>
        <a:stretch>
          <a:fillRect/>
        </a:stretch>
      </xdr:blipFill>
      <xdr:spPr>
        <a:xfrm>
          <a:off x="15079401" y="0"/>
          <a:ext cx="1553154" cy="444818"/>
        </a:xfrm>
        <a:prstGeom prst="rect">
          <a:avLst/>
        </a:prstGeom>
      </xdr:spPr>
    </xdr:pic>
    <xdr:clientData/>
  </xdr:oneCellAnchor>
  <xdr:oneCellAnchor>
    <xdr:from>
      <xdr:col>12</xdr:col>
      <xdr:colOff>944301</xdr:colOff>
      <xdr:row>9</xdr:row>
      <xdr:rowOff>0</xdr:rowOff>
    </xdr:from>
    <xdr:ext cx="1549344" cy="446300"/>
    <xdr:pic>
      <xdr:nvPicPr>
        <xdr:cNvPr id="3" name="Picture 2" hidden="1">
          <a:extLst>
            <a:ext uri="{FF2B5EF4-FFF2-40B4-BE49-F238E27FC236}">
              <a16:creationId xmlns:a16="http://schemas.microsoft.com/office/drawing/2014/main" id="{97267D55-60BA-481C-8F5E-A2AC258196A1}"/>
            </a:ext>
          </a:extLst>
        </xdr:cNvPr>
        <xdr:cNvPicPr>
          <a:picLocks noChangeAspect="1"/>
        </xdr:cNvPicPr>
      </xdr:nvPicPr>
      <xdr:blipFill>
        <a:blip xmlns:r="http://schemas.openxmlformats.org/officeDocument/2006/relationships" r:embed="rId1"/>
        <a:stretch>
          <a:fillRect/>
        </a:stretch>
      </xdr:blipFill>
      <xdr:spPr>
        <a:xfrm>
          <a:off x="15079401" y="0"/>
          <a:ext cx="1549344" cy="446300"/>
        </a:xfrm>
        <a:prstGeom prst="rect">
          <a:avLst/>
        </a:prstGeom>
      </xdr:spPr>
    </xdr:pic>
    <xdr:clientData/>
  </xdr:oneCellAnchor>
  <xdr:oneCellAnchor>
    <xdr:from>
      <xdr:col>12</xdr:col>
      <xdr:colOff>944301</xdr:colOff>
      <xdr:row>9</xdr:row>
      <xdr:rowOff>0</xdr:rowOff>
    </xdr:from>
    <xdr:ext cx="1549344" cy="494964"/>
    <xdr:pic>
      <xdr:nvPicPr>
        <xdr:cNvPr id="4" name="Picture 3" hidden="1">
          <a:extLst>
            <a:ext uri="{FF2B5EF4-FFF2-40B4-BE49-F238E27FC236}">
              <a16:creationId xmlns:a16="http://schemas.microsoft.com/office/drawing/2014/main" id="{D0C27A8D-D29B-4EF7-B44C-37B0E84C21E5}"/>
            </a:ext>
          </a:extLst>
        </xdr:cNvPr>
        <xdr:cNvPicPr>
          <a:picLocks noChangeAspect="1"/>
        </xdr:cNvPicPr>
      </xdr:nvPicPr>
      <xdr:blipFill>
        <a:blip xmlns:r="http://schemas.openxmlformats.org/officeDocument/2006/relationships" r:embed="rId1"/>
        <a:stretch>
          <a:fillRect/>
        </a:stretch>
      </xdr:blipFill>
      <xdr:spPr>
        <a:xfrm>
          <a:off x="15079401" y="0"/>
          <a:ext cx="1549344" cy="494964"/>
        </a:xfrm>
        <a:prstGeom prst="rect">
          <a:avLst/>
        </a:prstGeom>
      </xdr:spPr>
    </xdr:pic>
    <xdr:clientData/>
  </xdr:oneCellAnchor>
  <xdr:oneCellAnchor>
    <xdr:from>
      <xdr:col>23</xdr:col>
      <xdr:colOff>944301</xdr:colOff>
      <xdr:row>9</xdr:row>
      <xdr:rowOff>0</xdr:rowOff>
    </xdr:from>
    <xdr:ext cx="1553154" cy="444818"/>
    <xdr:pic>
      <xdr:nvPicPr>
        <xdr:cNvPr id="5" name="Picture 4" hidden="1">
          <a:extLst>
            <a:ext uri="{FF2B5EF4-FFF2-40B4-BE49-F238E27FC236}">
              <a16:creationId xmlns:a16="http://schemas.microsoft.com/office/drawing/2014/main" id="{C7139D45-519E-466B-B27B-FA6E1EB248CC}"/>
            </a:ext>
          </a:extLst>
        </xdr:cNvPr>
        <xdr:cNvPicPr>
          <a:picLocks noChangeAspect="1"/>
        </xdr:cNvPicPr>
      </xdr:nvPicPr>
      <xdr:blipFill>
        <a:blip xmlns:r="http://schemas.openxmlformats.org/officeDocument/2006/relationships" r:embed="rId1"/>
        <a:stretch>
          <a:fillRect/>
        </a:stretch>
      </xdr:blipFill>
      <xdr:spPr>
        <a:xfrm>
          <a:off x="15079401" y="0"/>
          <a:ext cx="1553154" cy="444818"/>
        </a:xfrm>
        <a:prstGeom prst="rect">
          <a:avLst/>
        </a:prstGeom>
      </xdr:spPr>
    </xdr:pic>
    <xdr:clientData/>
  </xdr:oneCellAnchor>
  <xdr:oneCellAnchor>
    <xdr:from>
      <xdr:col>23</xdr:col>
      <xdr:colOff>944301</xdr:colOff>
      <xdr:row>9</xdr:row>
      <xdr:rowOff>0</xdr:rowOff>
    </xdr:from>
    <xdr:ext cx="1549344" cy="446300"/>
    <xdr:pic>
      <xdr:nvPicPr>
        <xdr:cNvPr id="6" name="Picture 5" hidden="1">
          <a:extLst>
            <a:ext uri="{FF2B5EF4-FFF2-40B4-BE49-F238E27FC236}">
              <a16:creationId xmlns:a16="http://schemas.microsoft.com/office/drawing/2014/main" id="{8A01C328-933D-41C0-9591-9EC572E3D41B}"/>
            </a:ext>
          </a:extLst>
        </xdr:cNvPr>
        <xdr:cNvPicPr>
          <a:picLocks noChangeAspect="1"/>
        </xdr:cNvPicPr>
      </xdr:nvPicPr>
      <xdr:blipFill>
        <a:blip xmlns:r="http://schemas.openxmlformats.org/officeDocument/2006/relationships" r:embed="rId1"/>
        <a:stretch>
          <a:fillRect/>
        </a:stretch>
      </xdr:blipFill>
      <xdr:spPr>
        <a:xfrm>
          <a:off x="15079401" y="0"/>
          <a:ext cx="1549344" cy="446300"/>
        </a:xfrm>
        <a:prstGeom prst="rect">
          <a:avLst/>
        </a:prstGeom>
      </xdr:spPr>
    </xdr:pic>
    <xdr:clientData/>
  </xdr:oneCellAnchor>
  <xdr:oneCellAnchor>
    <xdr:from>
      <xdr:col>23</xdr:col>
      <xdr:colOff>944301</xdr:colOff>
      <xdr:row>9</xdr:row>
      <xdr:rowOff>0</xdr:rowOff>
    </xdr:from>
    <xdr:ext cx="1549344" cy="494964"/>
    <xdr:pic>
      <xdr:nvPicPr>
        <xdr:cNvPr id="7" name="Picture 6" hidden="1">
          <a:extLst>
            <a:ext uri="{FF2B5EF4-FFF2-40B4-BE49-F238E27FC236}">
              <a16:creationId xmlns:a16="http://schemas.microsoft.com/office/drawing/2014/main" id="{D8092DE6-539D-445F-8666-2799D1997E42}"/>
            </a:ext>
          </a:extLst>
        </xdr:cNvPr>
        <xdr:cNvPicPr>
          <a:picLocks noChangeAspect="1"/>
        </xdr:cNvPicPr>
      </xdr:nvPicPr>
      <xdr:blipFill>
        <a:blip xmlns:r="http://schemas.openxmlformats.org/officeDocument/2006/relationships" r:embed="rId1"/>
        <a:stretch>
          <a:fillRect/>
        </a:stretch>
      </xdr:blipFill>
      <xdr:spPr>
        <a:xfrm>
          <a:off x="15079401" y="0"/>
          <a:ext cx="1549344" cy="49496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12</xdr:col>
      <xdr:colOff>944301</xdr:colOff>
      <xdr:row>9</xdr:row>
      <xdr:rowOff>0</xdr:rowOff>
    </xdr:from>
    <xdr:ext cx="1553154" cy="444818"/>
    <xdr:pic>
      <xdr:nvPicPr>
        <xdr:cNvPr id="2" name="Picture 1" hidden="1">
          <a:extLst>
            <a:ext uri="{FF2B5EF4-FFF2-40B4-BE49-F238E27FC236}">
              <a16:creationId xmlns:a16="http://schemas.microsoft.com/office/drawing/2014/main" id="{4C9AE8B2-3021-47DB-AAAC-EC4AE259B22B}"/>
            </a:ext>
          </a:extLst>
        </xdr:cNvPr>
        <xdr:cNvPicPr>
          <a:picLocks noChangeAspect="1"/>
        </xdr:cNvPicPr>
      </xdr:nvPicPr>
      <xdr:blipFill>
        <a:blip xmlns:r="http://schemas.openxmlformats.org/officeDocument/2006/relationships" r:embed="rId1"/>
        <a:stretch>
          <a:fillRect/>
        </a:stretch>
      </xdr:blipFill>
      <xdr:spPr>
        <a:xfrm>
          <a:off x="15955701" y="2200275"/>
          <a:ext cx="1553154" cy="444818"/>
        </a:xfrm>
        <a:prstGeom prst="rect">
          <a:avLst/>
        </a:prstGeom>
      </xdr:spPr>
    </xdr:pic>
    <xdr:clientData/>
  </xdr:oneCellAnchor>
  <xdr:oneCellAnchor>
    <xdr:from>
      <xdr:col>12</xdr:col>
      <xdr:colOff>944301</xdr:colOff>
      <xdr:row>9</xdr:row>
      <xdr:rowOff>0</xdr:rowOff>
    </xdr:from>
    <xdr:ext cx="1549344" cy="446300"/>
    <xdr:pic>
      <xdr:nvPicPr>
        <xdr:cNvPr id="3" name="Picture 2" hidden="1">
          <a:extLst>
            <a:ext uri="{FF2B5EF4-FFF2-40B4-BE49-F238E27FC236}">
              <a16:creationId xmlns:a16="http://schemas.microsoft.com/office/drawing/2014/main" id="{06FA42D5-94C8-4DDA-8118-9ADFA9862531}"/>
            </a:ext>
          </a:extLst>
        </xdr:cNvPr>
        <xdr:cNvPicPr>
          <a:picLocks noChangeAspect="1"/>
        </xdr:cNvPicPr>
      </xdr:nvPicPr>
      <xdr:blipFill>
        <a:blip xmlns:r="http://schemas.openxmlformats.org/officeDocument/2006/relationships" r:embed="rId1"/>
        <a:stretch>
          <a:fillRect/>
        </a:stretch>
      </xdr:blipFill>
      <xdr:spPr>
        <a:xfrm>
          <a:off x="15955701" y="2200275"/>
          <a:ext cx="1549344" cy="446300"/>
        </a:xfrm>
        <a:prstGeom prst="rect">
          <a:avLst/>
        </a:prstGeom>
      </xdr:spPr>
    </xdr:pic>
    <xdr:clientData/>
  </xdr:oneCellAnchor>
  <xdr:oneCellAnchor>
    <xdr:from>
      <xdr:col>12</xdr:col>
      <xdr:colOff>944301</xdr:colOff>
      <xdr:row>9</xdr:row>
      <xdr:rowOff>0</xdr:rowOff>
    </xdr:from>
    <xdr:ext cx="1549344" cy="494964"/>
    <xdr:pic>
      <xdr:nvPicPr>
        <xdr:cNvPr id="4" name="Picture 3" hidden="1">
          <a:extLst>
            <a:ext uri="{FF2B5EF4-FFF2-40B4-BE49-F238E27FC236}">
              <a16:creationId xmlns:a16="http://schemas.microsoft.com/office/drawing/2014/main" id="{6D87DA25-3F52-466D-88D3-671D7D2C8D12}"/>
            </a:ext>
          </a:extLst>
        </xdr:cNvPr>
        <xdr:cNvPicPr>
          <a:picLocks noChangeAspect="1"/>
        </xdr:cNvPicPr>
      </xdr:nvPicPr>
      <xdr:blipFill>
        <a:blip xmlns:r="http://schemas.openxmlformats.org/officeDocument/2006/relationships" r:embed="rId1"/>
        <a:stretch>
          <a:fillRect/>
        </a:stretch>
      </xdr:blipFill>
      <xdr:spPr>
        <a:xfrm>
          <a:off x="15955701" y="2200275"/>
          <a:ext cx="1549344" cy="494964"/>
        </a:xfrm>
        <a:prstGeom prst="rect">
          <a:avLst/>
        </a:prstGeom>
      </xdr:spPr>
    </xdr:pic>
    <xdr:clientData/>
  </xdr:oneCellAnchor>
  <xdr:oneCellAnchor>
    <xdr:from>
      <xdr:col>23</xdr:col>
      <xdr:colOff>944301</xdr:colOff>
      <xdr:row>9</xdr:row>
      <xdr:rowOff>0</xdr:rowOff>
    </xdr:from>
    <xdr:ext cx="1553154" cy="444818"/>
    <xdr:pic>
      <xdr:nvPicPr>
        <xdr:cNvPr id="5" name="Picture 4" hidden="1">
          <a:extLst>
            <a:ext uri="{FF2B5EF4-FFF2-40B4-BE49-F238E27FC236}">
              <a16:creationId xmlns:a16="http://schemas.microsoft.com/office/drawing/2014/main" id="{1E735FCC-D04F-461E-B878-69E0149521D8}"/>
            </a:ext>
          </a:extLst>
        </xdr:cNvPr>
        <xdr:cNvPicPr>
          <a:picLocks noChangeAspect="1"/>
        </xdr:cNvPicPr>
      </xdr:nvPicPr>
      <xdr:blipFill>
        <a:blip xmlns:r="http://schemas.openxmlformats.org/officeDocument/2006/relationships" r:embed="rId1"/>
        <a:stretch>
          <a:fillRect/>
        </a:stretch>
      </xdr:blipFill>
      <xdr:spPr>
        <a:xfrm>
          <a:off x="16325850" y="2200275"/>
          <a:ext cx="1553154" cy="444818"/>
        </a:xfrm>
        <a:prstGeom prst="rect">
          <a:avLst/>
        </a:prstGeom>
      </xdr:spPr>
    </xdr:pic>
    <xdr:clientData/>
  </xdr:oneCellAnchor>
  <xdr:oneCellAnchor>
    <xdr:from>
      <xdr:col>23</xdr:col>
      <xdr:colOff>944301</xdr:colOff>
      <xdr:row>9</xdr:row>
      <xdr:rowOff>0</xdr:rowOff>
    </xdr:from>
    <xdr:ext cx="1549344" cy="446300"/>
    <xdr:pic>
      <xdr:nvPicPr>
        <xdr:cNvPr id="6" name="Picture 5" hidden="1">
          <a:extLst>
            <a:ext uri="{FF2B5EF4-FFF2-40B4-BE49-F238E27FC236}">
              <a16:creationId xmlns:a16="http://schemas.microsoft.com/office/drawing/2014/main" id="{76C93B65-89DF-4C4D-93DD-7930793A22EF}"/>
            </a:ext>
          </a:extLst>
        </xdr:cNvPr>
        <xdr:cNvPicPr>
          <a:picLocks noChangeAspect="1"/>
        </xdr:cNvPicPr>
      </xdr:nvPicPr>
      <xdr:blipFill>
        <a:blip xmlns:r="http://schemas.openxmlformats.org/officeDocument/2006/relationships" r:embed="rId1"/>
        <a:stretch>
          <a:fillRect/>
        </a:stretch>
      </xdr:blipFill>
      <xdr:spPr>
        <a:xfrm>
          <a:off x="16325850" y="2200275"/>
          <a:ext cx="1549344" cy="446300"/>
        </a:xfrm>
        <a:prstGeom prst="rect">
          <a:avLst/>
        </a:prstGeom>
      </xdr:spPr>
    </xdr:pic>
    <xdr:clientData/>
  </xdr:oneCellAnchor>
  <xdr:oneCellAnchor>
    <xdr:from>
      <xdr:col>23</xdr:col>
      <xdr:colOff>944301</xdr:colOff>
      <xdr:row>9</xdr:row>
      <xdr:rowOff>0</xdr:rowOff>
    </xdr:from>
    <xdr:ext cx="1549344" cy="494964"/>
    <xdr:pic>
      <xdr:nvPicPr>
        <xdr:cNvPr id="7" name="Picture 6" hidden="1">
          <a:extLst>
            <a:ext uri="{FF2B5EF4-FFF2-40B4-BE49-F238E27FC236}">
              <a16:creationId xmlns:a16="http://schemas.microsoft.com/office/drawing/2014/main" id="{DF9DDA80-6648-418C-BCE8-9896FEEF7FA2}"/>
            </a:ext>
          </a:extLst>
        </xdr:cNvPr>
        <xdr:cNvPicPr>
          <a:picLocks noChangeAspect="1"/>
        </xdr:cNvPicPr>
      </xdr:nvPicPr>
      <xdr:blipFill>
        <a:blip xmlns:r="http://schemas.openxmlformats.org/officeDocument/2006/relationships" r:embed="rId1"/>
        <a:stretch>
          <a:fillRect/>
        </a:stretch>
      </xdr:blipFill>
      <xdr:spPr>
        <a:xfrm>
          <a:off x="16325850" y="2200275"/>
          <a:ext cx="1549344" cy="49496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12</xdr:col>
      <xdr:colOff>944301</xdr:colOff>
      <xdr:row>9</xdr:row>
      <xdr:rowOff>0</xdr:rowOff>
    </xdr:from>
    <xdr:ext cx="1553154" cy="444818"/>
    <xdr:pic>
      <xdr:nvPicPr>
        <xdr:cNvPr id="2" name="Picture 1" hidden="1">
          <a:extLst>
            <a:ext uri="{FF2B5EF4-FFF2-40B4-BE49-F238E27FC236}">
              <a16:creationId xmlns:a16="http://schemas.microsoft.com/office/drawing/2014/main" id="{8A434F41-7C86-418A-96D7-5CE37CEECDB2}"/>
            </a:ext>
          </a:extLst>
        </xdr:cNvPr>
        <xdr:cNvPicPr>
          <a:picLocks noChangeAspect="1"/>
        </xdr:cNvPicPr>
      </xdr:nvPicPr>
      <xdr:blipFill>
        <a:blip xmlns:r="http://schemas.openxmlformats.org/officeDocument/2006/relationships" r:embed="rId1"/>
        <a:stretch>
          <a:fillRect/>
        </a:stretch>
      </xdr:blipFill>
      <xdr:spPr>
        <a:xfrm>
          <a:off x="15955701" y="2200275"/>
          <a:ext cx="1553154" cy="444818"/>
        </a:xfrm>
        <a:prstGeom prst="rect">
          <a:avLst/>
        </a:prstGeom>
      </xdr:spPr>
    </xdr:pic>
    <xdr:clientData/>
  </xdr:oneCellAnchor>
  <xdr:oneCellAnchor>
    <xdr:from>
      <xdr:col>12</xdr:col>
      <xdr:colOff>944301</xdr:colOff>
      <xdr:row>9</xdr:row>
      <xdr:rowOff>0</xdr:rowOff>
    </xdr:from>
    <xdr:ext cx="1549344" cy="446300"/>
    <xdr:pic>
      <xdr:nvPicPr>
        <xdr:cNvPr id="3" name="Picture 2" hidden="1">
          <a:extLst>
            <a:ext uri="{FF2B5EF4-FFF2-40B4-BE49-F238E27FC236}">
              <a16:creationId xmlns:a16="http://schemas.microsoft.com/office/drawing/2014/main" id="{607847FC-F2B5-425F-81A5-4CB019A60864}"/>
            </a:ext>
          </a:extLst>
        </xdr:cNvPr>
        <xdr:cNvPicPr>
          <a:picLocks noChangeAspect="1"/>
        </xdr:cNvPicPr>
      </xdr:nvPicPr>
      <xdr:blipFill>
        <a:blip xmlns:r="http://schemas.openxmlformats.org/officeDocument/2006/relationships" r:embed="rId1"/>
        <a:stretch>
          <a:fillRect/>
        </a:stretch>
      </xdr:blipFill>
      <xdr:spPr>
        <a:xfrm>
          <a:off x="15955701" y="2200275"/>
          <a:ext cx="1549344" cy="446300"/>
        </a:xfrm>
        <a:prstGeom prst="rect">
          <a:avLst/>
        </a:prstGeom>
      </xdr:spPr>
    </xdr:pic>
    <xdr:clientData/>
  </xdr:oneCellAnchor>
  <xdr:oneCellAnchor>
    <xdr:from>
      <xdr:col>12</xdr:col>
      <xdr:colOff>944301</xdr:colOff>
      <xdr:row>9</xdr:row>
      <xdr:rowOff>0</xdr:rowOff>
    </xdr:from>
    <xdr:ext cx="1549344" cy="494964"/>
    <xdr:pic>
      <xdr:nvPicPr>
        <xdr:cNvPr id="4" name="Picture 3" hidden="1">
          <a:extLst>
            <a:ext uri="{FF2B5EF4-FFF2-40B4-BE49-F238E27FC236}">
              <a16:creationId xmlns:a16="http://schemas.microsoft.com/office/drawing/2014/main" id="{4DBD5CCB-D79D-48EE-843E-860E0ABF9978}"/>
            </a:ext>
          </a:extLst>
        </xdr:cNvPr>
        <xdr:cNvPicPr>
          <a:picLocks noChangeAspect="1"/>
        </xdr:cNvPicPr>
      </xdr:nvPicPr>
      <xdr:blipFill>
        <a:blip xmlns:r="http://schemas.openxmlformats.org/officeDocument/2006/relationships" r:embed="rId1"/>
        <a:stretch>
          <a:fillRect/>
        </a:stretch>
      </xdr:blipFill>
      <xdr:spPr>
        <a:xfrm>
          <a:off x="15955701" y="2200275"/>
          <a:ext cx="1549344" cy="494964"/>
        </a:xfrm>
        <a:prstGeom prst="rect">
          <a:avLst/>
        </a:prstGeom>
      </xdr:spPr>
    </xdr:pic>
    <xdr:clientData/>
  </xdr:oneCellAnchor>
  <xdr:oneCellAnchor>
    <xdr:from>
      <xdr:col>23</xdr:col>
      <xdr:colOff>944301</xdr:colOff>
      <xdr:row>9</xdr:row>
      <xdr:rowOff>0</xdr:rowOff>
    </xdr:from>
    <xdr:ext cx="1553154" cy="444818"/>
    <xdr:pic>
      <xdr:nvPicPr>
        <xdr:cNvPr id="5" name="Picture 4" hidden="1">
          <a:extLst>
            <a:ext uri="{FF2B5EF4-FFF2-40B4-BE49-F238E27FC236}">
              <a16:creationId xmlns:a16="http://schemas.microsoft.com/office/drawing/2014/main" id="{4CC90C62-409B-4AAB-9FC0-1B11FDD36176}"/>
            </a:ext>
          </a:extLst>
        </xdr:cNvPr>
        <xdr:cNvPicPr>
          <a:picLocks noChangeAspect="1"/>
        </xdr:cNvPicPr>
      </xdr:nvPicPr>
      <xdr:blipFill>
        <a:blip xmlns:r="http://schemas.openxmlformats.org/officeDocument/2006/relationships" r:embed="rId1"/>
        <a:stretch>
          <a:fillRect/>
        </a:stretch>
      </xdr:blipFill>
      <xdr:spPr>
        <a:xfrm>
          <a:off x="16325850" y="2200275"/>
          <a:ext cx="1553154" cy="444818"/>
        </a:xfrm>
        <a:prstGeom prst="rect">
          <a:avLst/>
        </a:prstGeom>
      </xdr:spPr>
    </xdr:pic>
    <xdr:clientData/>
  </xdr:oneCellAnchor>
  <xdr:oneCellAnchor>
    <xdr:from>
      <xdr:col>23</xdr:col>
      <xdr:colOff>944301</xdr:colOff>
      <xdr:row>9</xdr:row>
      <xdr:rowOff>0</xdr:rowOff>
    </xdr:from>
    <xdr:ext cx="1549344" cy="446300"/>
    <xdr:pic>
      <xdr:nvPicPr>
        <xdr:cNvPr id="6" name="Picture 5" hidden="1">
          <a:extLst>
            <a:ext uri="{FF2B5EF4-FFF2-40B4-BE49-F238E27FC236}">
              <a16:creationId xmlns:a16="http://schemas.microsoft.com/office/drawing/2014/main" id="{94E729B1-931F-4E72-9DA5-DCDEA51BCB7F}"/>
            </a:ext>
          </a:extLst>
        </xdr:cNvPr>
        <xdr:cNvPicPr>
          <a:picLocks noChangeAspect="1"/>
        </xdr:cNvPicPr>
      </xdr:nvPicPr>
      <xdr:blipFill>
        <a:blip xmlns:r="http://schemas.openxmlformats.org/officeDocument/2006/relationships" r:embed="rId1"/>
        <a:stretch>
          <a:fillRect/>
        </a:stretch>
      </xdr:blipFill>
      <xdr:spPr>
        <a:xfrm>
          <a:off x="16325850" y="2200275"/>
          <a:ext cx="1549344" cy="446300"/>
        </a:xfrm>
        <a:prstGeom prst="rect">
          <a:avLst/>
        </a:prstGeom>
      </xdr:spPr>
    </xdr:pic>
    <xdr:clientData/>
  </xdr:oneCellAnchor>
  <xdr:oneCellAnchor>
    <xdr:from>
      <xdr:col>23</xdr:col>
      <xdr:colOff>944301</xdr:colOff>
      <xdr:row>9</xdr:row>
      <xdr:rowOff>0</xdr:rowOff>
    </xdr:from>
    <xdr:ext cx="1549344" cy="494964"/>
    <xdr:pic>
      <xdr:nvPicPr>
        <xdr:cNvPr id="7" name="Picture 6" hidden="1">
          <a:extLst>
            <a:ext uri="{FF2B5EF4-FFF2-40B4-BE49-F238E27FC236}">
              <a16:creationId xmlns:a16="http://schemas.microsoft.com/office/drawing/2014/main" id="{FC63AFC6-3046-43A1-B338-58D3F80BF0E4}"/>
            </a:ext>
          </a:extLst>
        </xdr:cNvPr>
        <xdr:cNvPicPr>
          <a:picLocks noChangeAspect="1"/>
        </xdr:cNvPicPr>
      </xdr:nvPicPr>
      <xdr:blipFill>
        <a:blip xmlns:r="http://schemas.openxmlformats.org/officeDocument/2006/relationships" r:embed="rId1"/>
        <a:stretch>
          <a:fillRect/>
        </a:stretch>
      </xdr:blipFill>
      <xdr:spPr>
        <a:xfrm>
          <a:off x="16325850" y="2200275"/>
          <a:ext cx="1549344" cy="49496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12</xdr:col>
      <xdr:colOff>944301</xdr:colOff>
      <xdr:row>9</xdr:row>
      <xdr:rowOff>0</xdr:rowOff>
    </xdr:from>
    <xdr:ext cx="1553154" cy="444818"/>
    <xdr:pic>
      <xdr:nvPicPr>
        <xdr:cNvPr id="2" name="Picture 1" hidden="1">
          <a:extLst>
            <a:ext uri="{FF2B5EF4-FFF2-40B4-BE49-F238E27FC236}">
              <a16:creationId xmlns:a16="http://schemas.microsoft.com/office/drawing/2014/main" id="{7B6FCDB1-B669-4F58-81EC-4D354499EFC7}"/>
            </a:ext>
          </a:extLst>
        </xdr:cNvPr>
        <xdr:cNvPicPr>
          <a:picLocks noChangeAspect="1"/>
        </xdr:cNvPicPr>
      </xdr:nvPicPr>
      <xdr:blipFill>
        <a:blip xmlns:r="http://schemas.openxmlformats.org/officeDocument/2006/relationships" r:embed="rId1"/>
        <a:stretch>
          <a:fillRect/>
        </a:stretch>
      </xdr:blipFill>
      <xdr:spPr>
        <a:xfrm>
          <a:off x="15955701" y="2200275"/>
          <a:ext cx="1553154" cy="444818"/>
        </a:xfrm>
        <a:prstGeom prst="rect">
          <a:avLst/>
        </a:prstGeom>
      </xdr:spPr>
    </xdr:pic>
    <xdr:clientData/>
  </xdr:oneCellAnchor>
  <xdr:oneCellAnchor>
    <xdr:from>
      <xdr:col>12</xdr:col>
      <xdr:colOff>944301</xdr:colOff>
      <xdr:row>9</xdr:row>
      <xdr:rowOff>0</xdr:rowOff>
    </xdr:from>
    <xdr:ext cx="1549344" cy="446300"/>
    <xdr:pic>
      <xdr:nvPicPr>
        <xdr:cNvPr id="3" name="Picture 2" hidden="1">
          <a:extLst>
            <a:ext uri="{FF2B5EF4-FFF2-40B4-BE49-F238E27FC236}">
              <a16:creationId xmlns:a16="http://schemas.microsoft.com/office/drawing/2014/main" id="{C32DD52E-2D1D-4D04-BD65-6EC20B08BC73}"/>
            </a:ext>
          </a:extLst>
        </xdr:cNvPr>
        <xdr:cNvPicPr>
          <a:picLocks noChangeAspect="1"/>
        </xdr:cNvPicPr>
      </xdr:nvPicPr>
      <xdr:blipFill>
        <a:blip xmlns:r="http://schemas.openxmlformats.org/officeDocument/2006/relationships" r:embed="rId1"/>
        <a:stretch>
          <a:fillRect/>
        </a:stretch>
      </xdr:blipFill>
      <xdr:spPr>
        <a:xfrm>
          <a:off x="15955701" y="2200275"/>
          <a:ext cx="1549344" cy="446300"/>
        </a:xfrm>
        <a:prstGeom prst="rect">
          <a:avLst/>
        </a:prstGeom>
      </xdr:spPr>
    </xdr:pic>
    <xdr:clientData/>
  </xdr:oneCellAnchor>
  <xdr:oneCellAnchor>
    <xdr:from>
      <xdr:col>12</xdr:col>
      <xdr:colOff>944301</xdr:colOff>
      <xdr:row>9</xdr:row>
      <xdr:rowOff>0</xdr:rowOff>
    </xdr:from>
    <xdr:ext cx="1549344" cy="494964"/>
    <xdr:pic>
      <xdr:nvPicPr>
        <xdr:cNvPr id="4" name="Picture 3" hidden="1">
          <a:extLst>
            <a:ext uri="{FF2B5EF4-FFF2-40B4-BE49-F238E27FC236}">
              <a16:creationId xmlns:a16="http://schemas.microsoft.com/office/drawing/2014/main" id="{917D85C9-BB98-4E81-BFB2-36CBDAAF2778}"/>
            </a:ext>
          </a:extLst>
        </xdr:cNvPr>
        <xdr:cNvPicPr>
          <a:picLocks noChangeAspect="1"/>
        </xdr:cNvPicPr>
      </xdr:nvPicPr>
      <xdr:blipFill>
        <a:blip xmlns:r="http://schemas.openxmlformats.org/officeDocument/2006/relationships" r:embed="rId1"/>
        <a:stretch>
          <a:fillRect/>
        </a:stretch>
      </xdr:blipFill>
      <xdr:spPr>
        <a:xfrm>
          <a:off x="15955701" y="2200275"/>
          <a:ext cx="1549344" cy="494964"/>
        </a:xfrm>
        <a:prstGeom prst="rect">
          <a:avLst/>
        </a:prstGeom>
      </xdr:spPr>
    </xdr:pic>
    <xdr:clientData/>
  </xdr:oneCellAnchor>
  <xdr:oneCellAnchor>
    <xdr:from>
      <xdr:col>23</xdr:col>
      <xdr:colOff>944301</xdr:colOff>
      <xdr:row>9</xdr:row>
      <xdr:rowOff>0</xdr:rowOff>
    </xdr:from>
    <xdr:ext cx="1553154" cy="444818"/>
    <xdr:pic>
      <xdr:nvPicPr>
        <xdr:cNvPr id="5" name="Picture 4" hidden="1">
          <a:extLst>
            <a:ext uri="{FF2B5EF4-FFF2-40B4-BE49-F238E27FC236}">
              <a16:creationId xmlns:a16="http://schemas.microsoft.com/office/drawing/2014/main" id="{730E952D-DCD4-47D8-BF8E-76A1ACD7153B}"/>
            </a:ext>
          </a:extLst>
        </xdr:cNvPr>
        <xdr:cNvPicPr>
          <a:picLocks noChangeAspect="1"/>
        </xdr:cNvPicPr>
      </xdr:nvPicPr>
      <xdr:blipFill>
        <a:blip xmlns:r="http://schemas.openxmlformats.org/officeDocument/2006/relationships" r:embed="rId1"/>
        <a:stretch>
          <a:fillRect/>
        </a:stretch>
      </xdr:blipFill>
      <xdr:spPr>
        <a:xfrm>
          <a:off x="16325850" y="2200275"/>
          <a:ext cx="1553154" cy="444818"/>
        </a:xfrm>
        <a:prstGeom prst="rect">
          <a:avLst/>
        </a:prstGeom>
      </xdr:spPr>
    </xdr:pic>
    <xdr:clientData/>
  </xdr:oneCellAnchor>
  <xdr:oneCellAnchor>
    <xdr:from>
      <xdr:col>23</xdr:col>
      <xdr:colOff>944301</xdr:colOff>
      <xdr:row>9</xdr:row>
      <xdr:rowOff>0</xdr:rowOff>
    </xdr:from>
    <xdr:ext cx="1549344" cy="446300"/>
    <xdr:pic>
      <xdr:nvPicPr>
        <xdr:cNvPr id="6" name="Picture 5" hidden="1">
          <a:extLst>
            <a:ext uri="{FF2B5EF4-FFF2-40B4-BE49-F238E27FC236}">
              <a16:creationId xmlns:a16="http://schemas.microsoft.com/office/drawing/2014/main" id="{6EC8C7C0-86A0-4E36-B69F-3B09B9B9DCC4}"/>
            </a:ext>
          </a:extLst>
        </xdr:cNvPr>
        <xdr:cNvPicPr>
          <a:picLocks noChangeAspect="1"/>
        </xdr:cNvPicPr>
      </xdr:nvPicPr>
      <xdr:blipFill>
        <a:blip xmlns:r="http://schemas.openxmlformats.org/officeDocument/2006/relationships" r:embed="rId1"/>
        <a:stretch>
          <a:fillRect/>
        </a:stretch>
      </xdr:blipFill>
      <xdr:spPr>
        <a:xfrm>
          <a:off x="16325850" y="2200275"/>
          <a:ext cx="1549344" cy="446300"/>
        </a:xfrm>
        <a:prstGeom prst="rect">
          <a:avLst/>
        </a:prstGeom>
      </xdr:spPr>
    </xdr:pic>
    <xdr:clientData/>
  </xdr:oneCellAnchor>
  <xdr:oneCellAnchor>
    <xdr:from>
      <xdr:col>23</xdr:col>
      <xdr:colOff>944301</xdr:colOff>
      <xdr:row>9</xdr:row>
      <xdr:rowOff>0</xdr:rowOff>
    </xdr:from>
    <xdr:ext cx="1549344" cy="494964"/>
    <xdr:pic>
      <xdr:nvPicPr>
        <xdr:cNvPr id="7" name="Picture 6" hidden="1">
          <a:extLst>
            <a:ext uri="{FF2B5EF4-FFF2-40B4-BE49-F238E27FC236}">
              <a16:creationId xmlns:a16="http://schemas.microsoft.com/office/drawing/2014/main" id="{DD1BA45C-4E85-4780-AA11-3DACB68ACE77}"/>
            </a:ext>
          </a:extLst>
        </xdr:cNvPr>
        <xdr:cNvPicPr>
          <a:picLocks noChangeAspect="1"/>
        </xdr:cNvPicPr>
      </xdr:nvPicPr>
      <xdr:blipFill>
        <a:blip xmlns:r="http://schemas.openxmlformats.org/officeDocument/2006/relationships" r:embed="rId1"/>
        <a:stretch>
          <a:fillRect/>
        </a:stretch>
      </xdr:blipFill>
      <xdr:spPr>
        <a:xfrm>
          <a:off x="16325850" y="2200275"/>
          <a:ext cx="1549344" cy="494964"/>
        </a:xfrm>
        <a:prstGeom prst="rect">
          <a:avLst/>
        </a:prstGeom>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Heiny Peck" id="{738B746C-4C09-445C-B8FE-621602696C31}" userId="S::PeckHG@eskom.co.za::d76039fb-a41c-4a72-8a74-a6bc0cc0d217" providerId="AD"/>
  <person displayName="Tshifhiwa Nevuwari" id="{08CAFFC3-2EAB-4ECE-87E2-6A18B00E6219}" userId="S::NevuwaRT@eskom.co.za::3c737c05-94ef-4621-a030-ac2a4ea1402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21E81F3-0CD7-4733-8ED9-F7769996A956}" name="Table9" displayName="Table9" ref="A19:AI21" totalsRowShown="0" headerRowDxfId="338" dataDxfId="336" headerRowBorderDxfId="337" tableBorderDxfId="335" totalsRowBorderDxfId="334">
  <autoFilter ref="A19:AI21" xr:uid="{E21E81F3-0CD7-4733-8ED9-F7769996A956}"/>
  <tableColumns count="35">
    <tableColumn id="1" xr3:uid="{30CD54A5-1CF8-47F1-B412-1A3DFFAE1C91}" name="Intem#" dataDxfId="333"/>
    <tableColumn id="2" xr3:uid="{A21E39F1-ADC7-4646-836D-409E961BB9E5}" name="Business requirements " dataDxfId="332"/>
    <tableColumn id="3" xr3:uid="{6E935421-5062-406F-82D3-F3CA9D74433C}" name="Mandatory Returnables - This colunm lists the mandotory evidence to be provided by the vendor in the technical file and numbered to align with each criteria question. " dataDxfId="331"/>
    <tableColumn id="4" xr3:uid="{A0D3A1FF-BA7F-4AF4-B5F9-F40B54869C54}" name="Vendor Response: Vendor to indicate if, and to what extent they meet the requirement, detail must be provided in the tender submission" dataDxfId="330"/>
    <tableColumn id="5" xr3:uid="{9FFAF5DA-D885-4DC1-B683-2DAE01C05557}" name="Vendor Evidence: Location of Supporting Document/detailed response in your tender submission (state the file number, section &amp; page number)" dataDxfId="329"/>
    <tableColumn id="6" xr3:uid="{7EA67A68-8427-4C09-BDFB-A2AEFD303F42}" name="Priority Description" dataDxfId="328"/>
    <tableColumn id="7" xr3:uid="{A63BE23B-05DF-4F1D-A1B4-9DD468686629}" name="Priority" dataDxfId="327">
      <calculatedColumnFormula array="1">_xlfn.IFS(F20="","",F20="No interest",0,F20="Nice to have",1,F20="Useful",2,F20="Important",3,F20="Very important",4,F20="Critical",5,F20="Show stopper",6)</calculatedColumnFormula>
    </tableColumn>
    <tableColumn id="8" xr3:uid="{B8ED9736-8573-4302-BE70-72ABB3614B44}" name="Weight" dataDxfId="326" dataCellStyle="Percent">
      <calculatedColumnFormula>(G20/$G$18)*$F$18</calculatedColumnFormula>
    </tableColumn>
    <tableColumn id="9" xr3:uid="{BDD06966-B18B-44A0-B057-87E18E551049}" name="Selection Option" dataDxfId="325"/>
    <tableColumn id="10" xr3:uid="{9ED9B463-633A-4EA1-9C04-AF4A65605CDD}" name="Option Score" dataDxfId="324">
      <calculatedColumnFormula array="1">_xlfn.TEXTJOIN(","&amp;CHAR(10),,TEXT(Table9[[#This Row],[12]:[22]],"0,00%"))</calculatedColumnFormula>
    </tableColumn>
    <tableColumn id="11" xr3:uid="{80948B11-130E-4CC7-98FF-F42E42EB6266}" name="Evaluators Response (SELECT)" dataDxfId="323"/>
    <tableColumn id="12" xr3:uid="{7C509331-9E2A-4795-ABF5-0F9CCD204D4A}" name="Score" dataDxfId="322">
      <calculatedColumnFormula>H20-(H20*((MATCH(Table24[[#This Row],[Evaluators Response (SELECT)]],Table24[[#This Row],[1]:[11]],0)-1)/(COUNTA(Table24[[#This Row],[1]:[11]])-COUNTBLANK(Table24[[#This Row],[1]:[11]])-1)))</calculatedColumnFormula>
    </tableColumn>
    <tableColumn id="13" xr3:uid="{7592EE7D-8FC6-48EE-B10D-EFB983B7EC5A}" name="Evaluator comments" dataDxfId="321"/>
    <tableColumn id="14" xr3:uid="{76AF9911-3BA8-4DB7-AA31-C98A86EE76A8}" name="1" dataDxfId="320">
      <calculatedColumnFormula array="1">IFERROR(INDEX(_xlfn.UNIQUE(TRIM(_xlfn.TEXTSPLIT(Table9[[#This Row],[Selection Option]:[Selection Option]],","))),,N$18),"")</calculatedColumnFormula>
    </tableColumn>
    <tableColumn id="15" xr3:uid="{829A7325-A189-4E8E-ACAE-7B333F386AB1}" name="2" dataDxfId="319">
      <calculatedColumnFormula array="1">IFERROR(INDEX(_xlfn.UNIQUE(TRIM(_xlfn.TEXTSPLIT(Table9[[#This Row],[Selection Option]:[Selection Option]],","))),,O$18),"")</calculatedColumnFormula>
    </tableColumn>
    <tableColumn id="16" xr3:uid="{CDE3F9B0-4A4E-4EE7-BB4F-E1391B71ECAB}" name="3" dataDxfId="318">
      <calculatedColumnFormula array="1">IFERROR(INDEX(_xlfn.UNIQUE(TRIM(_xlfn.TEXTSPLIT(Table9[[#This Row],[Selection Option]:[Selection Option]],","))),,P$18),"")</calculatedColumnFormula>
    </tableColumn>
    <tableColumn id="17" xr3:uid="{A513037E-D4B4-4791-96F8-F4EE074B8CC6}" name="4" dataDxfId="317">
      <calculatedColumnFormula array="1">IFERROR(INDEX(_xlfn.UNIQUE(TRIM(_xlfn.TEXTSPLIT(Table9[[#This Row],[Selection Option]:[Selection Option]],","))),,Q$18),"")</calculatedColumnFormula>
    </tableColumn>
    <tableColumn id="18" xr3:uid="{BFBFD067-3172-4AF4-B22B-44E5723D74D3}" name="5" dataDxfId="316">
      <calculatedColumnFormula array="1">IFERROR(INDEX(_xlfn.UNIQUE(TRIM(_xlfn.TEXTSPLIT(Table9[[#This Row],[Selection Option]:[Selection Option]],","))),,R$18),"")</calculatedColumnFormula>
    </tableColumn>
    <tableColumn id="19" xr3:uid="{F969CB0A-7605-4295-9E6F-4B1A145A389B}" name="6" dataDxfId="315">
      <calculatedColumnFormula array="1">IFERROR(INDEX(_xlfn.UNIQUE(TRIM(_xlfn.TEXTSPLIT(Table9[[#This Row],[Selection Option]:[Selection Option]],","))),,S$18),"")</calculatedColumnFormula>
    </tableColumn>
    <tableColumn id="20" xr3:uid="{DAC80CD7-1B83-4748-AC20-CE0071822C44}" name="7" dataDxfId="314">
      <calculatedColumnFormula array="1">IFERROR(INDEX(_xlfn.UNIQUE(TRIM(_xlfn.TEXTSPLIT(Table9[[#This Row],[Selection Option]:[Selection Option]],","))),,T$18),"")</calculatedColumnFormula>
    </tableColumn>
    <tableColumn id="21" xr3:uid="{BAD34264-610C-44AC-BDC5-38F40A245A82}" name="8" dataDxfId="313">
      <calculatedColumnFormula array="1">IFERROR(INDEX(_xlfn.UNIQUE(TRIM(_xlfn.TEXTSPLIT(Table9[[#This Row],[Selection Option]:[Selection Option]],","))),,U$18),"")</calculatedColumnFormula>
    </tableColumn>
    <tableColumn id="22" xr3:uid="{38C4D623-481A-406A-803B-E49D4D3A1902}" name="9" dataDxfId="312">
      <calculatedColumnFormula array="1">IFERROR(INDEX(_xlfn.UNIQUE(TRIM(_xlfn.TEXTSPLIT(Table9[[#This Row],[Selection Option]:[Selection Option]],","))),,V$18),"")</calculatedColumnFormula>
    </tableColumn>
    <tableColumn id="23" xr3:uid="{C1D169C6-53A8-4A70-A560-0FC53A35B6DB}" name="10" dataDxfId="311">
      <calculatedColumnFormula array="1">IFERROR(INDEX(_xlfn.UNIQUE(TRIM(_xlfn.TEXTSPLIT(Table9[[#This Row],[Selection Option]:[Selection Option]],","))),,W$18),"")</calculatedColumnFormula>
    </tableColumn>
    <tableColumn id="24" xr3:uid="{537224B4-7FFD-46BA-87EE-532CA5C9FD4F}" name="11" dataDxfId="310">
      <calculatedColumnFormula array="1">IFERROR(INDEX(_xlfn.UNIQUE(TRIM(_xlfn.TEXTSPLIT(Table9[[#This Row],[Selection Option]:[Selection Option]],","))),,X$18),"")</calculatedColumnFormula>
    </tableColumn>
    <tableColumn id="25" xr3:uid="{99A7A388-A463-4FA6-A290-602B7636F06A}" name="12" dataDxfId="309">
      <calculatedColumnFormula array="1">IF(Table9[[#This Row],[1]]="","",Table9[[#This Row],[Weight]:[Weight]]-(Table9[[#This Row],[Weight]:[Weight]]*((_xlfn.XMATCH(Table9[[#This Row],[1]],Table9[[#This Row],[1]:[11]],0))-1)/(COUNTA(Table9[[#This Row],[1]:[11]])-COUNTBLANK(Table9[[#This Row],[1]:[11]])-1)))</calculatedColumnFormula>
    </tableColumn>
    <tableColumn id="26" xr3:uid="{36CE87D7-DCE6-4BF5-8939-2FFD503E598B}" name="13" dataDxfId="308">
      <calculatedColumnFormula array="1">IF(Table9[[#This Row],[2]]="","",Table9[[#This Row],[Weight]:[Weight]]-(Table9[[#This Row],[Weight]:[Weight]]*((_xlfn.XMATCH(Table9[[#This Row],[2]],Table9[[#This Row],[1]:[11]],0))-1)/(COUNTA(Table9[[#This Row],[1]:[11]])-COUNTBLANK(Table9[[#This Row],[1]:[11]])-1)))</calculatedColumnFormula>
    </tableColumn>
    <tableColumn id="27" xr3:uid="{72EEC2B8-A37E-412F-9212-E0269D8F1FC4}" name="14" dataDxfId="307">
      <calculatedColumnFormula array="1">IF(Table9[[#This Row],[3]]="","",Table9[[#This Row],[Weight]:[Weight]]-(Table9[[#This Row],[Weight]:[Weight]]*((_xlfn.XMATCH(Table9[[#This Row],[3]],Table9[[#This Row],[1]:[11]],0))-1)/(COUNTA(Table9[[#This Row],[1]:[11]])-COUNTBLANK(Table9[[#This Row],[1]:[11]])-1)))</calculatedColumnFormula>
    </tableColumn>
    <tableColumn id="28" xr3:uid="{2B1BA063-5FD3-4D1C-BD11-459AD5A9F86C}" name="15" dataDxfId="306">
      <calculatedColumnFormula array="1">IF(Table9[[#This Row],[4]]="","",Table9[[#This Row],[Weight]:[Weight]]-(Table9[[#This Row],[Weight]:[Weight]]*((_xlfn.XMATCH(Table9[[#This Row],[4]],Table9[[#This Row],[1]:[11]],0))-1)/(COUNTA(Table9[[#This Row],[1]:[11]])-COUNTBLANK(Table9[[#This Row],[1]:[11]])-1)))</calculatedColumnFormula>
    </tableColumn>
    <tableColumn id="29" xr3:uid="{FCD3F37B-0AD5-4145-B51F-016D737F7813}" name="16" dataDxfId="305">
      <calculatedColumnFormula array="1">IF(Table9[[#This Row],[5]]="","",Table9[[#This Row],[Weight]:[Weight]]-(Table9[[#This Row],[Weight]:[Weight]]*((_xlfn.XMATCH(Table9[[#This Row],[5]],Table9[[#This Row],[1]:[11]],0))-1)/(COUNTA(Table9[[#This Row],[1]:[11]])-COUNTBLANK(Table9[[#This Row],[1]:[11]])-1)))</calculatedColumnFormula>
    </tableColumn>
    <tableColumn id="30" xr3:uid="{D8D87066-C8BB-4196-9082-CB8690E407A9}" name="17" dataDxfId="304">
      <calculatedColumnFormula array="1">IF(Table9[[#This Row],[6]]="","",Table9[[#This Row],[Weight]:[Weight]]-(Table9[[#This Row],[Weight]:[Weight]]*((_xlfn.XMATCH(Table9[[#This Row],[6]],Table9[[#This Row],[1]:[11]],0))-1)/(COUNTA(Table9[[#This Row],[1]:[11]])-COUNTBLANK(Table9[[#This Row],[1]:[11]])-1)))</calculatedColumnFormula>
    </tableColumn>
    <tableColumn id="31" xr3:uid="{3958FCBD-B6A4-498F-BDAB-DCF7C97B6407}" name="18" dataDxfId="303">
      <calculatedColumnFormula array="1">IF(Table9[[#This Row],[7]]="","",Table9[[#This Row],[Weight]:[Weight]]-(Table9[[#This Row],[Weight]:[Weight]]*((_xlfn.XMATCH(Table9[[#This Row],[7]],Table9[[#This Row],[1]:[11]],0))-1)/(COUNTA(Table9[[#This Row],[1]:[11]])-COUNTBLANK(Table9[[#This Row],[1]:[11]])-1)))</calculatedColumnFormula>
    </tableColumn>
    <tableColumn id="32" xr3:uid="{C5E3DDF0-2BA5-4E22-A7AB-76135A20669F}" name="19" dataDxfId="302">
      <calculatedColumnFormula array="1">IF(Table9[[#This Row],[8]]="","",Table9[[#This Row],[Weight]:[Weight]]-(Table9[[#This Row],[Weight]:[Weight]]*((_xlfn.XMATCH(Table9[[#This Row],[8]],Table9[[#This Row],[1]:[11]],0))-1)/(COUNTA(Table9[[#This Row],[1]:[11]])-COUNTBLANK(Table9[[#This Row],[1]:[11]])-1)))</calculatedColumnFormula>
    </tableColumn>
    <tableColumn id="33" xr3:uid="{00F37AE9-4411-495C-BCA5-7D793C48E800}" name="20" dataDxfId="301">
      <calculatedColumnFormula array="1">IF(Table9[[#This Row],[9]]="","",Table9[[#This Row],[Weight]:[Weight]]-(Table9[[#This Row],[Weight]:[Weight]]*((_xlfn.XMATCH(Table9[[#This Row],[9]],Table9[[#This Row],[1]:[11]],0))-1)/(COUNTA(Table9[[#This Row],[1]:[11]])-COUNTBLANK(Table9[[#This Row],[1]:[11]])-1)))</calculatedColumnFormula>
    </tableColumn>
    <tableColumn id="34" xr3:uid="{B600C1AC-8C35-45B8-956F-1982FA263715}" name="21" dataDxfId="300">
      <calculatedColumnFormula array="1">IF(Table9[[#This Row],[10]]="","",Table9[[#This Row],[Weight]:[Weight]]-(Table9[[#This Row],[Weight]:[Weight]]*((_xlfn.XMATCH(Table9[[#This Row],[10]],Table9[[#This Row],[1]:[11]],0))-1)/(COUNTA(Table9[[#This Row],[1]:[11]])-COUNTBLANK(Table9[[#This Row],[1]:[11]])-1)))</calculatedColumnFormula>
    </tableColumn>
    <tableColumn id="35" xr3:uid="{21ADA048-D9B0-4329-A967-8FA483AEAB96}" name="22" dataDxfId="299">
      <calculatedColumnFormula array="1">IF(Table9[[#This Row],[11]]="","",Table9[[#This Row],[Weight]:[Weight]]-(Table9[[#This Row],[Weight]:[Weight]]*((_xlfn.XMATCH(Table9[[#This Row],[11]],Table9[[#This Row],[1]:[11]],0))-1)/(COUNTA(Table9[[#This Row],[1]:[11]])-COUNTBLANK(Table9[[#This Row],[1]:[11]])-1)))</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FCD147-9256-47C2-AFBA-CA919E891508}" name="Table1" displayName="Table1" ref="B9:G12" totalsRowShown="0" headerRowDxfId="298" tableBorderDxfId="297">
  <autoFilter ref="B9:G12" xr:uid="{B33F1B45-8BCF-49AE-ACC6-0A86E9EBAC7D}"/>
  <tableColumns count="6">
    <tableColumn id="1" xr3:uid="{5F994A4F-7BB6-4AC6-9D7E-88226C1FB448}" name="Gatekeeper Requirements" dataDxfId="296"/>
    <tableColumn id="2" xr3:uid="{D6B950A0-B7B1-43EF-A66C-3FF6E74C4BFF}" name="Mandatory Returnables - Evidence below to be provided in the technical file and numbered to align with each criteria question. " dataDxfId="295"/>
    <tableColumn id="3" xr3:uid="{EE14C81F-C838-4A8D-8884-706D8C792CAB}" name="Vendor Response: Vendor to provide answer the questions below and provide detail in their tender submission" dataDxfId="294"/>
    <tableColumn id="4" xr3:uid="{F87BA367-DAAD-4E72-8138-F84C6FC020B1}" name="Vendor Evidence: Location of Supporting Document/detailed response in your tender submission (state the file number, section &amp; page number)" dataDxfId="293"/>
    <tableColumn id="5" xr3:uid="{449E7F49-ED63-49FE-B12B-CE1934F56529}" name="Scoring" dataDxfId="292"/>
    <tableColumn id="6" xr3:uid="{1FAA8E31-BBAA-4249-A2E8-4CFDF660EE81}" name="Evaluator comments" dataDxfId="29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96B21-5682-485E-819E-8177B0758C55}" name="Table24" displayName="Table24" ref="A12:AI17" totalsRowShown="0" headerRowDxfId="290" dataDxfId="288" headerRowBorderDxfId="289" tableBorderDxfId="287" totalsRowBorderDxfId="286">
  <autoFilter ref="A12:AI17" xr:uid="{DBBFD16F-C697-4B03-8565-497D940E477E}"/>
  <tableColumns count="35">
    <tableColumn id="1" xr3:uid="{FC0D3B50-2605-4FB4-9E65-2844A864AA02}" name="Intem#" dataDxfId="285"/>
    <tableColumn id="2" xr3:uid="{31EDD415-9A08-49E2-B9A8-D2AF61B3CB71}" name="Business requirements " dataDxfId="284"/>
    <tableColumn id="3" xr3:uid="{123DB69B-7918-4851-9862-E68E4C829DBB}" name="Mandatory Returnables - This colunm lists the mandotory evidence to be provided by the vendor in the technical file and numbered to align with each criteria question. " dataDxfId="283"/>
    <tableColumn id="4" xr3:uid="{B79C3982-2DB5-4D0C-AA46-F566B82652F6}" name="Vendor Response: Vendor to indicate if, and to what extent they meet the requirement, detail must be provided in the tender submission" dataDxfId="282"/>
    <tableColumn id="5" xr3:uid="{85EBD568-E4D0-4BB1-8B9E-270E883EB004}" name="Vendor Evidence: Location of Supporting Document/detailed response in your tender submission (state the file number, section &amp; page number)" dataDxfId="281"/>
    <tableColumn id="6" xr3:uid="{9A68C220-DE1B-4E22-BAC3-1C31673C0BC2}" name="Priority Description" dataDxfId="280"/>
    <tableColumn id="7" xr3:uid="{77DC0042-6B66-4165-9FE0-2B52C6BD970A}" name="Priority" dataDxfId="279">
      <calculatedColumnFormula array="1">_xlfn.IFS(F13="","",F13="No interest",0,F13="Nice to have",1,F13="Useful",2,F13="Important",3,F13="Very important",4,F13="Critical",5,F13="Show stopper",6)</calculatedColumnFormula>
    </tableColumn>
    <tableColumn id="8" xr3:uid="{179D36C0-6EF0-4331-8A62-BC5228C7B905}" name="Weight" dataDxfId="278" dataCellStyle="Percent">
      <calculatedColumnFormula>(G13/$G$11)*$F$11</calculatedColumnFormula>
    </tableColumn>
    <tableColumn id="9" xr3:uid="{2D484EB2-91FB-49C0-AC1A-A55D03B66A0D}" name="Selection Option" dataDxfId="277"/>
    <tableColumn id="42" xr3:uid="{B98D89B5-B1E2-4AC5-9736-09F2C3958D81}" name="Option Score" dataDxfId="276">
      <calculatedColumnFormula array="1">_xlfn.TEXTJOIN(","&amp;CHAR(10),,TEXT(Table24[[#This Row],[12]:[22]],"0.00%"))</calculatedColumnFormula>
    </tableColumn>
    <tableColumn id="11" xr3:uid="{B998B592-B666-46E3-89F9-AF864066B2D3}" name="Evaluators Response (SELECT)" dataDxfId="275"/>
    <tableColumn id="12" xr3:uid="{FDD38330-02A0-404A-8770-6B5A5BCBA8A8}" name="Score" dataDxfId="274">
      <calculatedColumnFormula>H13-(H13*((MATCH(Table24[[#This Row],[Evaluators Response (SELECT)]],Table24[[#This Row],[1]:[11]],0)-1)/(COUNTA(Table24[[#This Row],[1]:[11]])-COUNTBLANK(Table24[[#This Row],[1]:[11]])-1)))</calculatedColumnFormula>
    </tableColumn>
    <tableColumn id="13" xr3:uid="{C90F6CE8-6B96-4678-A2C8-B0620AD4A8E7}" name="Evaluator comments" dataDxfId="273"/>
    <tableColumn id="14" xr3:uid="{9CDC49A5-6C05-4666-A6B4-2358C01356DC}" name="1" dataDxfId="272">
      <calculatedColumnFormula array="1">IFERROR(INDEX(_xlfn.UNIQUE(TRIM(_xlfn.TEXTSPLIT(Table24[[#This Row],[Selection Option]:[Selection Option]],","))),,N$11),"")</calculatedColumnFormula>
    </tableColumn>
    <tableColumn id="15" xr3:uid="{6BC4B9E9-E3E5-4492-B88A-598C31B87C8F}" name="2" dataDxfId="271"/>
    <tableColumn id="16" xr3:uid="{B5BF56A7-D715-44E6-995C-47CCF947F4EE}" name="3" dataDxfId="270"/>
    <tableColumn id="17" xr3:uid="{F0FA9131-A05E-41B9-9232-EA130284EFA5}" name="4" dataDxfId="269"/>
    <tableColumn id="18" xr3:uid="{FFBC81E3-38D5-492B-AE09-483B06187110}" name="5" dataDxfId="268"/>
    <tableColumn id="25" xr3:uid="{C666B1C1-20B4-49A4-9959-745949F8838F}" name="6" dataDxfId="267"/>
    <tableColumn id="26" xr3:uid="{3A8BFF70-AA23-461F-82C3-7A618C7FC5E5}" name="7" dataDxfId="266"/>
    <tableColumn id="27" xr3:uid="{F92470DF-78D9-42B8-8721-294EA81B8171}" name="8" dataDxfId="265"/>
    <tableColumn id="28" xr3:uid="{FC49C561-7B24-4D60-9A7D-FAE90B24423C}" name="9" dataDxfId="264"/>
    <tableColumn id="29" xr3:uid="{79B07CA5-CFE4-4534-B625-5840F17BDB1B}" name="10" dataDxfId="263"/>
    <tableColumn id="30" xr3:uid="{20C1249C-8AAF-4219-9D62-42313CCAAD44}" name="11" dataDxfId="262"/>
    <tableColumn id="31" xr3:uid="{18EEF021-AAC0-48DC-A7F7-D1BAF859E88B}" name="12" dataDxfId="261">
      <calculatedColumnFormula array="1">IF(Table24[[#This Row],[1]]="","",Table24[[#This Row],[Weight]:[Weight]]-(Table24[[#This Row],[Weight]:[Weight]]*((_xlfn.XMATCH(Table24[[#This Row],[1]],Table24[[#This Row],[1]:[11]],0))-1)/(COUNTA(Table24[[#This Row],[1]:[11]])-COUNTBLANK(Table24[[#This Row],[1]:[11]])-1)))</calculatedColumnFormula>
    </tableColumn>
    <tableColumn id="32" xr3:uid="{4E4777C3-0398-4BA1-81AE-0C87E6F955CA}" name="13" dataDxfId="260">
      <calculatedColumnFormula array="1">IF(Table24[[#This Row],[2]]="","",Table24[[#This Row],[Weight]:[Weight]]-(Table24[[#This Row],[Weight]:[Weight]]*((_xlfn.XMATCH(Table24[[#This Row],[2]],Table24[[#This Row],[1]:[11]],0))-1)/(COUNTA(Table24[[#This Row],[1]:[11]])-COUNTBLANK(Table24[[#This Row],[1]:[11]])-1)))</calculatedColumnFormula>
    </tableColumn>
    <tableColumn id="33" xr3:uid="{367B8BBE-89C7-463B-BCBF-BA4FC8E453D1}" name="14" dataDxfId="259">
      <calculatedColumnFormula array="1">IF(Table24[[#This Row],[3]]="","",Table24[[#This Row],[Weight]:[Weight]]-(Table24[[#This Row],[Weight]:[Weight]]*((_xlfn.XMATCH(Table24[[#This Row],[3]],Table24[[#This Row],[1]:[11]],0))-1)/(COUNTA(Table24[[#This Row],[1]:[11]])-COUNTBLANK(Table24[[#This Row],[1]:[11]])-1)))</calculatedColumnFormula>
    </tableColumn>
    <tableColumn id="34" xr3:uid="{80F0AE69-27BC-40F8-B3AA-3F58DA9858C3}" name="15" dataDxfId="258">
      <calculatedColumnFormula array="1">IF(Table24[[#This Row],[4]]="","",Table24[[#This Row],[Weight]:[Weight]]-(Table24[[#This Row],[Weight]:[Weight]]*((_xlfn.XMATCH(Table24[[#This Row],[4]],Table24[[#This Row],[1]:[11]],0))-1)/(COUNTA(Table24[[#This Row],[1]:[11]])-COUNTBLANK(Table24[[#This Row],[1]:[11]])-1)))</calculatedColumnFormula>
    </tableColumn>
    <tableColumn id="35" xr3:uid="{E273CA0E-9DE9-4A40-8223-BFAFA9BB0293}" name="16" dataDxfId="257">
      <calculatedColumnFormula array="1">IF(Table24[[#This Row],[5]]="","",Table24[[#This Row],[Weight]:[Weight]]-(Table24[[#This Row],[Weight]:[Weight]]*((_xlfn.XMATCH(Table24[[#This Row],[5]],Table24[[#This Row],[1]:[11]],0))-1)/(COUNTA(Table24[[#This Row],[1]:[11]])-COUNTBLANK(Table24[[#This Row],[1]:[11]])-1)))</calculatedColumnFormula>
    </tableColumn>
    <tableColumn id="36" xr3:uid="{68A0912C-F7EB-4793-8346-9BBD283646F0}" name="17" dataDxfId="256">
      <calculatedColumnFormula array="1">IF(Table24[[#This Row],[6]]="","",Table24[[#This Row],[Weight]:[Weight]]-(Table24[[#This Row],[Weight]:[Weight]]*((_xlfn.XMATCH(Table24[[#This Row],[6]],Table24[[#This Row],[1]:[11]],0))-1)/(COUNTA(Table24[[#This Row],[1]:[11]])-COUNTBLANK(Table24[[#This Row],[1]:[11]])-1)))</calculatedColumnFormula>
    </tableColumn>
    <tableColumn id="37" xr3:uid="{99377EFE-C696-446E-B319-B5F1364C856B}" name="18" dataDxfId="255">
      <calculatedColumnFormula array="1">IF(Table24[[#This Row],[7]]="","",Table24[[#This Row],[Weight]:[Weight]]-(Table24[[#This Row],[Weight]:[Weight]]*((_xlfn.XMATCH(Table24[[#This Row],[7]],Table24[[#This Row],[1]:[11]],0))-1)/(COUNTA(Table24[[#This Row],[1]:[11]])-COUNTBLANK(Table24[[#This Row],[1]:[11]])-1)))</calculatedColumnFormula>
    </tableColumn>
    <tableColumn id="38" xr3:uid="{ADCAE048-CD4B-463B-ACC9-37F6F9C0AD70}" name="19" dataDxfId="254">
      <calculatedColumnFormula array="1">IF(Table24[[#This Row],[8]]="","",Table24[[#This Row],[Weight]:[Weight]]-(Table24[[#This Row],[Weight]:[Weight]]*((_xlfn.XMATCH(Table24[[#This Row],[8]],Table24[[#This Row],[1]:[11]],0))-1)/(COUNTA(Table24[[#This Row],[1]:[11]])-COUNTBLANK(Table24[[#This Row],[1]:[11]])-1)))</calculatedColumnFormula>
    </tableColumn>
    <tableColumn id="39" xr3:uid="{723D6487-7E1D-4235-AE7D-4161502E1E9F}" name="20" dataDxfId="253">
      <calculatedColumnFormula array="1">IF(Table24[[#This Row],[9]]="","",Table24[[#This Row],[Weight]:[Weight]]-(Table24[[#This Row],[Weight]:[Weight]]*((_xlfn.XMATCH(Table24[[#This Row],[9]],Table24[[#This Row],[1]:[11]],0))-1)/(COUNTA(Table24[[#This Row],[1]:[11]])-COUNTBLANK(Table24[[#This Row],[1]:[11]])-1)))</calculatedColumnFormula>
    </tableColumn>
    <tableColumn id="40" xr3:uid="{2EE657FB-C8AE-4368-A854-F80142CD20C1}" name="21" dataDxfId="252">
      <calculatedColumnFormula array="1">IF(Table24[[#This Row],[10]]="","",Table24[[#This Row],[Weight]:[Weight]]-(Table24[[#This Row],[Weight]:[Weight]]*((_xlfn.XMATCH(Table24[[#This Row],[10]],Table24[[#This Row],[1]:[11]],0))-1)/(COUNTA(Table24[[#This Row],[1]:[11]])-COUNTBLANK(Table24[[#This Row],[1]:[11]])-1)))</calculatedColumnFormula>
    </tableColumn>
    <tableColumn id="41" xr3:uid="{9E643B2D-4F97-444A-9D0D-D48935C89BA1}" name="22" dataDxfId="251">
      <calculatedColumnFormula array="1">IF(Table24[[#This Row],[11]]="","",Table24[[#This Row],[Weight]:[Weight]]-(Table24[[#This Row],[Weight]:[Weight]]*((_xlfn.XMATCH(Table24[[#This Row],[11]],Table24[[#This Row],[1]:[11]],0))-1)/(COUNTA(Table24[[#This Row],[1]:[11]])-COUNTBLANK(Table24[[#This Row],[1]:[11]])-1)))</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5AFD7F-FAA3-4C14-940D-9BC512DC9BAD}" name="Table2" displayName="Table2" ref="A12:AI18" totalsRowShown="0" headerRowDxfId="250" dataDxfId="248" headerRowBorderDxfId="249" tableBorderDxfId="247" totalsRowBorderDxfId="246">
  <autoFilter ref="A12:AI18" xr:uid="{DBBFD16F-C697-4B03-8565-497D940E477E}"/>
  <tableColumns count="35">
    <tableColumn id="1" xr3:uid="{CBC1F8E6-D191-45FF-B651-C7D1212B92B7}" name="Intem#" dataDxfId="245"/>
    <tableColumn id="2" xr3:uid="{E8343E5F-3C9C-460F-A343-8A89BBE9BD54}" name="Business requirements " dataDxfId="244"/>
    <tableColumn id="3" xr3:uid="{86F8DE2C-BB36-471C-B342-F1994426B4BD}" name="Mandatory Returnables - This colunm lists the mandotory evidence to be provided by the vendor in the technical file and numbered to align with each criteria question. " dataDxfId="243"/>
    <tableColumn id="4" xr3:uid="{9780B393-1AE6-49BF-9B9E-9D8864768828}" name="Vendor Response: Vendor to indicate if, and to what extent they meet the requirement, detail must be provided in the tender submission" dataDxfId="242"/>
    <tableColumn id="5" xr3:uid="{3F551CB4-508D-43CE-946F-A5D5D905E8D3}" name="Vendor Evidence: Location of Supporting Document/detailed response in your tender submission (state the file number, section &amp; page number)" dataDxfId="241"/>
    <tableColumn id="6" xr3:uid="{C3AEEE38-E369-46C3-B627-032CA5236945}" name="Priority Description" dataDxfId="240"/>
    <tableColumn id="7" xr3:uid="{52FD17D8-F746-46FD-A47B-CD805E9B387E}" name="Priority" dataDxfId="239">
      <calculatedColumnFormula array="1">_xlfn.IFS(F13="","",F13="No interest",0,F13="Nice to have",1,F13="Useful",2,F13="Important",3,F13="Very important",4,F13="Critical",5,F13="Show stopper",6)</calculatedColumnFormula>
    </tableColumn>
    <tableColumn id="8" xr3:uid="{787505B4-B9B2-4C90-823E-B9B0D581F872}" name="Weight" dataDxfId="238" dataCellStyle="Percent">
      <calculatedColumnFormula>(G13/$G$11)*$F$11</calculatedColumnFormula>
    </tableColumn>
    <tableColumn id="9" xr3:uid="{E92F2168-3B7F-4ED0-8505-CFAF73DF24D5}" name="Selection Options" dataDxfId="237"/>
    <tableColumn id="42" xr3:uid="{6B457CD8-DA2B-4821-9A18-424F8A129303}" name="Option Score" dataDxfId="236">
      <calculatedColumnFormula array="1">_xlfn.TEXTJOIN(","&amp;CHAR(10),,TEXT(Table2[[#This Row],[12]:[22]],"0.00%"))</calculatedColumnFormula>
    </tableColumn>
    <tableColumn id="11" xr3:uid="{CEF004B6-6F0B-44F6-8351-88C61D4C64BD}" name="Evaluators Response (SELECT)" dataDxfId="235"/>
    <tableColumn id="12" xr3:uid="{A8D6CFF9-790A-4E15-A24C-3BF6F31FC6D5}" name="Score" dataDxfId="234">
      <calculatedColumnFormula>H13-(H13*((MATCH(Table2[[#This Row],[Evaluators Response (SELECT)]],Table2[[#This Row],[1]:[11]],0)-1)/(COUNTA(Table2[[#This Row],[1]:[11]])-COUNTBLANK(Table2[[#This Row],[1]:[11]])-1)))</calculatedColumnFormula>
    </tableColumn>
    <tableColumn id="13" xr3:uid="{590139EA-5FFE-4543-961F-528DCF5AB5DF}" name="Evaluator comments" dataDxfId="233"/>
    <tableColumn id="14" xr3:uid="{48BD5256-CFF5-463A-934F-1A374093E54A}" name="1" dataDxfId="232">
      <calculatedColumnFormula array="1">IFERROR(INDEX(_xlfn.UNIQUE(TRIM(_xlfn.TEXTSPLIT(Table2[[#This Row],[Selection Options]:[Selection Options]],","))),,N$11),"")</calculatedColumnFormula>
    </tableColumn>
    <tableColumn id="15" xr3:uid="{A1D3CBE5-26DD-4A1A-A2B4-F965289E5719}" name="2" dataDxfId="231">
      <calculatedColumnFormula array="1">IFERROR(INDEX(_xlfn.UNIQUE(TRIM(_xlfn.TEXTSPLIT(Table2[[#This Row],[Selection Options]:[Selection Options]],","))),,O$11),"")</calculatedColumnFormula>
    </tableColumn>
    <tableColumn id="16" xr3:uid="{FF17B306-83E1-4BE1-85AA-2CD0CB100BAE}" name="3" dataDxfId="230">
      <calculatedColumnFormula array="1">IFERROR(INDEX(_xlfn.UNIQUE(TRIM(_xlfn.TEXTSPLIT(Table2[[#This Row],[Selection Options]:[Selection Options]],","))),,P$11),"")</calculatedColumnFormula>
    </tableColumn>
    <tableColumn id="17" xr3:uid="{5D172CC8-EF94-46BB-BADB-86B97E44831F}" name="4" dataDxfId="229">
      <calculatedColumnFormula array="1">IFERROR(INDEX(_xlfn.UNIQUE(TRIM(_xlfn.TEXTSPLIT(Table2[[#This Row],[Selection Options]:[Selection Options]],","))),,Q$11),"")</calculatedColumnFormula>
    </tableColumn>
    <tableColumn id="18" xr3:uid="{77E372B4-E375-498A-A484-E46E3C72273E}" name="5" dataDxfId="228">
      <calculatedColumnFormula array="1">IFERROR(INDEX(_xlfn.UNIQUE(TRIM(_xlfn.TEXTSPLIT(Table2[[#This Row],[Selection Options]:[Selection Options]],","))),,R$11),"")</calculatedColumnFormula>
    </tableColumn>
    <tableColumn id="25" xr3:uid="{32395E3F-4ADE-42F4-A2AA-0B30DE64D4E8}" name="6" dataDxfId="227">
      <calculatedColumnFormula array="1">IFERROR(INDEX(_xlfn.UNIQUE(TRIM(_xlfn.TEXTSPLIT(Table2[[#This Row],[Selection Options]:[Selection Options]],","))),,S$11),"")</calculatedColumnFormula>
    </tableColumn>
    <tableColumn id="26" xr3:uid="{22323323-BB32-488F-85DE-963F8EC1C0F3}" name="7" dataDxfId="226">
      <calculatedColumnFormula array="1">IFERROR(INDEX(_xlfn.UNIQUE(TRIM(_xlfn.TEXTSPLIT(Table2[[#This Row],[Selection Options]:[Selection Options]],","))),,T$11),"")</calculatedColumnFormula>
    </tableColumn>
    <tableColumn id="27" xr3:uid="{2702CED0-5B48-4C12-9405-70A445636A6E}" name="8" dataDxfId="225">
      <calculatedColumnFormula array="1">IFERROR(INDEX(_xlfn.UNIQUE(TRIM(_xlfn.TEXTSPLIT(Table2[[#This Row],[Selection Options]:[Selection Options]],","))),,U$11),"")</calculatedColumnFormula>
    </tableColumn>
    <tableColumn id="28" xr3:uid="{ED059229-4C1C-4FA9-8DCB-B0B4566A157B}" name="9" dataDxfId="224">
      <calculatedColumnFormula array="1">IFERROR(INDEX(_xlfn.UNIQUE(TRIM(_xlfn.TEXTSPLIT(Table2[[#This Row],[Selection Options]:[Selection Options]],","))),,V$11),"")</calculatedColumnFormula>
    </tableColumn>
    <tableColumn id="29" xr3:uid="{2FA362FF-2677-4649-B00C-08E86B668626}" name="10" dataDxfId="223">
      <calculatedColumnFormula array="1">IFERROR(INDEX(_xlfn.UNIQUE(TRIM(_xlfn.TEXTSPLIT(Table2[[#This Row],[Selection Options]:[Selection Options]],","))),,W$11),"")</calculatedColumnFormula>
    </tableColumn>
    <tableColumn id="30" xr3:uid="{79C61157-0ECE-441A-B648-AB5F21D4F2B2}" name="11" dataDxfId="222">
      <calculatedColumnFormula array="1">IFERROR(INDEX(_xlfn.UNIQUE(TRIM(_xlfn.TEXTSPLIT(Table2[[#This Row],[Selection Options]:[Selection Options]],","))),,X$11),"")</calculatedColumnFormula>
    </tableColumn>
    <tableColumn id="31" xr3:uid="{E5DD3B79-DFC8-4FA6-8B70-1151B755864B}" name="12" dataDxfId="221">
      <calculatedColumnFormula array="1">IF(Table2[[#This Row],[1]]="","",Table2[[#This Row],[Weight]:[Weight]]-(Table2[[#This Row],[Weight]:[Weight]]*((_xlfn.XMATCH(Table2[[#This Row],[1]],Table2[[#This Row],[1]:[11]],0))-1)/(COUNTA(Table2[[#This Row],[1]:[11]])-COUNTBLANK(Table2[[#This Row],[1]:[11]])-1)))</calculatedColumnFormula>
    </tableColumn>
    <tableColumn id="32" xr3:uid="{EDC430F9-1095-41A2-AA6C-C637DB8A3EE3}" name="13" dataDxfId="220">
      <calculatedColumnFormula array="1">IF(Table2[[#This Row],[2]]="","",Table2[[#This Row],[Weight]:[Weight]]-(Table2[[#This Row],[Weight]:[Weight]]*((_xlfn.XMATCH(Table2[[#This Row],[2]],Table2[[#This Row],[1]:[11]],0))-1)/(COUNTA(Table2[[#This Row],[1]:[11]])-COUNTBLANK(Table2[[#This Row],[1]:[11]])-1)))</calculatedColumnFormula>
    </tableColumn>
    <tableColumn id="33" xr3:uid="{B958F76A-C62A-446C-B97E-B92C22BFD910}" name="14" dataDxfId="219">
      <calculatedColumnFormula array="1">IF(Table2[[#This Row],[3]]="","",Table2[[#This Row],[Weight]:[Weight]]-(Table2[[#This Row],[Weight]:[Weight]]*((_xlfn.XMATCH(Table2[[#This Row],[3]],Table2[[#This Row],[1]:[11]],0))-1)/(COUNTA(Table2[[#This Row],[1]:[11]])-COUNTBLANK(Table2[[#This Row],[1]:[11]])-1)))</calculatedColumnFormula>
    </tableColumn>
    <tableColumn id="34" xr3:uid="{43EACFDE-2F80-426A-A7E2-2AC0F00E82B9}" name="15" dataDxfId="218">
      <calculatedColumnFormula array="1">IF(Table2[[#This Row],[4]]="","",Table2[[#This Row],[Weight]:[Weight]]-(Table2[[#This Row],[Weight]:[Weight]]*((_xlfn.XMATCH(Table2[[#This Row],[4]],Table2[[#This Row],[1]:[11]],0))-1)/(COUNTA(Table2[[#This Row],[1]:[11]])-COUNTBLANK(Table2[[#This Row],[1]:[11]])-1)))</calculatedColumnFormula>
    </tableColumn>
    <tableColumn id="35" xr3:uid="{5637CBB3-AAFB-48B3-A04C-81C749017556}" name="16" dataDxfId="217">
      <calculatedColumnFormula array="1">IF(Table2[[#This Row],[5]]="","",Table2[[#This Row],[Weight]:[Weight]]-(Table2[[#This Row],[Weight]:[Weight]]*((_xlfn.XMATCH(Table2[[#This Row],[5]],Table2[[#This Row],[1]:[11]],0))-1)/(COUNTA(Table2[[#This Row],[1]:[11]])-COUNTBLANK(Table2[[#This Row],[1]:[11]])-1)))</calculatedColumnFormula>
    </tableColumn>
    <tableColumn id="36" xr3:uid="{72F1062F-7C2E-4BBA-A944-19050426932E}" name="17" dataDxfId="216">
      <calculatedColumnFormula array="1">IF(Table2[[#This Row],[6]]="","",Table2[[#This Row],[Weight]:[Weight]]-(Table2[[#This Row],[Weight]:[Weight]]*((_xlfn.XMATCH(Table2[[#This Row],[6]],Table2[[#This Row],[1]:[11]],0))-1)/(COUNTA(Table2[[#This Row],[1]:[11]])-COUNTBLANK(Table2[[#This Row],[1]:[11]])-1)))</calculatedColumnFormula>
    </tableColumn>
    <tableColumn id="37" xr3:uid="{726FF757-2CC5-4F9B-A84D-B67C6551E0B3}" name="18" dataDxfId="215">
      <calculatedColumnFormula array="1">IF(Table2[[#This Row],[7]]="","",Table2[[#This Row],[Weight]:[Weight]]-(Table2[[#This Row],[Weight]:[Weight]]*((_xlfn.XMATCH(Table2[[#This Row],[7]],Table2[[#This Row],[1]:[11]],0))-1)/(COUNTA(Table2[[#This Row],[1]:[11]])-COUNTBLANK(Table2[[#This Row],[1]:[11]])-1)))</calculatedColumnFormula>
    </tableColumn>
    <tableColumn id="38" xr3:uid="{D9F58CAB-A4CB-4B74-A693-2355FEC3213E}" name="19" dataDxfId="214">
      <calculatedColumnFormula array="1">IF(Table2[[#This Row],[8]]="","",Table2[[#This Row],[Weight]:[Weight]]-(Table2[[#This Row],[Weight]:[Weight]]*((_xlfn.XMATCH(Table2[[#This Row],[8]],Table2[[#This Row],[1]:[11]],0))-1)/(COUNTA(Table2[[#This Row],[1]:[11]])-COUNTBLANK(Table2[[#This Row],[1]:[11]])-1)))</calculatedColumnFormula>
    </tableColumn>
    <tableColumn id="39" xr3:uid="{07B65C4A-14CA-4F1E-98A9-D69069BB0461}" name="20" dataDxfId="213">
      <calculatedColumnFormula array="1">IF(Table2[[#This Row],[9]]="","",Table2[[#This Row],[Weight]:[Weight]]-(Table2[[#This Row],[Weight]:[Weight]]*((_xlfn.XMATCH(Table2[[#This Row],[9]],Table2[[#This Row],[1]:[11]],0))-1)/(COUNTA(Table2[[#This Row],[1]:[11]])-COUNTBLANK(Table2[[#This Row],[1]:[11]])-1)))</calculatedColumnFormula>
    </tableColumn>
    <tableColumn id="40" xr3:uid="{26B711F9-525D-4198-9227-5B6D717D32B7}" name="21" dataDxfId="212">
      <calculatedColumnFormula array="1">IF(Table2[[#This Row],[10]]="","",Table2[[#This Row],[Weight]:[Weight]]-(Table2[[#This Row],[Weight]:[Weight]]*((_xlfn.XMATCH(Table2[[#This Row],[10]],Table2[[#This Row],[1]:[11]],0))-1)/(COUNTA(Table2[[#This Row],[1]:[11]])-COUNTBLANK(Table2[[#This Row],[1]:[11]])-1)))</calculatedColumnFormula>
    </tableColumn>
    <tableColumn id="41" xr3:uid="{CA8A542E-B964-4228-B04E-372685C530D5}" name="22" dataDxfId="211">
      <calculatedColumnFormula array="1">IF(Table2[[#This Row],[11]]="","",Table2[[#This Row],[Weight]:[Weight]]-(Table2[[#This Row],[Weight]:[Weight]]*((_xlfn.XMATCH(Table2[[#This Row],[11]],Table2[[#This Row],[1]:[11]],0))-1)/(COUNTA(Table2[[#This Row],[1]:[11]])-COUNTBLANK(Table2[[#This Row],[1]:[11]])-1)))</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88EC48-A647-462B-B800-C0232F9B7744}" name="Table26" displayName="Table26" ref="A12:AI21" totalsRowShown="0" headerRowDxfId="210" dataDxfId="208" headerRowBorderDxfId="209" tableBorderDxfId="207" totalsRowBorderDxfId="206">
  <autoFilter ref="A12:AI21" xr:uid="{DBBFD16F-C697-4B03-8565-497D940E477E}"/>
  <tableColumns count="35">
    <tableColumn id="1" xr3:uid="{D7607818-740C-44E0-8742-253178D4E005}" name="Intem#" dataDxfId="205"/>
    <tableColumn id="2" xr3:uid="{98678367-3623-493F-9BE1-109B4FC4D1C9}" name="Business requirements " dataDxfId="204"/>
    <tableColumn id="3" xr3:uid="{45F265D2-D7CB-4C9A-8770-A0023BA5DF0C}" name="Mandatory Returnables - This colunm lists the mandotory evidence to be provided by the vendor in the technical file and numbered to align with each criteria question. " dataDxfId="203"/>
    <tableColumn id="4" xr3:uid="{A34A53A4-C7BF-4B75-B8D3-80FF50F41498}" name="Vendor Response: Vendor to indicate if, and to what extent they meet the requirement, detail must be provided in the tender submission" dataDxfId="202"/>
    <tableColumn id="5" xr3:uid="{BCE427F8-E4DE-4DA9-9D36-4EADE3B667E5}" name="Vendor Evidence: Location of Supporting Document/detailed response in your tender submission (state the file number, section &amp; page number)" dataDxfId="201"/>
    <tableColumn id="6" xr3:uid="{3CCC4D5A-C29E-4D6C-9BB6-BA4609E0BBFA}" name="Priority Description" dataDxfId="200"/>
    <tableColumn id="7" xr3:uid="{EF7D50C1-AC72-4082-9B19-D73B67D36759}" name="Priority" dataDxfId="199">
      <calculatedColumnFormula array="1">_xlfn.IFS(F13="","",F13="No interest",0,F13="Nice to have",1,F13="Useful",2,F13="Important",3,F13="Very important",4,F13="Critical",5,F13="Show stopper",6)</calculatedColumnFormula>
    </tableColumn>
    <tableColumn id="8" xr3:uid="{A44700A6-78CF-46F6-BC33-7BBB7EDE1833}" name="Weight" dataDxfId="198" dataCellStyle="Percent">
      <calculatedColumnFormula>(G13/$G$11)*$F$11</calculatedColumnFormula>
    </tableColumn>
    <tableColumn id="9" xr3:uid="{4AC1502A-C158-47DA-9502-3C49186B9467}" name="Selection Options" dataDxfId="197"/>
    <tableColumn id="42" xr3:uid="{12B37919-5D23-4A48-8C66-DE609FAC5F25}" name="Option Score" dataDxfId="196">
      <calculatedColumnFormula array="1">_xlfn.TEXTJOIN(","&amp;CHAR(10),,TEXT(Table26[[#This Row],[12]:[22]],"0.00%"))</calculatedColumnFormula>
    </tableColumn>
    <tableColumn id="11" xr3:uid="{371DE5EF-5424-4E1A-AC65-73225CE08E18}" name="Evaluators Response (SELECT)" dataDxfId="195"/>
    <tableColumn id="12" xr3:uid="{B7F7D534-496D-4F5D-A8D8-9CC5711895B2}" name="Score" dataDxfId="194">
      <calculatedColumnFormula>H13-(H13*((MATCH(Table26[[#This Row],[Evaluators Response (SELECT)]],Table26[[#This Row],[1]:[11]],0)-1)/(COUNTA(Table26[[#This Row],[1]:[11]])-COUNTBLANK(Table26[[#This Row],[1]:[11]])-1)))</calculatedColumnFormula>
    </tableColumn>
    <tableColumn id="13" xr3:uid="{5EE15917-094E-417B-92D8-BE9F005D4590}" name="Evaluator comments" dataDxfId="193"/>
    <tableColumn id="14" xr3:uid="{68831B02-2007-479A-AFD3-829E1DF57FB4}" name="1" dataDxfId="192">
      <calculatedColumnFormula array="1">IFERROR(INDEX(_xlfn.UNIQUE(TRIM(_xlfn.TEXTSPLIT(Table26[[#This Row],[Selection Options]],","))),,N$11),"")</calculatedColumnFormula>
    </tableColumn>
    <tableColumn id="15" xr3:uid="{75B2A286-123D-45D0-BEBA-7F7665BB9834}" name="2" dataDxfId="191"/>
    <tableColumn id="16" xr3:uid="{2C682B22-9E26-44D6-91FE-4535D04027BF}" name="3" dataDxfId="190"/>
    <tableColumn id="17" xr3:uid="{AC4404F9-F279-4AC5-9AC8-E2BBD2D2BF73}" name="4" dataDxfId="189"/>
    <tableColumn id="18" xr3:uid="{2D7E7B18-CEB1-4AA1-8539-B29572C5393E}" name="5" dataDxfId="188"/>
    <tableColumn id="25" xr3:uid="{D5072DD7-D808-47E8-955E-34FBB79F1AF8}" name="6" dataDxfId="187"/>
    <tableColumn id="26" xr3:uid="{11AEED01-E14E-4655-AE3B-FD5F72EDB631}" name="7" dataDxfId="186"/>
    <tableColumn id="27" xr3:uid="{1804B813-30A1-4279-89F6-398361CFCD81}" name="8" dataDxfId="185"/>
    <tableColumn id="28" xr3:uid="{960B0946-547E-4C78-AE54-8A6939E8EBCF}" name="9" dataDxfId="184"/>
    <tableColumn id="29" xr3:uid="{5460222F-D920-4073-969C-8B0296E0EB25}" name="10" dataDxfId="183"/>
    <tableColumn id="30" xr3:uid="{B150B454-48CB-4C2B-B9F9-D07B01314B48}" name="11" dataDxfId="182"/>
    <tableColumn id="31" xr3:uid="{2A2CEF87-8B39-41BB-AF99-29419E4127DB}" name="12" dataDxfId="181">
      <calculatedColumnFormula array="1">IF(Table26[[#This Row],[1]]="","",Table26[[#This Row],[Weight]]-(Table26[[#This Row],[Weight]]*((_xlfn.XMATCH(Table26[[#This Row],[1]],Table26[[#This Row],[1]:[11]],0))-1)/(COUNTA(Table26[[#This Row],[1]:[11]])-COUNTBLANK(Table26[[#This Row],[1]:[11]])-1)))</calculatedColumnFormula>
    </tableColumn>
    <tableColumn id="32" xr3:uid="{01816076-B3B9-4574-9D52-68C276D8D35F}" name="13" dataDxfId="180">
      <calculatedColumnFormula array="1">IF(Table26[[#This Row],[2]]="","",Table26[[#This Row],[Weight]]-(Table26[[#This Row],[Weight]]*((_xlfn.XMATCH(Table26[[#This Row],[2]],Table26[[#This Row],[1]:[11]],0))-1)/(COUNTA(Table26[[#This Row],[1]:[11]])-COUNTBLANK(Table26[[#This Row],[1]:[11]])-1)))</calculatedColumnFormula>
    </tableColumn>
    <tableColumn id="33" xr3:uid="{19C77893-4649-454A-870E-5974AF8A5D53}" name="14" dataDxfId="179">
      <calculatedColumnFormula array="1">IF(Table26[[#This Row],[3]]="","",Table26[[#This Row],[Weight]]-(Table26[[#This Row],[Weight]]*((_xlfn.XMATCH(Table26[[#This Row],[3]],Table26[[#This Row],[1]:[11]],0))-1)/(COUNTA(Table26[[#This Row],[1]:[11]])-COUNTBLANK(Table26[[#This Row],[1]:[11]])-1)))</calculatedColumnFormula>
    </tableColumn>
    <tableColumn id="34" xr3:uid="{A2692451-DFF0-43F8-A3B8-33AD2051A644}" name="15" dataDxfId="178">
      <calculatedColumnFormula array="1">IF(Table26[[#This Row],[4]]="","",Table26[[#This Row],[Weight]]-(Table26[[#This Row],[Weight]]*((_xlfn.XMATCH(Table26[[#This Row],[4]],Table26[[#This Row],[1]:[11]],0))-1)/(COUNTA(Table26[[#This Row],[1]:[11]])-COUNTBLANK(Table26[[#This Row],[1]:[11]])-1)))</calculatedColumnFormula>
    </tableColumn>
    <tableColumn id="35" xr3:uid="{BC3BDB3C-0EAF-43B2-BAA5-DA0B70443720}" name="16" dataDxfId="177">
      <calculatedColumnFormula array="1">IF(Table26[[#This Row],[5]]="","",Table26[[#This Row],[Weight]]-(Table26[[#This Row],[Weight]]*((_xlfn.XMATCH(Table26[[#This Row],[5]],Table26[[#This Row],[1]:[11]],0))-1)/(COUNTA(Table26[[#This Row],[1]:[11]])-COUNTBLANK(Table26[[#This Row],[1]:[11]])-1)))</calculatedColumnFormula>
    </tableColumn>
    <tableColumn id="36" xr3:uid="{4D6E6EFC-42A9-4DDF-BE3F-637D6272539B}" name="17" dataDxfId="176">
      <calculatedColumnFormula array="1">IF(Table26[[#This Row],[6]]="","",Table26[[#This Row],[Weight]]-(Table26[[#This Row],[Weight]]*((_xlfn.XMATCH(Table26[[#This Row],[6]],Table26[[#This Row],[1]:[11]],0))-1)/(COUNTA(Table26[[#This Row],[1]:[11]])-COUNTBLANK(Table26[[#This Row],[1]:[11]])-1)))</calculatedColumnFormula>
    </tableColumn>
    <tableColumn id="37" xr3:uid="{A7914B69-BDCC-4FB5-A43E-A61275F8A8D5}" name="18" dataDxfId="175">
      <calculatedColumnFormula array="1">IF(Table26[[#This Row],[7]]="","",Table26[[#This Row],[Weight]]-(Table26[[#This Row],[Weight]]*((_xlfn.XMATCH(Table26[[#This Row],[7]],Table26[[#This Row],[1]:[11]],0))-1)/(COUNTA(Table26[[#This Row],[1]:[11]])-COUNTBLANK(Table26[[#This Row],[1]:[11]])-1)))</calculatedColumnFormula>
    </tableColumn>
    <tableColumn id="38" xr3:uid="{BAF6AC3C-D636-4FA1-ACE7-F7ECE4D999AD}" name="19" dataDxfId="174">
      <calculatedColumnFormula array="1">IF(Table26[[#This Row],[8]]="","",Table26[[#This Row],[Weight]]-(Table26[[#This Row],[Weight]]*((_xlfn.XMATCH(Table26[[#This Row],[8]],Table26[[#This Row],[1]:[11]],0))-1)/(COUNTA(Table26[[#This Row],[1]:[11]])-COUNTBLANK(Table26[[#This Row],[1]:[11]])-1)))</calculatedColumnFormula>
    </tableColumn>
    <tableColumn id="39" xr3:uid="{045A13E7-D407-4A18-8B18-61D3572B3536}" name="20" dataDxfId="173">
      <calculatedColumnFormula array="1">IF(Table26[[#This Row],[9]]="","",Table26[[#This Row],[Weight]]-(Table26[[#This Row],[Weight]]*((_xlfn.XMATCH(Table26[[#This Row],[9]],Table26[[#This Row],[1]:[11]],0))-1)/(COUNTA(Table26[[#This Row],[1]:[11]])-COUNTBLANK(Table26[[#This Row],[1]:[11]])-1)))</calculatedColumnFormula>
    </tableColumn>
    <tableColumn id="40" xr3:uid="{C4E6A006-41C2-417E-9D47-CB7906EFDAD9}" name="21" dataDxfId="172">
      <calculatedColumnFormula array="1">IF(Table26[[#This Row],[10]]="","",Table26[[#This Row],[Weight]]-(Table26[[#This Row],[Weight]]*((_xlfn.XMATCH(Table26[[#This Row],[10]],Table26[[#This Row],[1]:[11]],0))-1)/(COUNTA(Table26[[#This Row],[1]:[11]])-COUNTBLANK(Table26[[#This Row],[1]:[11]])-1)))</calculatedColumnFormula>
    </tableColumn>
    <tableColumn id="41" xr3:uid="{0B6FBBF9-E924-42C8-91E3-9DE1C094DB8C}" name="22" dataDxfId="171">
      <calculatedColumnFormula array="1">IF(Table26[[#This Row],[11]]="","",Table26[[#This Row],[Weight]]-(Table26[[#This Row],[Weight]]*((_xlfn.XMATCH(Table26[[#This Row],[11]],Table26[[#This Row],[1]:[11]],0))-1)/(COUNTA(Table26[[#This Row],[1]:[11]])-COUNTBLANK(Table26[[#This Row],[1]:[11]])-1)))</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4708D4C-3934-4DC1-80BA-402235834637}" name="Table25" displayName="Table25" ref="A12:AI31" totalsRowShown="0" headerRowDxfId="170" dataDxfId="168" headerRowBorderDxfId="169" tableBorderDxfId="167" totalsRowBorderDxfId="166">
  <autoFilter ref="A12:AI31" xr:uid="{DBBFD16F-C697-4B03-8565-497D940E477E}"/>
  <tableColumns count="35">
    <tableColumn id="1" xr3:uid="{9029F02E-EE26-4D13-94E8-7A59B4E82510}" name="Intem#" dataDxfId="165"/>
    <tableColumn id="2" xr3:uid="{7180FD4E-B919-423B-92C8-D2C270B07FBF}" name="Business requirements " dataDxfId="164"/>
    <tableColumn id="3" xr3:uid="{8267DB3F-EAFF-4ABA-BED0-BCCE2C9022CF}" name="Mandatory Returnables - This colunm lists the mandotory evidence to be provided by the vendor in the technical file and numbered to align with each criteria question. " dataDxfId="163"/>
    <tableColumn id="4" xr3:uid="{8451CBF0-7EE7-4A63-BBA3-F9FCBDF48423}" name="Vendor Response: Vendor to indicate if, and to what extent they meet the requirement, detail must be provided in the tender submission" dataDxfId="162"/>
    <tableColumn id="5" xr3:uid="{037E4469-8CD2-4DF0-AABA-4258131315A1}" name="Vendor Evidence: Location of Supporting Document/detailed response in your tender submission (state the file number, section &amp; page number)" dataDxfId="161"/>
    <tableColumn id="6" xr3:uid="{F731C825-1BA2-49CA-AC35-E00F8760F6C9}" name="Priority Description" dataDxfId="160"/>
    <tableColumn id="7" xr3:uid="{C30E8696-EE66-4EB4-BA9F-BDD62E35522C}" name="Priority" dataDxfId="159">
      <calculatedColumnFormula array="1">_xlfn.IFS(F13="","",F13="No interest",0,F13="Nice to have",1,F13="Useful",2,F13="Important",3,F13="Very important",4,F13="Critical",5,F13="Show stopper",6)</calculatedColumnFormula>
    </tableColumn>
    <tableColumn id="8" xr3:uid="{83654EB7-53BA-46B7-AC77-2D3CC4A1B96D}" name="Weight" dataDxfId="158" dataCellStyle="Percent">
      <calculatedColumnFormula>(G13/$G$11)*$F$11</calculatedColumnFormula>
    </tableColumn>
    <tableColumn id="9" xr3:uid="{C0A831E1-3E0E-49D4-A729-4CB222A8D2F5}" name="Selection Option" dataDxfId="157"/>
    <tableColumn id="42" xr3:uid="{8854D2D0-8BE4-4D38-9102-7284BC7408E7}" name="Option Score" dataDxfId="156">
      <calculatedColumnFormula array="1">_xlfn.TEXTJOIN(","&amp;CHAR(10),,TEXT(Table25[[#This Row],[12]:[22]],"0,00%"))</calculatedColumnFormula>
    </tableColumn>
    <tableColumn id="11" xr3:uid="{6CB38F87-1B17-46F7-BC6C-EE906E19EB68}" name="Evaluators Response (SELECT)" dataDxfId="155"/>
    <tableColumn id="12" xr3:uid="{39A5A843-0896-4F4D-95B1-AC6BBB83A9C0}" name="Score" dataDxfId="154">
      <calculatedColumnFormula>H13-(H13*((MATCH(Table25[[#This Row],[Evaluators Response (SELECT)]],Table25[[#This Row],[1]:[11]],0)-1)/(COUNTA(Table25[[#This Row],[1]:[11]])-COUNTBLANK(Table25[[#This Row],[1]:[11]])-1)))</calculatedColumnFormula>
    </tableColumn>
    <tableColumn id="13" xr3:uid="{FCAE1F64-AF4F-4882-BD79-95C9FF79BC6E}" name="Evaluator comments" dataDxfId="153"/>
    <tableColumn id="14" xr3:uid="{E063B300-B151-4E09-969C-200518DFC091}" name="1" dataDxfId="152">
      <calculatedColumnFormula array="1">IFERROR(INDEX(_xlfn.UNIQUE(TRIM(_xlfn.TEXTSPLIT(Table25[[#This Row],[Selection Option]:[Selection Option]],","))),,N$11),"")</calculatedColumnFormula>
    </tableColumn>
    <tableColumn id="15" xr3:uid="{08CEFD0F-9F64-4B01-A125-C695C438F083}" name="2" dataDxfId="151"/>
    <tableColumn id="16" xr3:uid="{91A1D78C-E5C5-4338-BA93-D26474286DE7}" name="3" dataDxfId="150"/>
    <tableColumn id="17" xr3:uid="{D9C583F8-B48C-4A04-BC5E-5659E0665E3C}" name="4" dataDxfId="149"/>
    <tableColumn id="18" xr3:uid="{3E837502-C1B8-4883-B6C6-9BF7B5641710}" name="5" dataDxfId="148"/>
    <tableColumn id="25" xr3:uid="{F8FC3D1B-6F10-40F5-A7B5-CDAA57BF6442}" name="6" dataDxfId="147"/>
    <tableColumn id="26" xr3:uid="{FEF70D15-AF7E-4368-8FDB-210464401461}" name="7" dataDxfId="146"/>
    <tableColumn id="27" xr3:uid="{5F2D61F1-D522-43FC-88CC-31E726484DD5}" name="8" dataDxfId="145"/>
    <tableColumn id="28" xr3:uid="{66821344-AA2D-46A4-9751-9064DD46143D}" name="9" dataDxfId="144"/>
    <tableColumn id="29" xr3:uid="{A563A981-7D88-4024-8466-7550B5EBC16F}" name="10" dataDxfId="143"/>
    <tableColumn id="30" xr3:uid="{5B815B23-811A-4BC7-9B82-BE72D661A0C7}" name="11" dataDxfId="142"/>
    <tableColumn id="31" xr3:uid="{F2C4D719-1C44-409C-BB22-E8D486885CFA}" name="12" dataDxfId="141">
      <calculatedColumnFormula array="1">IF(Table25[[#This Row],[1]]="","",Table25[[#This Row],[Weight]:[Weight]]-(Table25[[#This Row],[Weight]:[Weight]]*((_xlfn.XMATCH(Table25[[#This Row],[1]],Table25[[#This Row],[1]:[11]],0))-1)/(COUNTA(Table25[[#This Row],[1]:[11]])-COUNTBLANK(Table25[[#This Row],[1]:[11]])-1)))</calculatedColumnFormula>
    </tableColumn>
    <tableColumn id="32" xr3:uid="{7A188761-0512-4E77-AF9C-56BB9D0AB8E0}" name="13" dataDxfId="140">
      <calculatedColumnFormula array="1">IF(Table25[[#This Row],[2]]="","",Table25[[#This Row],[Weight]:[Weight]]-(Table25[[#This Row],[Weight]:[Weight]]*((_xlfn.XMATCH(Table25[[#This Row],[2]],Table25[[#This Row],[1]:[11]],0))-1)/(COUNTA(Table25[[#This Row],[1]:[11]])-COUNTBLANK(Table25[[#This Row],[1]:[11]])-1)))</calculatedColumnFormula>
    </tableColumn>
    <tableColumn id="33" xr3:uid="{550C2C24-93AD-4CF1-966D-75A22A82BC40}" name="14" dataDxfId="139">
      <calculatedColumnFormula array="1">IF(Table25[[#This Row],[3]]="","",Table25[[#This Row],[Weight]:[Weight]]-(Table25[[#This Row],[Weight]:[Weight]]*((_xlfn.XMATCH(Table25[[#This Row],[3]],Table25[[#This Row],[1]:[11]],0))-1)/(COUNTA(Table25[[#This Row],[1]:[11]])-COUNTBLANK(Table25[[#This Row],[1]:[11]])-1)))</calculatedColumnFormula>
    </tableColumn>
    <tableColumn id="34" xr3:uid="{A90CA352-85B4-41A6-8DB4-380E3190A8A1}" name="15" dataDxfId="138">
      <calculatedColumnFormula array="1">IF(Table25[[#This Row],[4]]="","",Table25[[#This Row],[Weight]:[Weight]]-(Table25[[#This Row],[Weight]:[Weight]]*((_xlfn.XMATCH(Table25[[#This Row],[4]],Table25[[#This Row],[1]:[11]],0))-1)/(COUNTA(Table25[[#This Row],[1]:[11]])-COUNTBLANK(Table25[[#This Row],[1]:[11]])-1)))</calculatedColumnFormula>
    </tableColumn>
    <tableColumn id="35" xr3:uid="{4AB93CDB-C425-4C99-AC76-9A0911F96FFC}" name="16" dataDxfId="137">
      <calculatedColumnFormula array="1">IF(Table25[[#This Row],[5]]="","",Table25[[#This Row],[Weight]:[Weight]]-(Table25[[#This Row],[Weight]:[Weight]]*((_xlfn.XMATCH(Table25[[#This Row],[5]],Table25[[#This Row],[1]:[11]],0))-1)/(COUNTA(Table25[[#This Row],[1]:[11]])-COUNTBLANK(Table25[[#This Row],[1]:[11]])-1)))</calculatedColumnFormula>
    </tableColumn>
    <tableColumn id="36" xr3:uid="{BB21AF1D-B8DF-493E-96CA-155E87D3C74C}" name="17" dataDxfId="136">
      <calculatedColumnFormula array="1">IF(Table25[[#This Row],[6]]="","",Table25[[#This Row],[Weight]:[Weight]]-(Table25[[#This Row],[Weight]:[Weight]]*((_xlfn.XMATCH(Table25[[#This Row],[6]],Table25[[#This Row],[1]:[11]],0))-1)/(COUNTA(Table25[[#This Row],[1]:[11]])-COUNTBLANK(Table25[[#This Row],[1]:[11]])-1)))</calculatedColumnFormula>
    </tableColumn>
    <tableColumn id="37" xr3:uid="{C1487D21-7533-4331-B1C7-E2D334EEEE8D}" name="18" dataDxfId="135">
      <calculatedColumnFormula array="1">IF(Table25[[#This Row],[7]]="","",Table25[[#This Row],[Weight]:[Weight]]-(Table25[[#This Row],[Weight]:[Weight]]*((_xlfn.XMATCH(Table25[[#This Row],[7]],Table25[[#This Row],[1]:[11]],0))-1)/(COUNTA(Table25[[#This Row],[1]:[11]])-COUNTBLANK(Table25[[#This Row],[1]:[11]])-1)))</calculatedColumnFormula>
    </tableColumn>
    <tableColumn id="38" xr3:uid="{C376387F-7284-4BF0-B493-3180C90CEC30}" name="19" dataDxfId="134">
      <calculatedColumnFormula array="1">IF(Table25[[#This Row],[8]]="","",Table25[[#This Row],[Weight]:[Weight]]-(Table25[[#This Row],[Weight]:[Weight]]*((_xlfn.XMATCH(Table25[[#This Row],[8]],Table25[[#This Row],[1]:[11]],0))-1)/(COUNTA(Table25[[#This Row],[1]:[11]])-COUNTBLANK(Table25[[#This Row],[1]:[11]])-1)))</calculatedColumnFormula>
    </tableColumn>
    <tableColumn id="39" xr3:uid="{FC1992BA-B470-4115-A028-8D695B5D3566}" name="20" dataDxfId="133">
      <calculatedColumnFormula array="1">IF(Table25[[#This Row],[9]]="","",Table25[[#This Row],[Weight]:[Weight]]-(Table25[[#This Row],[Weight]:[Weight]]*((_xlfn.XMATCH(Table25[[#This Row],[9]],Table25[[#This Row],[1]:[11]],0))-1)/(COUNTA(Table25[[#This Row],[1]:[11]])-COUNTBLANK(Table25[[#This Row],[1]:[11]])-1)))</calculatedColumnFormula>
    </tableColumn>
    <tableColumn id="40" xr3:uid="{4C502328-DBFD-4E9F-A8E5-4F4F674EBED1}" name="21" dataDxfId="132">
      <calculatedColumnFormula array="1">IF(Table25[[#This Row],[10]]="","",Table25[[#This Row],[Weight]:[Weight]]-(Table25[[#This Row],[Weight]:[Weight]]*((_xlfn.XMATCH(Table25[[#This Row],[10]],Table25[[#This Row],[1]:[11]],0))-1)/(COUNTA(Table25[[#This Row],[1]:[11]])-COUNTBLANK(Table25[[#This Row],[1]:[11]])-1)))</calculatedColumnFormula>
    </tableColumn>
    <tableColumn id="41" xr3:uid="{DCA85428-9DA5-4123-ABD1-0432C30A6114}" name="22" dataDxfId="131">
      <calculatedColumnFormula array="1">IF(Table25[[#This Row],[11]]="","",Table25[[#This Row],[Weight]:[Weight]]-(Table25[[#This Row],[Weight]:[Weight]]*((_xlfn.XMATCH(Table25[[#This Row],[11]],Table25[[#This Row],[1]:[11]],0))-1)/(COUNTA(Table25[[#This Row],[1]:[11]])-COUNTBLANK(Table25[[#This Row],[1]:[11]])-1)))</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A337299-9ECD-4C99-B7E8-FD8955152CB1}" name="Table2678" displayName="Table2678" ref="A12:AI31" totalsRowShown="0" headerRowDxfId="130" dataDxfId="128" headerRowBorderDxfId="129" tableBorderDxfId="127" totalsRowBorderDxfId="126">
  <autoFilter ref="A12:AI31" xr:uid="{DBBFD16F-C697-4B03-8565-497D940E477E}"/>
  <tableColumns count="35">
    <tableColumn id="1" xr3:uid="{AA4544D9-876C-4237-A061-3BD573ABE1CB}" name="Intem#" dataDxfId="125"/>
    <tableColumn id="2" xr3:uid="{53177B92-C2CD-4DBC-84DB-D476665D88B8}" name="Business requirements " dataDxfId="124"/>
    <tableColumn id="3" xr3:uid="{64094142-05A2-4BA1-B672-7D1989A0656B}" name="Mandatory Returnables - This colunm lists the mandotory evidence to be provided by the vendor in the technical file and numbered to align with each criteria question. " dataDxfId="123"/>
    <tableColumn id="4" xr3:uid="{C97063F4-A9FA-4366-B184-F951EBCE9A62}" name="Vendor Response: Vendor to indicate if, and to what extent they meet the requirement, detail must be provided in the tender submission" dataDxfId="122"/>
    <tableColumn id="5" xr3:uid="{8DF31624-0530-4FB1-B517-23D734FC24E6}" name="Vendor Evidence: Location of Supporting Document/detailed response in your tender submission (state the file number, section &amp; page number)" dataDxfId="121"/>
    <tableColumn id="6" xr3:uid="{AE60D594-5F4A-4CB8-ABC1-681E1F1B2A71}" name="Priority Description" dataDxfId="120"/>
    <tableColumn id="7" xr3:uid="{28149026-C6AD-4F62-BAC1-501F5C107EE6}" name="Priority" dataDxfId="119">
      <calculatedColumnFormula array="1">_xlfn.IFS(F13="","",F13="No interest",0,F13="Nice to have",1,F13="Useful",2,F13="Important",3,F13="Very important",4,F13="Critical",5,F13="Show stopper",6)</calculatedColumnFormula>
    </tableColumn>
    <tableColumn id="8" xr3:uid="{CB90786D-867A-4124-9FF4-F1970654F869}" name="Weight" dataDxfId="118" dataCellStyle="Percent">
      <calculatedColumnFormula>(G13/$G$11)*$F$11</calculatedColumnFormula>
    </tableColumn>
    <tableColumn id="9" xr3:uid="{49C0247E-19CF-4CAA-BBF9-D0B9BCA92A74}" name="Selection Options" dataDxfId="117"/>
    <tableColumn id="42" xr3:uid="{88F1D43F-E661-4398-A33D-F7952B203769}" name="Option Score" dataDxfId="116">
      <calculatedColumnFormula array="1">_xlfn.TEXTJOIN(","&amp;CHAR(10),,TEXT(Table2678[[#This Row],[12]:[22]],"0,00%"))</calculatedColumnFormula>
    </tableColumn>
    <tableColumn id="11" xr3:uid="{61493844-98BF-4150-B423-72BC8C6E3F9E}" name="Evaluators Response (SELECT)" dataDxfId="115"/>
    <tableColumn id="12" xr3:uid="{6831A8C1-28E6-4B84-9048-79084629976A}" name="Score" dataDxfId="114">
      <calculatedColumnFormula>H13-(H13*((MATCH(Table2678[[#This Row],[Evaluators Response (SELECT)]],Table2678[[#This Row],[1]:[11]],0)-1)/(COUNTA(Table2678[[#This Row],[1]:[11]])-COUNTBLANK(Table2678[[#This Row],[1]:[11]])-1)))</calculatedColumnFormula>
    </tableColumn>
    <tableColumn id="13" xr3:uid="{3A6BC9C7-BAF7-401B-A0B6-4F8597529946}" name="Evaluator comments" dataDxfId="113"/>
    <tableColumn id="14" xr3:uid="{F8DD4877-9BD1-49F7-8AFA-CA4C1849662A}" name="1" dataDxfId="112">
      <calculatedColumnFormula array="1">IFERROR(INDEX(_xlfn.UNIQUE(TRIM(_xlfn.TEXTSPLIT(Table2678[[#This Row],[Selection Options]:[Selection Options]],","))),,N$11),"")</calculatedColumnFormula>
    </tableColumn>
    <tableColumn id="15" xr3:uid="{455A2CFC-9996-48FB-ACD6-AD6621AEF167}" name="2" dataDxfId="111"/>
    <tableColumn id="16" xr3:uid="{A8256C2E-7CDB-4BE8-9A02-C5D0C620704F}" name="3" dataDxfId="110"/>
    <tableColumn id="17" xr3:uid="{ABB2C2B7-69C1-406E-BAFD-BA647B8885A7}" name="4" dataDxfId="109"/>
    <tableColumn id="18" xr3:uid="{0B832CE2-8C61-4D78-BAFE-A27A62A95005}" name="5" dataDxfId="108"/>
    <tableColumn id="25" xr3:uid="{48514056-9B84-4C1E-B306-2B1678D693D3}" name="6" dataDxfId="107"/>
    <tableColumn id="26" xr3:uid="{60DC8307-9BB5-48F2-8D79-9E822B502477}" name="7" dataDxfId="106"/>
    <tableColumn id="27" xr3:uid="{847B6FB4-6447-44CF-9ED3-B2FE524E3F35}" name="8" dataDxfId="105"/>
    <tableColumn id="28" xr3:uid="{4702FCB5-7F35-4ED9-8ACC-899920EBD3CD}" name="9" dataDxfId="104"/>
    <tableColumn id="29" xr3:uid="{755BC202-887A-48E9-B8C8-C68BB6040723}" name="10" dataDxfId="103"/>
    <tableColumn id="30" xr3:uid="{EE508C4E-A860-4CF7-8C98-495730AAC7FF}" name="11" dataDxfId="102"/>
    <tableColumn id="31" xr3:uid="{C9D18A6F-4DAE-4BCF-B331-2F37F6C3FD49}" name="12" dataDxfId="101">
      <calculatedColumnFormula array="1">IF(Table2678[[#This Row],[1]]="","",Table2678[[#This Row],[Weight]:[Weight]]-(Table2678[[#This Row],[Weight]:[Weight]]*((_xlfn.XMATCH(Table2678[[#This Row],[1]],Table2678[[#This Row],[1]:[11]],0))-1)/(COUNTA(Table2678[[#This Row],[1]:[11]])-COUNTBLANK(Table2678[[#This Row],[1]:[11]])-1)))</calculatedColumnFormula>
    </tableColumn>
    <tableColumn id="32" xr3:uid="{C1D6B4D2-5700-46EF-B32A-836D41D433EF}" name="13" dataDxfId="100">
      <calculatedColumnFormula array="1">IF(Table2678[[#This Row],[2]]="","",Table2678[[#This Row],[Weight]:[Weight]]-(Table2678[[#This Row],[Weight]:[Weight]]*((_xlfn.XMATCH(Table2678[[#This Row],[2]],Table2678[[#This Row],[1]:[11]],0))-1)/(COUNTA(Table2678[[#This Row],[1]:[11]])-COUNTBLANK(Table2678[[#This Row],[1]:[11]])-1)))</calculatedColumnFormula>
    </tableColumn>
    <tableColumn id="33" xr3:uid="{5B496460-149A-4150-8681-82B4E96321E2}" name="14" dataDxfId="99">
      <calculatedColumnFormula array="1">IF(Table2678[[#This Row],[3]]="","",Table2678[[#This Row],[Weight]:[Weight]]-(Table2678[[#This Row],[Weight]:[Weight]]*((_xlfn.XMATCH(Table2678[[#This Row],[3]],Table2678[[#This Row],[1]:[11]],0))-1)/(COUNTA(Table2678[[#This Row],[1]:[11]])-COUNTBLANK(Table2678[[#This Row],[1]:[11]])-1)))</calculatedColumnFormula>
    </tableColumn>
    <tableColumn id="34" xr3:uid="{55BE7667-D92E-4583-9921-6D3910F8C4A2}" name="15" dataDxfId="98">
      <calculatedColumnFormula array="1">IF(Table2678[[#This Row],[4]]="","",Table2678[[#This Row],[Weight]:[Weight]]-(Table2678[[#This Row],[Weight]:[Weight]]*((_xlfn.XMATCH(Table2678[[#This Row],[4]],Table2678[[#This Row],[1]:[11]],0))-1)/(COUNTA(Table2678[[#This Row],[1]:[11]])-COUNTBLANK(Table2678[[#This Row],[1]:[11]])-1)))</calculatedColumnFormula>
    </tableColumn>
    <tableColumn id="35" xr3:uid="{8BF5DBC9-A910-4253-85A6-424E1A19D7EF}" name="16" dataDxfId="97">
      <calculatedColumnFormula array="1">IF(Table2678[[#This Row],[5]]="","",Table2678[[#This Row],[Weight]:[Weight]]-(Table2678[[#This Row],[Weight]:[Weight]]*((_xlfn.XMATCH(Table2678[[#This Row],[5]],Table2678[[#This Row],[1]:[11]],0))-1)/(COUNTA(Table2678[[#This Row],[1]:[11]])-COUNTBLANK(Table2678[[#This Row],[1]:[11]])-1)))</calculatedColumnFormula>
    </tableColumn>
    <tableColumn id="36" xr3:uid="{7E0B542B-C69E-45CF-963E-9835F8315114}" name="17" dataDxfId="96">
      <calculatedColumnFormula array="1">IF(Table2678[[#This Row],[6]]="","",Table2678[[#This Row],[Weight]:[Weight]]-(Table2678[[#This Row],[Weight]:[Weight]]*((_xlfn.XMATCH(Table2678[[#This Row],[6]],Table2678[[#This Row],[1]:[11]],0))-1)/(COUNTA(Table2678[[#This Row],[1]:[11]])-COUNTBLANK(Table2678[[#This Row],[1]:[11]])-1)))</calculatedColumnFormula>
    </tableColumn>
    <tableColumn id="37" xr3:uid="{C244A531-83EB-4A74-BDFC-CE6B1298AE85}" name="18" dataDxfId="95">
      <calculatedColumnFormula array="1">IF(Table2678[[#This Row],[7]]="","",Table2678[[#This Row],[Weight]:[Weight]]-(Table2678[[#This Row],[Weight]:[Weight]]*((_xlfn.XMATCH(Table2678[[#This Row],[7]],Table2678[[#This Row],[1]:[11]],0))-1)/(COUNTA(Table2678[[#This Row],[1]:[11]])-COUNTBLANK(Table2678[[#This Row],[1]:[11]])-1)))</calculatedColumnFormula>
    </tableColumn>
    <tableColumn id="38" xr3:uid="{D357D579-5C8D-4EDB-96F3-0ACC319FFB82}" name="19" dataDxfId="94">
      <calculatedColumnFormula array="1">IF(Table2678[[#This Row],[8]]="","",Table2678[[#This Row],[Weight]:[Weight]]-(Table2678[[#This Row],[Weight]:[Weight]]*((_xlfn.XMATCH(Table2678[[#This Row],[8]],Table2678[[#This Row],[1]:[11]],0))-1)/(COUNTA(Table2678[[#This Row],[1]:[11]])-COUNTBLANK(Table2678[[#This Row],[1]:[11]])-1)))</calculatedColumnFormula>
    </tableColumn>
    <tableColumn id="39" xr3:uid="{22A8DAF6-44F6-4B54-8A40-A6F7D679A58D}" name="20" dataDxfId="93">
      <calculatedColumnFormula array="1">IF(Table2678[[#This Row],[9]]="","",Table2678[[#This Row],[Weight]:[Weight]]-(Table2678[[#This Row],[Weight]:[Weight]]*((_xlfn.XMATCH(Table2678[[#This Row],[9]],Table2678[[#This Row],[1]:[11]],0))-1)/(COUNTA(Table2678[[#This Row],[1]:[11]])-COUNTBLANK(Table2678[[#This Row],[1]:[11]])-1)))</calculatedColumnFormula>
    </tableColumn>
    <tableColumn id="40" xr3:uid="{EDD3BD95-2371-46D2-BDB3-F829392957B0}" name="21" dataDxfId="92">
      <calculatedColumnFormula array="1">IF(Table2678[[#This Row],[10]]="","",Table2678[[#This Row],[Weight]:[Weight]]-(Table2678[[#This Row],[Weight]:[Weight]]*((_xlfn.XMATCH(Table2678[[#This Row],[10]],Table2678[[#This Row],[1]:[11]],0))-1)/(COUNTA(Table2678[[#This Row],[1]:[11]])-COUNTBLANK(Table2678[[#This Row],[1]:[11]])-1)))</calculatedColumnFormula>
    </tableColumn>
    <tableColumn id="41" xr3:uid="{9C2E69AD-2AD4-4F24-983F-BD363BAB4CE6}" name="22" dataDxfId="91">
      <calculatedColumnFormula array="1">IF(Table2678[[#This Row],[11]]="","",Table2678[[#This Row],[Weight]:[Weight]]-(Table2678[[#This Row],[Weight]:[Weight]]*((_xlfn.XMATCH(Table2678[[#This Row],[11]],Table2678[[#This Row],[1]:[11]],0))-1)/(COUNTA(Table2678[[#This Row],[1]:[11]])-COUNTBLANK(Table2678[[#This Row],[1]:[11]])-1)))</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E77BB69-7927-40B2-8997-512C878D3574}" name="Table26789" displayName="Table26789" ref="A12:AI36" totalsRowShown="0" headerRowDxfId="90" dataDxfId="88" headerRowBorderDxfId="89" tableBorderDxfId="87" totalsRowBorderDxfId="86">
  <autoFilter ref="A12:AI36" xr:uid="{DBBFD16F-C697-4B03-8565-497D940E477E}"/>
  <tableColumns count="35">
    <tableColumn id="1" xr3:uid="{7C1CC343-B458-4CDE-A33C-61D58B86F0BD}" name="Intem#" dataDxfId="85"/>
    <tableColumn id="2" xr3:uid="{D4DEEED0-C3E6-4092-9123-ADF8924171A0}" name="Business requirements " dataDxfId="84"/>
    <tableColumn id="3" xr3:uid="{F94B26B9-FB67-457E-9E6B-B12E7277E559}" name="Mandatory Returnables - This colunm lists the mandotory evidence to be provided by the vendor in the technical file and numbered to align with each criteria question. " dataDxfId="83"/>
    <tableColumn id="4" xr3:uid="{2CCC4F50-4322-4CCD-81E8-38E5132E8FF9}" name="Vendor Response: Vendor to indicate if, and to what extent they meet the requirement, detail must be provided in the tender submission" dataDxfId="82"/>
    <tableColumn id="5" xr3:uid="{5864B000-E0BA-4684-8DD9-CBCA2742357B}" name="Vendor Evidence: Location of Supporting Document/detailed response in your tender submission (state the file number, section &amp; page number)" dataDxfId="81"/>
    <tableColumn id="6" xr3:uid="{8849470F-F498-47F9-A8DF-9F60AD0EBE98}" name="Priority Description" dataDxfId="80"/>
    <tableColumn id="7" xr3:uid="{17BD2A3E-E983-4695-90D0-DD80C1E1D608}" name="Priority" dataDxfId="79">
      <calculatedColumnFormula array="1">_xlfn.IFS(F13="","",F13="No interest",0,F13="Nice to have",1,F13="Useful",2,F13="Important",3,F13="Very important",4,F13="Critical",5,F13="Show stopper",6)</calculatedColumnFormula>
    </tableColumn>
    <tableColumn id="8" xr3:uid="{B740C533-C60E-43C2-BCDD-B585B77D035A}" name="Weight" dataDxfId="78" dataCellStyle="Percent">
      <calculatedColumnFormula>(G13/$G$11)*$F$11</calculatedColumnFormula>
    </tableColumn>
    <tableColumn id="9" xr3:uid="{B349CEB3-9D22-412C-8AFE-CE0EEF0B4AEC}" name="Selection Options" dataDxfId="77"/>
    <tableColumn id="42" xr3:uid="{F4D7DED1-E920-498B-8998-925665D21BAB}" name="Option Score" dataDxfId="76">
      <calculatedColumnFormula array="1">_xlfn.TEXTJOIN(","&amp;CHAR(10),,TEXT(Table26789[[#This Row],[12]:[22]],"0,00%"))</calculatedColumnFormula>
    </tableColumn>
    <tableColumn id="11" xr3:uid="{0A5245E5-4431-44A0-BB98-2B43F1FF6B73}" name="Evaluators Response (SELECT)" dataDxfId="75"/>
    <tableColumn id="12" xr3:uid="{A4E34D67-9E92-426C-BF28-73BC61F48A2F}" name="Score" dataDxfId="74">
      <calculatedColumnFormula>H13-(H13*((MATCH(Table26789[[#This Row],[Evaluators Response (SELECT)]],Table26789[[#This Row],[1]:[11]],0)-1)/(COUNTA(Table26789[[#This Row],[1]:[11]])-COUNTBLANK(Table26789[[#This Row],[1]:[11]])-1)))</calculatedColumnFormula>
    </tableColumn>
    <tableColumn id="13" xr3:uid="{2355255F-D7E0-4DC4-9410-BEBC071F74C8}" name="Evaluator comments" dataDxfId="73"/>
    <tableColumn id="14" xr3:uid="{2D4D5AAB-95A3-44A4-A340-A6803D3CD544}" name="1" dataDxfId="72">
      <calculatedColumnFormula array="1">IFERROR(INDEX(_xlfn.UNIQUE(TRIM(_xlfn.TEXTSPLIT(Table26789[[#This Row],[Selection Options]:[Selection Options]],","))),,N$11),"")</calculatedColumnFormula>
    </tableColumn>
    <tableColumn id="15" xr3:uid="{B134517C-4276-4E53-849F-E79290D7CFD2}" name="2" dataDxfId="71"/>
    <tableColumn id="16" xr3:uid="{B3B959F8-BE33-4660-8F20-74AB4E60666F}" name="3" dataDxfId="70"/>
    <tableColumn id="17" xr3:uid="{798E7B2D-CEA1-479C-A865-F0FD59CCAA2B}" name="4" dataDxfId="69"/>
    <tableColumn id="18" xr3:uid="{D529AEC2-E0D3-4D3A-BB07-A3F4D86D6CDB}" name="5" dataDxfId="68"/>
    <tableColumn id="25" xr3:uid="{0F80CD45-69ED-480B-9A19-D367C4793C05}" name="6" dataDxfId="67"/>
    <tableColumn id="26" xr3:uid="{93075C39-6F1C-497B-86E6-701D2D0FC801}" name="7" dataDxfId="66"/>
    <tableColumn id="27" xr3:uid="{87AD0014-3E18-423A-A154-14B3E7A8CE65}" name="8" dataDxfId="65"/>
    <tableColumn id="28" xr3:uid="{7307B94E-5D84-49FC-AF4B-0E267289D78C}" name="9" dataDxfId="64"/>
    <tableColumn id="29" xr3:uid="{CA7E0070-02C2-4CF0-9A68-C5489285ADFC}" name="10" dataDxfId="63"/>
    <tableColumn id="30" xr3:uid="{CB902B9B-441F-4818-8B1C-3A3FCB05E99E}" name="11" dataDxfId="62"/>
    <tableColumn id="31" xr3:uid="{D409CADE-BB6F-4CA7-93B2-99B30AB4BA48}" name="12" dataDxfId="61">
      <calculatedColumnFormula array="1">IF(Table26789[[#This Row],[1]]="","",Table26789[[#This Row],[Weight]:[Weight]]-(Table26789[[#This Row],[Weight]:[Weight]]*((_xlfn.XMATCH(Table26789[[#This Row],[1]],Table26789[[#This Row],[1]:[11]],0))-1)/(COUNTA(Table26789[[#This Row],[1]:[11]])-COUNTBLANK(Table26789[[#This Row],[1]:[11]])-1)))</calculatedColumnFormula>
    </tableColumn>
    <tableColumn id="32" xr3:uid="{AA244B76-BEB8-48C6-B441-D49A907EEC6D}" name="13" dataDxfId="60">
      <calculatedColumnFormula array="1">IF(Table26789[[#This Row],[2]]="","",Table26789[[#This Row],[Weight]:[Weight]]-(Table26789[[#This Row],[Weight]:[Weight]]*((_xlfn.XMATCH(Table26789[[#This Row],[2]],Table26789[[#This Row],[1]:[11]],0))-1)/(COUNTA(Table26789[[#This Row],[1]:[11]])-COUNTBLANK(Table26789[[#This Row],[1]:[11]])-1)))</calculatedColumnFormula>
    </tableColumn>
    <tableColumn id="33" xr3:uid="{982BD114-07B8-4718-ADB6-3B2229936AC4}" name="14" dataDxfId="59">
      <calculatedColumnFormula array="1">IF(Table26789[[#This Row],[3]]="","",Table26789[[#This Row],[Weight]:[Weight]]-(Table26789[[#This Row],[Weight]:[Weight]]*((_xlfn.XMATCH(Table26789[[#This Row],[3]],Table26789[[#This Row],[1]:[11]],0))-1)/(COUNTA(Table26789[[#This Row],[1]:[11]])-COUNTBLANK(Table26789[[#This Row],[1]:[11]])-1)))</calculatedColumnFormula>
    </tableColumn>
    <tableColumn id="34" xr3:uid="{286AEBCB-45BF-42A9-A753-57494D167EAF}" name="15" dataDxfId="58">
      <calculatedColumnFormula array="1">IF(Table26789[[#This Row],[4]]="","",Table26789[[#This Row],[Weight]:[Weight]]-(Table26789[[#This Row],[Weight]:[Weight]]*((_xlfn.XMATCH(Table26789[[#This Row],[4]],Table26789[[#This Row],[1]:[11]],0))-1)/(COUNTA(Table26789[[#This Row],[1]:[11]])-COUNTBLANK(Table26789[[#This Row],[1]:[11]])-1)))</calculatedColumnFormula>
    </tableColumn>
    <tableColumn id="35" xr3:uid="{5C8F1C3B-DC37-41DC-951E-BA256A692198}" name="16" dataDxfId="57">
      <calculatedColumnFormula array="1">IF(Table26789[[#This Row],[5]]="","",Table26789[[#This Row],[Weight]:[Weight]]-(Table26789[[#This Row],[Weight]:[Weight]]*((_xlfn.XMATCH(Table26789[[#This Row],[5]],Table26789[[#This Row],[1]:[11]],0))-1)/(COUNTA(Table26789[[#This Row],[1]:[11]])-COUNTBLANK(Table26789[[#This Row],[1]:[11]])-1)))</calculatedColumnFormula>
    </tableColumn>
    <tableColumn id="36" xr3:uid="{8CE9E21C-E28D-4DF6-B6D7-A2C9E0821DCA}" name="17" dataDxfId="56">
      <calculatedColumnFormula array="1">IF(Table26789[[#This Row],[6]]="","",Table26789[[#This Row],[Weight]:[Weight]]-(Table26789[[#This Row],[Weight]:[Weight]]*((_xlfn.XMATCH(Table26789[[#This Row],[6]],Table26789[[#This Row],[1]:[11]],0))-1)/(COUNTA(Table26789[[#This Row],[1]:[11]])-COUNTBLANK(Table26789[[#This Row],[1]:[11]])-1)))</calculatedColumnFormula>
    </tableColumn>
    <tableColumn id="37" xr3:uid="{CC9943CA-2036-4F41-85FA-61857FD551FE}" name="18" dataDxfId="55">
      <calculatedColumnFormula array="1">IF(Table26789[[#This Row],[7]]="","",Table26789[[#This Row],[Weight]:[Weight]]-(Table26789[[#This Row],[Weight]:[Weight]]*((_xlfn.XMATCH(Table26789[[#This Row],[7]],Table26789[[#This Row],[1]:[11]],0))-1)/(COUNTA(Table26789[[#This Row],[1]:[11]])-COUNTBLANK(Table26789[[#This Row],[1]:[11]])-1)))</calculatedColumnFormula>
    </tableColumn>
    <tableColumn id="38" xr3:uid="{3490DA89-6194-49B6-ABDB-EDADE7067158}" name="19" dataDxfId="54">
      <calculatedColumnFormula array="1">IF(Table26789[[#This Row],[8]]="","",Table26789[[#This Row],[Weight]:[Weight]]-(Table26789[[#This Row],[Weight]:[Weight]]*((_xlfn.XMATCH(Table26789[[#This Row],[8]],Table26789[[#This Row],[1]:[11]],0))-1)/(COUNTA(Table26789[[#This Row],[1]:[11]])-COUNTBLANK(Table26789[[#This Row],[1]:[11]])-1)))</calculatedColumnFormula>
    </tableColumn>
    <tableColumn id="39" xr3:uid="{8C3CAE23-19C5-4945-9D49-B78A6D67093F}" name="20" dataDxfId="53">
      <calculatedColumnFormula array="1">IF(Table26789[[#This Row],[9]]="","",Table26789[[#This Row],[Weight]:[Weight]]-(Table26789[[#This Row],[Weight]:[Weight]]*((_xlfn.XMATCH(Table26789[[#This Row],[9]],Table26789[[#This Row],[1]:[11]],0))-1)/(COUNTA(Table26789[[#This Row],[1]:[11]])-COUNTBLANK(Table26789[[#This Row],[1]:[11]])-1)))</calculatedColumnFormula>
    </tableColumn>
    <tableColumn id="40" xr3:uid="{3CFA486A-6D6D-4C21-B6FD-1F3EFCD46696}" name="21" dataDxfId="52">
      <calculatedColumnFormula array="1">IF(Table26789[[#This Row],[10]]="","",Table26789[[#This Row],[Weight]:[Weight]]-(Table26789[[#This Row],[Weight]:[Weight]]*((_xlfn.XMATCH(Table26789[[#This Row],[10]],Table26789[[#This Row],[1]:[11]],0))-1)/(COUNTA(Table26789[[#This Row],[1]:[11]])-COUNTBLANK(Table26789[[#This Row],[1]:[11]])-1)))</calculatedColumnFormula>
    </tableColumn>
    <tableColumn id="41" xr3:uid="{3194751E-E07C-44F8-A299-5AB7D1955B16}" name="22" dataDxfId="51">
      <calculatedColumnFormula array="1">IF(Table26789[[#This Row],[11]]="","",Table26789[[#This Row],[Weight]:[Weight]]-(Table26789[[#This Row],[Weight]:[Weight]]*((_xlfn.XMATCH(Table26789[[#This Row],[11]],Table26789[[#This Row],[1]:[11]],0))-1)/(COUNTA(Table26789[[#This Row],[1]:[11]])-COUNTBLANK(Table26789[[#This Row],[1]:[11]])-1)))</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E318D1-5FC0-49A7-9D3A-16BB12CE813D}" name="Table2511" displayName="Table2511" ref="A13:AG18" totalsRowShown="0" headerRowDxfId="50" dataDxfId="48" headerRowBorderDxfId="49" tableBorderDxfId="47" totalsRowBorderDxfId="46">
  <autoFilter ref="A13:AG18" xr:uid="{DBBFD16F-C697-4B03-8565-497D940E477E}"/>
  <tableColumns count="33">
    <tableColumn id="1" xr3:uid="{FCF8AB7B-61A6-4D02-97E2-93F3232E3931}" name="Intem#" dataDxfId="45"/>
    <tableColumn id="2" xr3:uid="{45270984-AB8E-4928-82E0-29D8EAAC1DB0}" name="Business requirements " dataDxfId="44"/>
    <tableColumn id="3" xr3:uid="{B5D9B6C1-AD03-43C6-B35F-08DA00888BB3}" name="Demonstration Brief - Explain to the Vendor what must be included in their presentation" dataDxfId="43"/>
    <tableColumn id="6" xr3:uid="{6113EFCB-32DF-408B-9FD0-AC195C0F8294}" name="Priority Description" dataDxfId="42"/>
    <tableColumn id="7" xr3:uid="{C3D2F71B-447F-46BB-845A-BAC17E1AB41C}" name="Priority" dataDxfId="41">
      <calculatedColumnFormula array="1">_xlfn.IFS(D14="","",D14="No interest",0,D14="Nice to have",1,D14="Useful",2,D14="Important",3,D14="Very important",4,D14="Critical",5,D14="Show stopper",6)</calculatedColumnFormula>
    </tableColumn>
    <tableColumn id="8" xr3:uid="{8D64A09F-FF43-43A8-9B9A-2989C30522FF}" name="Weight" dataDxfId="40" dataCellStyle="Percent">
      <calculatedColumnFormula>(E14/$E$12)*$D$12</calculatedColumnFormula>
    </tableColumn>
    <tableColumn id="9" xr3:uid="{C07410C0-3676-46E9-B9A1-6F482F00786F}" name="Selection Option" dataDxfId="39"/>
    <tableColumn id="42" xr3:uid="{430206EE-23FA-4748-BF01-692B2920FAAD}" name="Option Score" dataDxfId="38">
      <calculatedColumnFormula array="1">_xlfn.TEXTJOIN(","&amp;CHAR(10),,TEXT(Table2511[[#This Row],[12]:[22]],"0,00%"))</calculatedColumnFormula>
    </tableColumn>
    <tableColumn id="11" xr3:uid="{50280153-102C-43DE-A7FD-402425CD8D93}" name="Evaluators Response (SELECT)" dataDxfId="37"/>
    <tableColumn id="12" xr3:uid="{F3289460-3D59-4A0E-A83D-67D41685B340}" name="Score" dataDxfId="36">
      <calculatedColumnFormula>F14-(F14*((MATCH(Table2511[[#This Row],[Evaluators Response (SELECT)]],Table2511[[#This Row],[1]:[11]],0)-1)/(COUNTA(Table2511[[#This Row],[1]:[11]])-COUNTBLANK(Table2511[[#This Row],[1]:[11]])-1)))</calculatedColumnFormula>
    </tableColumn>
    <tableColumn id="13" xr3:uid="{A6BC32B0-43CB-4775-802F-67AEE0FCC984}" name="Evaluator comments" dataDxfId="35"/>
    <tableColumn id="14" xr3:uid="{04A09911-78D8-487B-9B1D-702584275BF2}" name="1" dataDxfId="34">
      <calculatedColumnFormula array="1">IFERROR(INDEX(_xlfn.UNIQUE(TRIM(_xlfn.TEXTSPLIT(Table2511[[#This Row],[Selection Option]:[Selection Option]],","))),,L$12),"")</calculatedColumnFormula>
    </tableColumn>
    <tableColumn id="15" xr3:uid="{163BC790-27B6-4229-9950-C411AC1204FA}" name="2" dataDxfId="33">
      <calculatedColumnFormula array="1">IFERROR(INDEX(_xlfn.UNIQUE(TRIM(_xlfn.TEXTSPLIT(Table2511[[#This Row],[Selection Option]:[Selection Option]],","))),,M$12),"")</calculatedColumnFormula>
    </tableColumn>
    <tableColumn id="16" xr3:uid="{86AE9B25-C842-4D7F-8EE2-B692B6A0DF79}" name="3" dataDxfId="32">
      <calculatedColumnFormula array="1">IFERROR(INDEX(_xlfn.UNIQUE(TRIM(_xlfn.TEXTSPLIT(Table2511[[#This Row],[Selection Option]:[Selection Option]],","))),,N$12),"")</calculatedColumnFormula>
    </tableColumn>
    <tableColumn id="17" xr3:uid="{5EEA606F-0CA1-4E23-9396-628ABD4AE2D7}" name="4" dataDxfId="31">
      <calculatedColumnFormula array="1">IFERROR(INDEX(_xlfn.UNIQUE(TRIM(_xlfn.TEXTSPLIT(Table2511[[#This Row],[Selection Option]:[Selection Option]],","))),,O$12),"")</calculatedColumnFormula>
    </tableColumn>
    <tableColumn id="18" xr3:uid="{297FFC74-CE7E-403B-B25A-EBF669535FE7}" name="5" dataDxfId="30">
      <calculatedColumnFormula array="1">IFERROR(INDEX(_xlfn.UNIQUE(TRIM(_xlfn.TEXTSPLIT(Table2511[[#This Row],[Selection Option]:[Selection Option]],","))),,P$12),"")</calculatedColumnFormula>
    </tableColumn>
    <tableColumn id="25" xr3:uid="{344C02B8-8AE5-4E9F-9D77-7E6CB0926BB9}" name="6" dataDxfId="29">
      <calculatedColumnFormula array="1">IFERROR(INDEX(_xlfn.UNIQUE(TRIM(_xlfn.TEXTSPLIT(Table2511[[#This Row],[Selection Option]:[Selection Option]],","))),,Q$12),"")</calculatedColumnFormula>
    </tableColumn>
    <tableColumn id="26" xr3:uid="{444FE2D1-6E79-45EB-9061-22A3D896429E}" name="7" dataDxfId="28">
      <calculatedColumnFormula array="1">IFERROR(INDEX(_xlfn.UNIQUE(TRIM(_xlfn.TEXTSPLIT(Table2511[[#This Row],[Selection Option]:[Selection Option]],","))),,R$12),"")</calculatedColumnFormula>
    </tableColumn>
    <tableColumn id="27" xr3:uid="{007051C6-B92F-4317-BB70-FD75355554B7}" name="8" dataDxfId="27">
      <calculatedColumnFormula array="1">IFERROR(INDEX(_xlfn.UNIQUE(TRIM(_xlfn.TEXTSPLIT(Table2511[[#This Row],[Selection Option]:[Selection Option]],","))),,S$12),"")</calculatedColumnFormula>
    </tableColumn>
    <tableColumn id="28" xr3:uid="{0970D8EA-FC2E-4979-9E79-E2B53CE91100}" name="9" dataDxfId="26">
      <calculatedColumnFormula array="1">IFERROR(INDEX(_xlfn.UNIQUE(TRIM(_xlfn.TEXTSPLIT(Table2511[[#This Row],[Selection Option]:[Selection Option]],","))),,T$12),"")</calculatedColumnFormula>
    </tableColumn>
    <tableColumn id="29" xr3:uid="{9BEC0310-3EF4-4E02-949F-5A5070BA3D34}" name="10" dataDxfId="25">
      <calculatedColumnFormula array="1">IFERROR(INDEX(_xlfn.UNIQUE(TRIM(_xlfn.TEXTSPLIT(Table2511[[#This Row],[Selection Option]:[Selection Option]],","))),,U$12),"")</calculatedColumnFormula>
    </tableColumn>
    <tableColumn id="30" xr3:uid="{13E59011-F10B-4A86-A210-1B9A56DCDD7E}" name="11" dataDxfId="24">
      <calculatedColumnFormula array="1">IFERROR(INDEX(_xlfn.UNIQUE(TRIM(_xlfn.TEXTSPLIT(Table2511[[#This Row],[Selection Option]:[Selection Option]],","))),,V$12),"")</calculatedColumnFormula>
    </tableColumn>
    <tableColumn id="31" xr3:uid="{8AD266C0-A9DF-4E7A-A486-B09A8F2F3566}" name="12" dataDxfId="23">
      <calculatedColumnFormula array="1">IF(Table2511[[#This Row],[1]]="","",Table2511[[#This Row],[Weight]:[Weight]]-(Table2511[[#This Row],[Weight]:[Weight]]*((_xlfn.XMATCH(Table2511[[#This Row],[1]],Table2511[[#This Row],[1]:[11]],0))-1)/(COUNTA(Table2511[[#This Row],[1]:[11]])-COUNTBLANK(Table2511[[#This Row],[1]:[11]])-1)))</calculatedColumnFormula>
    </tableColumn>
    <tableColumn id="32" xr3:uid="{0ED950BF-8387-4D2A-BE64-D90B693A1C5F}" name="13" dataDxfId="22">
      <calculatedColumnFormula array="1">IF(Table2511[[#This Row],[2]]="","",Table2511[[#This Row],[Weight]:[Weight]]-(Table2511[[#This Row],[Weight]:[Weight]]*((_xlfn.XMATCH(Table2511[[#This Row],[2]],Table2511[[#This Row],[1]:[11]],0))-1)/(COUNTA(Table2511[[#This Row],[1]:[11]])-COUNTBLANK(Table2511[[#This Row],[1]:[11]])-1)))</calculatedColumnFormula>
    </tableColumn>
    <tableColumn id="33" xr3:uid="{1407F54B-3E39-463A-ADD6-74535584CDA3}" name="14" dataDxfId="21">
      <calculatedColumnFormula array="1">IF(Table2511[[#This Row],[3]]="","",Table2511[[#This Row],[Weight]:[Weight]]-(Table2511[[#This Row],[Weight]:[Weight]]*((_xlfn.XMATCH(Table2511[[#This Row],[3]],Table2511[[#This Row],[1]:[11]],0))-1)/(COUNTA(Table2511[[#This Row],[1]:[11]])-COUNTBLANK(Table2511[[#This Row],[1]:[11]])-1)))</calculatedColumnFormula>
    </tableColumn>
    <tableColumn id="34" xr3:uid="{65BF6158-73BA-4BBA-9F1D-4ACEBA66798D}" name="15" dataDxfId="20">
      <calculatedColumnFormula array="1">IF(Table2511[[#This Row],[4]]="","",Table2511[[#This Row],[Weight]:[Weight]]-(Table2511[[#This Row],[Weight]:[Weight]]*((_xlfn.XMATCH(Table2511[[#This Row],[4]],Table2511[[#This Row],[1]:[11]],0))-1)/(COUNTA(Table2511[[#This Row],[1]:[11]])-COUNTBLANK(Table2511[[#This Row],[1]:[11]])-1)))</calculatedColumnFormula>
    </tableColumn>
    <tableColumn id="35" xr3:uid="{22BA1417-8AAC-4503-82C6-A51AE710B35B}" name="16" dataDxfId="19">
      <calculatedColumnFormula array="1">IF(Table2511[[#This Row],[5]]="","",Table2511[[#This Row],[Weight]:[Weight]]-(Table2511[[#This Row],[Weight]:[Weight]]*((_xlfn.XMATCH(Table2511[[#This Row],[5]],Table2511[[#This Row],[1]:[11]],0))-1)/(COUNTA(Table2511[[#This Row],[1]:[11]])-COUNTBLANK(Table2511[[#This Row],[1]:[11]])-1)))</calculatedColumnFormula>
    </tableColumn>
    <tableColumn id="36" xr3:uid="{5448CD7D-9D43-4FF3-AE87-415EA275F6E6}" name="17" dataDxfId="18">
      <calculatedColumnFormula array="1">IF(Table2511[[#This Row],[6]]="","",Table2511[[#This Row],[Weight]:[Weight]]-(Table2511[[#This Row],[Weight]:[Weight]]*((_xlfn.XMATCH(Table2511[[#This Row],[6]],Table2511[[#This Row],[1]:[11]],0))-1)/(COUNTA(Table2511[[#This Row],[1]:[11]])-COUNTBLANK(Table2511[[#This Row],[1]:[11]])-1)))</calculatedColumnFormula>
    </tableColumn>
    <tableColumn id="37" xr3:uid="{149D9C70-4B5F-4835-B7DD-71EFB5462429}" name="18" dataDxfId="17">
      <calculatedColumnFormula array="1">IF(Table2511[[#This Row],[7]]="","",Table2511[[#This Row],[Weight]:[Weight]]-(Table2511[[#This Row],[Weight]:[Weight]]*((_xlfn.XMATCH(Table2511[[#This Row],[7]],Table2511[[#This Row],[1]:[11]],0))-1)/(COUNTA(Table2511[[#This Row],[1]:[11]])-COUNTBLANK(Table2511[[#This Row],[1]:[11]])-1)))</calculatedColumnFormula>
    </tableColumn>
    <tableColumn id="38" xr3:uid="{703B4C3E-8286-4CD7-9893-8D78E364307F}" name="19" dataDxfId="16">
      <calculatedColumnFormula array="1">IF(Table2511[[#This Row],[8]]="","",Table2511[[#This Row],[Weight]:[Weight]]-(Table2511[[#This Row],[Weight]:[Weight]]*((_xlfn.XMATCH(Table2511[[#This Row],[8]],Table2511[[#This Row],[1]:[11]],0))-1)/(COUNTA(Table2511[[#This Row],[1]:[11]])-COUNTBLANK(Table2511[[#This Row],[1]:[11]])-1)))</calculatedColumnFormula>
    </tableColumn>
    <tableColumn id="39" xr3:uid="{D7267754-630D-4CFF-A286-443E1732E2F1}" name="20" dataDxfId="15">
      <calculatedColumnFormula array="1">IF(Table2511[[#This Row],[9]]="","",Table2511[[#This Row],[Weight]:[Weight]]-(Table2511[[#This Row],[Weight]:[Weight]]*((_xlfn.XMATCH(Table2511[[#This Row],[9]],Table2511[[#This Row],[1]:[11]],0))-1)/(COUNTA(Table2511[[#This Row],[1]:[11]])-COUNTBLANK(Table2511[[#This Row],[1]:[11]])-1)))</calculatedColumnFormula>
    </tableColumn>
    <tableColumn id="40" xr3:uid="{922C921E-020D-4F59-9D94-A8342D155C4E}" name="21" dataDxfId="14">
      <calculatedColumnFormula array="1">IF(Table2511[[#This Row],[10]]="","",Table2511[[#This Row],[Weight]:[Weight]]-(Table2511[[#This Row],[Weight]:[Weight]]*((_xlfn.XMATCH(Table2511[[#This Row],[10]],Table2511[[#This Row],[1]:[11]],0))-1)/(COUNTA(Table2511[[#This Row],[1]:[11]])-COUNTBLANK(Table2511[[#This Row],[1]:[11]])-1)))</calculatedColumnFormula>
    </tableColumn>
    <tableColumn id="41" xr3:uid="{E1717F75-0BDD-4718-8E0E-FD94CC16F8D3}" name="22" dataDxfId="13">
      <calculatedColumnFormula array="1">IF(Table2511[[#This Row],[11]]="","",Table2511[[#This Row],[Weight]:[Weight]]-(Table2511[[#This Row],[Weight]:[Weight]]*((_xlfn.XMATCH(Table2511[[#This Row],[11]],Table2511[[#This Row],[1]:[11]],0))-1)/(COUNTA(Table2511[[#This Row],[1]:[11]])-COUNTBLANK(Table2511[[#This Row],[1]:[11]])-1)))</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3" dT="2024-05-24T12:07:36.37" personId="{738B746C-4C09-445C-B8FE-621602696C31}" id="{6EDE6644-28CA-4380-8D66-541E8BD7226B}">
    <text xml:space="preserve">The Business Requirement Specification document usually contains statements using business or plain English terminology. </text>
  </threadedComment>
  <threadedComment ref="C15" dT="2024-05-24T12:08:39.14" personId="{738B746C-4C09-445C-B8FE-621602696C31}" id="{A7A9781F-8B9E-44C3-BBED-9270FFF55B72}">
    <text xml:space="preserve">The logical design document contains a Functional Decomposition Model which has translated the BRS statements into more usable functional statements for purposes of evaluation </text>
  </threadedComment>
</ThreadedComments>
</file>

<file path=xl/threadedComments/threadedComment2.xml><?xml version="1.0" encoding="utf-8"?>
<ThreadedComments xmlns="http://schemas.microsoft.com/office/spreadsheetml/2018/threadedcomments" xmlns:x="http://schemas.openxmlformats.org/spreadsheetml/2006/main">
  <threadedComment ref="B14" dT="2025-07-24T06:15:21.85" personId="{08CAFFC3-2EAB-4ECE-87E2-6A18B00E6219}" id="{F747D8B0-9D8B-45AF-8CEC-CBAEFC9A390A}">
    <text>To Explained more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omments" Target="../comments6.xml"/><Relationship Id="rId4"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2.xml"/><Relationship Id="rId5" Type="http://schemas.openxmlformats.org/officeDocument/2006/relationships/comments" Target="../comments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table" Target="../tables/table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58DDD-83BE-4352-B657-9676103E5FE7}">
  <sheetPr>
    <pageSetUpPr fitToPage="1"/>
  </sheetPr>
  <dimension ref="A2:AI25"/>
  <sheetViews>
    <sheetView topLeftCell="A12" zoomScale="71" zoomScaleNormal="90" workbookViewId="0">
      <selection activeCell="I20" sqref="I20"/>
    </sheetView>
  </sheetViews>
  <sheetFormatPr defaultColWidth="13.1796875" defaultRowHeight="10.5" x14ac:dyDescent="0.25"/>
  <cols>
    <col min="1" max="1" width="13.1796875" style="49"/>
    <col min="2" max="5" width="30.54296875" style="57" customWidth="1"/>
    <col min="6" max="6" width="31.1796875" style="57" customWidth="1"/>
    <col min="7" max="7" width="15" style="57" customWidth="1"/>
    <col min="8" max="8" width="13.1796875" style="57"/>
    <col min="9" max="9" width="25.26953125" style="58" customWidth="1"/>
    <col min="10" max="10" width="20.54296875" style="59" customWidth="1"/>
    <col min="11" max="11" width="44.26953125" style="51" customWidth="1"/>
    <col min="12" max="12" width="13.1796875" style="52"/>
    <col min="13" max="13" width="29.7265625" style="53" customWidth="1"/>
    <col min="14" max="35" width="0" style="52" hidden="1" customWidth="1"/>
    <col min="36" max="16384" width="13.1796875" style="52"/>
  </cols>
  <sheetData>
    <row r="2" spans="1:13" ht="36" customHeight="1" x14ac:dyDescent="0.25">
      <c r="B2" s="206" t="s">
        <v>0</v>
      </c>
      <c r="C2" s="206"/>
      <c r="D2" s="206"/>
      <c r="E2" s="206"/>
      <c r="F2" s="206"/>
      <c r="G2" s="206"/>
      <c r="H2" s="206"/>
      <c r="I2" s="206"/>
      <c r="J2" s="206"/>
    </row>
    <row r="3" spans="1:13" ht="22.4" customHeight="1" x14ac:dyDescent="0.25">
      <c r="A3" s="197" t="s">
        <v>1</v>
      </c>
      <c r="B3" s="197"/>
      <c r="C3" s="197"/>
      <c r="D3" s="197"/>
      <c r="E3" s="197"/>
      <c r="F3" s="197"/>
      <c r="G3" s="197"/>
      <c r="H3" s="197"/>
      <c r="I3" s="197"/>
      <c r="J3" s="197"/>
    </row>
    <row r="4" spans="1:13" ht="69" customHeight="1" x14ac:dyDescent="0.25">
      <c r="B4" s="207" t="s">
        <v>2</v>
      </c>
      <c r="C4" s="206"/>
      <c r="D4" s="206"/>
      <c r="E4" s="206"/>
      <c r="F4" s="206"/>
      <c r="G4" s="206"/>
      <c r="H4" s="206"/>
      <c r="I4" s="206"/>
      <c r="J4" s="206"/>
    </row>
    <row r="5" spans="1:13" ht="6" customHeight="1" x14ac:dyDescent="0.25">
      <c r="B5" s="54"/>
      <c r="C5" s="50"/>
      <c r="D5" s="50"/>
      <c r="E5" s="50"/>
      <c r="F5" s="50"/>
      <c r="G5" s="50"/>
      <c r="H5" s="50"/>
      <c r="I5" s="50"/>
      <c r="J5" s="50"/>
    </row>
    <row r="6" spans="1:13" ht="25.4" customHeight="1" x14ac:dyDescent="0.25">
      <c r="A6" s="197" t="s">
        <v>3</v>
      </c>
      <c r="B6" s="197"/>
      <c r="C6" s="197"/>
      <c r="D6" s="197"/>
      <c r="E6" s="197"/>
      <c r="F6" s="197"/>
      <c r="G6" s="197"/>
      <c r="H6" s="197"/>
      <c r="I6" s="197"/>
      <c r="J6" s="197"/>
    </row>
    <row r="7" spans="1:13" ht="91.75" customHeight="1" x14ac:dyDescent="0.25">
      <c r="B7" s="207" t="s">
        <v>4</v>
      </c>
      <c r="C7" s="206"/>
      <c r="D7" s="206"/>
      <c r="E7" s="206"/>
      <c r="F7" s="206"/>
      <c r="G7" s="206"/>
      <c r="H7" s="206"/>
      <c r="I7" s="206"/>
      <c r="J7" s="206"/>
    </row>
    <row r="8" spans="1:13" ht="11.5" customHeight="1" x14ac:dyDescent="0.25">
      <c r="B8" s="50"/>
      <c r="C8" s="50"/>
      <c r="D8" s="50"/>
      <c r="E8" s="50"/>
      <c r="F8" s="50"/>
      <c r="G8" s="50"/>
      <c r="H8" s="50"/>
      <c r="I8" s="50"/>
      <c r="J8" s="50"/>
    </row>
    <row r="9" spans="1:13" ht="20.5" customHeight="1" x14ac:dyDescent="0.25">
      <c r="A9" s="197" t="s">
        <v>5</v>
      </c>
      <c r="B9" s="197"/>
      <c r="C9" s="197"/>
      <c r="D9" s="197"/>
      <c r="E9" s="197"/>
      <c r="F9" s="197"/>
      <c r="G9" s="197"/>
      <c r="H9" s="197"/>
      <c r="I9" s="197"/>
      <c r="J9" s="197"/>
    </row>
    <row r="10" spans="1:13" ht="15.5" x14ac:dyDescent="0.35">
      <c r="B10" s="198" t="s">
        <v>6</v>
      </c>
      <c r="C10" s="198"/>
      <c r="D10" s="198"/>
      <c r="E10" s="198"/>
      <c r="F10" s="198"/>
      <c r="G10" s="198"/>
      <c r="H10" s="198"/>
      <c r="I10" s="198"/>
      <c r="J10" s="198"/>
      <c r="K10" s="55"/>
      <c r="L10" s="55"/>
      <c r="M10" s="55"/>
    </row>
    <row r="11" spans="1:13" ht="12" customHeight="1" x14ac:dyDescent="0.3">
      <c r="B11" s="56" t="s">
        <v>7</v>
      </c>
    </row>
    <row r="12" spans="1:13" ht="12" customHeight="1" x14ac:dyDescent="0.25">
      <c r="B12" s="60"/>
    </row>
    <row r="13" spans="1:13" ht="31.5" x14ac:dyDescent="0.25">
      <c r="B13" s="61" t="s">
        <v>8</v>
      </c>
      <c r="C13" s="62" t="s">
        <v>9</v>
      </c>
      <c r="E13" s="63" t="s">
        <v>10</v>
      </c>
    </row>
    <row r="14" spans="1:13" x14ac:dyDescent="0.25">
      <c r="B14" s="61"/>
      <c r="C14" s="61"/>
      <c r="D14" s="64"/>
      <c r="E14" s="59"/>
      <c r="F14" s="64"/>
      <c r="G14" s="64"/>
      <c r="H14" s="64"/>
    </row>
    <row r="15" spans="1:13" ht="52.5" x14ac:dyDescent="0.25">
      <c r="B15" s="65" t="s">
        <v>11</v>
      </c>
      <c r="C15" s="62" t="s">
        <v>12</v>
      </c>
      <c r="E15" s="63" t="s">
        <v>13</v>
      </c>
    </row>
    <row r="16" spans="1:13" x14ac:dyDescent="0.25">
      <c r="B16" s="64"/>
      <c r="C16" s="64"/>
      <c r="D16" s="64"/>
      <c r="E16" s="64"/>
      <c r="F16" s="64"/>
      <c r="G16" s="64"/>
      <c r="H16" s="64"/>
    </row>
    <row r="17" spans="1:35" s="6" customFormat="1" ht="15" customHeight="1" x14ac:dyDescent="0.25">
      <c r="A17" s="199"/>
      <c r="B17" s="201" t="s">
        <v>14</v>
      </c>
      <c r="C17" s="201"/>
      <c r="D17" s="203" t="s">
        <v>15</v>
      </c>
      <c r="E17" s="204"/>
      <c r="F17" s="1" t="s">
        <v>16</v>
      </c>
      <c r="G17" s="2"/>
      <c r="H17" s="3"/>
      <c r="I17" s="3"/>
      <c r="J17" s="3"/>
      <c r="K17" s="3"/>
      <c r="L17" s="4"/>
      <c r="M17" s="5"/>
      <c r="N17" s="4"/>
      <c r="O17" s="4"/>
      <c r="P17" s="4"/>
      <c r="Q17" s="4"/>
      <c r="R17" s="4"/>
      <c r="S17" s="4"/>
      <c r="T17" s="4"/>
      <c r="U17" s="4"/>
      <c r="V17" s="4"/>
      <c r="W17" s="4"/>
      <c r="X17" s="4"/>
      <c r="Y17" s="4"/>
      <c r="Z17" s="4"/>
      <c r="AA17" s="4"/>
      <c r="AB17" s="4"/>
      <c r="AC17" s="4"/>
      <c r="AD17" s="4"/>
      <c r="AE17" s="4"/>
      <c r="AF17" s="4"/>
      <c r="AG17" s="4"/>
      <c r="AH17" s="4"/>
      <c r="AI17" s="4"/>
    </row>
    <row r="18" spans="1:35" s="6" customFormat="1" ht="11.5" x14ac:dyDescent="0.25">
      <c r="A18" s="200"/>
      <c r="B18" s="202"/>
      <c r="C18" s="202"/>
      <c r="D18" s="205"/>
      <c r="E18" s="205"/>
      <c r="F18" s="47">
        <v>0.2</v>
      </c>
      <c r="G18" s="48">
        <f>SUM(Table9[Priority])</f>
        <v>9</v>
      </c>
      <c r="H18" s="8">
        <f>SUM(Table9[Weight])</f>
        <v>0.2</v>
      </c>
      <c r="I18" s="7"/>
      <c r="J18" s="7"/>
      <c r="K18" s="9" t="s">
        <v>17</v>
      </c>
      <c r="L18" s="8">
        <f>SUM(Table24[Score])</f>
        <v>0.35</v>
      </c>
      <c r="M18" s="7"/>
      <c r="N18" s="10">
        <v>1</v>
      </c>
      <c r="O18" s="10">
        <v>2</v>
      </c>
      <c r="P18" s="10">
        <v>3</v>
      </c>
      <c r="Q18" s="10">
        <v>4</v>
      </c>
      <c r="R18" s="10">
        <v>5</v>
      </c>
      <c r="S18" s="10">
        <v>6</v>
      </c>
      <c r="T18" s="10">
        <v>7</v>
      </c>
      <c r="U18" s="10">
        <v>8</v>
      </c>
      <c r="V18" s="10">
        <v>9</v>
      </c>
      <c r="W18" s="10">
        <v>10</v>
      </c>
      <c r="X18" s="10">
        <v>11</v>
      </c>
      <c r="Y18" s="10">
        <v>12</v>
      </c>
      <c r="Z18" s="10">
        <v>13</v>
      </c>
      <c r="AA18" s="10">
        <v>14</v>
      </c>
      <c r="AB18" s="10">
        <v>15</v>
      </c>
      <c r="AC18" s="10">
        <v>16</v>
      </c>
      <c r="AD18" s="10">
        <v>17</v>
      </c>
      <c r="AE18" s="10">
        <v>18</v>
      </c>
      <c r="AF18" s="10">
        <v>19</v>
      </c>
      <c r="AG18" s="10">
        <v>20</v>
      </c>
      <c r="AH18" s="10">
        <v>21</v>
      </c>
      <c r="AI18" s="10">
        <v>22</v>
      </c>
    </row>
    <row r="19" spans="1:35" s="6" customFormat="1" ht="57.5" x14ac:dyDescent="0.25">
      <c r="A19" s="11" t="s">
        <v>18</v>
      </c>
      <c r="B19" s="12" t="s">
        <v>19</v>
      </c>
      <c r="C19" s="13" t="s">
        <v>20</v>
      </c>
      <c r="D19" s="14" t="s">
        <v>21</v>
      </c>
      <c r="E19" s="14" t="s">
        <v>22</v>
      </c>
      <c r="F19" s="15" t="s">
        <v>23</v>
      </c>
      <c r="G19" s="16" t="s">
        <v>24</v>
      </c>
      <c r="H19" s="16" t="s">
        <v>25</v>
      </c>
      <c r="I19" s="15" t="s">
        <v>26</v>
      </c>
      <c r="J19" s="16" t="s">
        <v>27</v>
      </c>
      <c r="K19" s="15" t="s">
        <v>28</v>
      </c>
      <c r="L19" s="17" t="s">
        <v>29</v>
      </c>
      <c r="M19" s="15" t="s">
        <v>30</v>
      </c>
      <c r="N19" s="18" t="s">
        <v>31</v>
      </c>
      <c r="O19" s="18" t="s">
        <v>32</v>
      </c>
      <c r="P19" s="18" t="s">
        <v>33</v>
      </c>
      <c r="Q19" s="18" t="s">
        <v>34</v>
      </c>
      <c r="R19" s="18" t="s">
        <v>35</v>
      </c>
      <c r="S19" s="18" t="s">
        <v>36</v>
      </c>
      <c r="T19" s="18" t="s">
        <v>37</v>
      </c>
      <c r="U19" s="18" t="s">
        <v>38</v>
      </c>
      <c r="V19" s="18" t="s">
        <v>39</v>
      </c>
      <c r="W19" s="18" t="s">
        <v>40</v>
      </c>
      <c r="X19" s="18" t="s">
        <v>41</v>
      </c>
      <c r="Y19" s="19" t="s">
        <v>42</v>
      </c>
      <c r="Z19" s="19" t="s">
        <v>43</v>
      </c>
      <c r="AA19" s="19" t="s">
        <v>44</v>
      </c>
      <c r="AB19" s="19" t="s">
        <v>45</v>
      </c>
      <c r="AC19" s="19" t="s">
        <v>46</v>
      </c>
      <c r="AD19" s="19" t="s">
        <v>47</v>
      </c>
      <c r="AE19" s="19" t="s">
        <v>48</v>
      </c>
      <c r="AF19" s="19" t="s">
        <v>49</v>
      </c>
      <c r="AG19" s="19" t="s">
        <v>50</v>
      </c>
      <c r="AH19" s="19" t="s">
        <v>51</v>
      </c>
      <c r="AI19" s="112" t="s">
        <v>52</v>
      </c>
    </row>
    <row r="20" spans="1:35" s="6" customFormat="1" ht="115" x14ac:dyDescent="0.25">
      <c r="A20" s="113">
        <v>1</v>
      </c>
      <c r="B20" s="21" t="s">
        <v>53</v>
      </c>
      <c r="C20" s="21" t="s">
        <v>54</v>
      </c>
      <c r="D20" s="21"/>
      <c r="E20" s="21" t="s">
        <v>55</v>
      </c>
      <c r="F20" s="22" t="s">
        <v>56</v>
      </c>
      <c r="G20" s="23" cm="1">
        <f t="array" ref="G20">_xlfn.IFS(F20="","",F20="No interest",0,F20="Nice to have",1,F20="Useful",2,F20="Important",3,F20="Very important",4,F20="Critical",5,F20="Show stopper",6)</f>
        <v>3</v>
      </c>
      <c r="H20" s="24">
        <f t="shared" ref="H20:H21" si="0">(G20/$G$18)*$F$18</f>
        <v>6.6666666666666666E-2</v>
      </c>
      <c r="I20" s="25" t="s">
        <v>57</v>
      </c>
      <c r="J20" s="25" t="str" cm="1">
        <f t="array" ref="J20">_xlfn.TEXTJOIN(","&amp;CHAR(10),,TEXT(Table9[[#This Row],[12]:[22]],"0,00%"))</f>
        <v>0,07%,
0,00%</v>
      </c>
      <c r="K20" s="26" t="s">
        <v>58</v>
      </c>
      <c r="L20" s="27" t="e">
        <f>H20-(H20*((MATCH(Table24[[#This Row],[Evaluators Response (SELECT)]],Table24[[#This Row],[1]:[11]],0)-1)/(COUNTA(Table24[[#This Row],[1]:[11]])-COUNTBLANK(Table24[[#This Row],[1]:[11]])-1)))</f>
        <v>#VALUE!</v>
      </c>
      <c r="M20" s="28"/>
      <c r="N20" s="41" t="str" cm="1">
        <f t="array" ref="N20">IFERROR(INDEX(_xlfn.UNIQUE(TRIM(_xlfn.TEXTSPLIT(Table9[[#This Row],[Selection Option]:[Selection Option]],","))),,N$18),"")</f>
        <v>Refresh rate &gt;=60</v>
      </c>
      <c r="O20" s="41" t="str" cm="1">
        <f t="array" ref="O20">IFERROR(INDEX(_xlfn.UNIQUE(TRIM(_xlfn.TEXTSPLIT(Table9[[#This Row],[Selection Option]:[Selection Option]],","))),,O$18),"")</f>
        <v xml:space="preserve">
Refresh rate &lt;60</v>
      </c>
      <c r="P20" s="41" t="str" cm="1">
        <f t="array" ref="P20">IFERROR(INDEX(_xlfn.UNIQUE(TRIM(_xlfn.TEXTSPLIT(Table9[[#This Row],[Selection Option]:[Selection Option]],","))),,P$18),"")</f>
        <v/>
      </c>
      <c r="Q20" s="41" t="str" cm="1">
        <f t="array" ref="Q20">IFERROR(INDEX(_xlfn.UNIQUE(TRIM(_xlfn.TEXTSPLIT(Table9[[#This Row],[Selection Option]:[Selection Option]],","))),,Q$18),"")</f>
        <v/>
      </c>
      <c r="R20" s="41" t="str" cm="1">
        <f t="array" ref="R20">IFERROR(INDEX(_xlfn.UNIQUE(TRIM(_xlfn.TEXTSPLIT(Table9[[#This Row],[Selection Option]:[Selection Option]],","))),,R$18),"")</f>
        <v/>
      </c>
      <c r="S20" s="41" t="str" cm="1">
        <f t="array" ref="S20">IFERROR(INDEX(_xlfn.UNIQUE(TRIM(_xlfn.TEXTSPLIT(Table9[[#This Row],[Selection Option]:[Selection Option]],","))),,S$18),"")</f>
        <v/>
      </c>
      <c r="T20" s="41" t="str" cm="1">
        <f t="array" ref="T20">IFERROR(INDEX(_xlfn.UNIQUE(TRIM(_xlfn.TEXTSPLIT(Table9[[#This Row],[Selection Option]:[Selection Option]],","))),,T$18),"")</f>
        <v/>
      </c>
      <c r="U20" s="41" t="str" cm="1">
        <f t="array" ref="U20">IFERROR(INDEX(_xlfn.UNIQUE(TRIM(_xlfn.TEXTSPLIT(Table9[[#This Row],[Selection Option]:[Selection Option]],","))),,U$18),"")</f>
        <v/>
      </c>
      <c r="V20" s="41" t="str" cm="1">
        <f t="array" ref="V20">IFERROR(INDEX(_xlfn.UNIQUE(TRIM(_xlfn.TEXTSPLIT(Table9[[#This Row],[Selection Option]:[Selection Option]],","))),,V$18),"")</f>
        <v/>
      </c>
      <c r="W20" s="41" t="str" cm="1">
        <f t="array" ref="W20">IFERROR(INDEX(_xlfn.UNIQUE(TRIM(_xlfn.TEXTSPLIT(Table9[[#This Row],[Selection Option]:[Selection Option]],","))),,W$18),"")</f>
        <v/>
      </c>
      <c r="X20" s="41" t="str" cm="1">
        <f t="array" ref="X20">IFERROR(INDEX(_xlfn.UNIQUE(TRIM(_xlfn.TEXTSPLIT(Table9[[#This Row],[Selection Option]:[Selection Option]],","))),,X$18),"")</f>
        <v/>
      </c>
      <c r="Y20" s="30" cm="1">
        <f t="array" ref="Y20">IF(Table9[[#This Row],[1]]="","",Table9[[#This Row],[Weight]:[Weight]]-(Table9[[#This Row],[Weight]:[Weight]]*((_xlfn.XMATCH(Table9[[#This Row],[1]],Table9[[#This Row],[1]:[11]],0))-1)/(COUNTA(Table9[[#This Row],[1]:[11]])-COUNTBLANK(Table9[[#This Row],[1]:[11]])-1)))</f>
        <v>6.6666666666666666E-2</v>
      </c>
      <c r="Z20" s="30" cm="1">
        <f t="array" ref="Z20">IF(Table9[[#This Row],[2]]="","",Table9[[#This Row],[Weight]:[Weight]]-(Table9[[#This Row],[Weight]:[Weight]]*((_xlfn.XMATCH(Table9[[#This Row],[2]],Table9[[#This Row],[1]:[11]],0))-1)/(COUNTA(Table9[[#This Row],[1]:[11]])-COUNTBLANK(Table9[[#This Row],[1]:[11]])-1)))</f>
        <v>0</v>
      </c>
      <c r="AA20" s="30" t="str" cm="1">
        <f t="array" ref="AA20">IF(Table9[[#This Row],[3]]="","",Table9[[#This Row],[Weight]:[Weight]]-(Table9[[#This Row],[Weight]:[Weight]]*((_xlfn.XMATCH(Table9[[#This Row],[3]],Table9[[#This Row],[1]:[11]],0))-1)/(COUNTA(Table9[[#This Row],[1]:[11]])-COUNTBLANK(Table9[[#This Row],[1]:[11]])-1)))</f>
        <v/>
      </c>
      <c r="AB20" s="30" t="str" cm="1">
        <f t="array" ref="AB20">IF(Table9[[#This Row],[4]]="","",Table9[[#This Row],[Weight]:[Weight]]-(Table9[[#This Row],[Weight]:[Weight]]*((_xlfn.XMATCH(Table9[[#This Row],[4]],Table9[[#This Row],[1]:[11]],0))-1)/(COUNTA(Table9[[#This Row],[1]:[11]])-COUNTBLANK(Table9[[#This Row],[1]:[11]])-1)))</f>
        <v/>
      </c>
      <c r="AC20" s="30" t="str" cm="1">
        <f t="array" ref="AC20">IF(Table9[[#This Row],[5]]="","",Table9[[#This Row],[Weight]:[Weight]]-(Table9[[#This Row],[Weight]:[Weight]]*((_xlfn.XMATCH(Table9[[#This Row],[5]],Table9[[#This Row],[1]:[11]],0))-1)/(COUNTA(Table9[[#This Row],[1]:[11]])-COUNTBLANK(Table9[[#This Row],[1]:[11]])-1)))</f>
        <v/>
      </c>
      <c r="AD20" s="30" t="str" cm="1">
        <f t="array" ref="AD20">IF(Table9[[#This Row],[6]]="","",Table9[[#This Row],[Weight]:[Weight]]-(Table9[[#This Row],[Weight]:[Weight]]*((_xlfn.XMATCH(Table9[[#This Row],[6]],Table9[[#This Row],[1]:[11]],0))-1)/(COUNTA(Table9[[#This Row],[1]:[11]])-COUNTBLANK(Table9[[#This Row],[1]:[11]])-1)))</f>
        <v/>
      </c>
      <c r="AE20" s="30" t="str" cm="1">
        <f t="array" ref="AE20">IF(Table9[[#This Row],[7]]="","",Table9[[#This Row],[Weight]:[Weight]]-(Table9[[#This Row],[Weight]:[Weight]]*((_xlfn.XMATCH(Table9[[#This Row],[7]],Table9[[#This Row],[1]:[11]],0))-1)/(COUNTA(Table9[[#This Row],[1]:[11]])-COUNTBLANK(Table9[[#This Row],[1]:[11]])-1)))</f>
        <v/>
      </c>
      <c r="AF20" s="30" t="str" cm="1">
        <f t="array" ref="AF20">IF(Table9[[#This Row],[8]]="","",Table9[[#This Row],[Weight]:[Weight]]-(Table9[[#This Row],[Weight]:[Weight]]*((_xlfn.XMATCH(Table9[[#This Row],[8]],Table9[[#This Row],[1]:[11]],0))-1)/(COUNTA(Table9[[#This Row],[1]:[11]])-COUNTBLANK(Table9[[#This Row],[1]:[11]])-1)))</f>
        <v/>
      </c>
      <c r="AG20" s="30" t="str" cm="1">
        <f t="array" ref="AG20">IF(Table9[[#This Row],[9]]="","",Table9[[#This Row],[Weight]:[Weight]]-(Table9[[#This Row],[Weight]:[Weight]]*((_xlfn.XMATCH(Table9[[#This Row],[9]],Table9[[#This Row],[1]:[11]],0))-1)/(COUNTA(Table9[[#This Row],[1]:[11]])-COUNTBLANK(Table9[[#This Row],[1]:[11]])-1)))</f>
        <v/>
      </c>
      <c r="AH20" s="30" t="str" cm="1">
        <f t="array" ref="AH20">IF(Table9[[#This Row],[10]]="","",Table9[[#This Row],[Weight]:[Weight]]-(Table9[[#This Row],[Weight]:[Weight]]*((_xlfn.XMATCH(Table9[[#This Row],[10]],Table9[[#This Row],[1]:[11]],0))-1)/(COUNTA(Table9[[#This Row],[1]:[11]])-COUNTBLANK(Table9[[#This Row],[1]:[11]])-1)))</f>
        <v/>
      </c>
      <c r="AI20" s="30" t="str" cm="1">
        <f t="array" ref="AI20">IF(Table9[[#This Row],[11]]="","",Table9[[#This Row],[Weight]:[Weight]]-(Table9[[#This Row],[Weight]:[Weight]]*((_xlfn.XMATCH(Table9[[#This Row],[11]],Table9[[#This Row],[1]:[11]],0))-1)/(COUNTA(Table9[[#This Row],[1]:[11]])-COUNTBLANK(Table9[[#This Row],[1]:[11]])-1)))</f>
        <v/>
      </c>
    </row>
    <row r="21" spans="1:35" s="6" customFormat="1" ht="46" x14ac:dyDescent="0.25">
      <c r="A21" s="113">
        <v>2</v>
      </c>
      <c r="B21" s="31"/>
      <c r="C21" s="31" t="s">
        <v>59</v>
      </c>
      <c r="D21" s="31"/>
      <c r="E21" s="31"/>
      <c r="F21" s="22" t="s">
        <v>60</v>
      </c>
      <c r="G21" s="23" cm="1">
        <f t="array" ref="G21">_xlfn.IFS(F21="","",F21="No interest",0,F21="Nice to have",1,F21="Useful",2,F21="Important",3,F21="Very important",4,F21="Critical",5,F21="Show stopper",6)</f>
        <v>6</v>
      </c>
      <c r="H21" s="24">
        <f t="shared" si="0"/>
        <v>0.13333333333333333</v>
      </c>
      <c r="I21" s="25" t="s">
        <v>61</v>
      </c>
      <c r="J21" s="25" t="str" cm="1">
        <f t="array" ref="J21">_xlfn.TEXTJOIN(","&amp;CHAR(10),,TEXT(Table9[[#This Row],[12]:[22]],"0,00%"))</f>
        <v>0,13%,
0,09%,
0,04%,
0,00%</v>
      </c>
      <c r="K21" s="26" t="s">
        <v>62</v>
      </c>
      <c r="L21" s="27" t="e">
        <f>H21-(H21*((MATCH(Table24[[#This Row],[Evaluators Response (SELECT)]],Table24[[#This Row],[1]:[11]],0)-1)/(COUNTA(Table24[[#This Row],[1]:[11]])-COUNTBLANK(Table24[[#This Row],[1]:[11]])-1)))</f>
        <v>#VALUE!</v>
      </c>
      <c r="M21" s="28"/>
      <c r="N21" s="41" t="str" cm="1">
        <f t="array" ref="N21">IFERROR(INDEX(_xlfn.UNIQUE(TRIM(_xlfn.TEXTSPLIT(Table9[[#This Row],[Selection Option]:[Selection Option]],","))),,N$18),"")</f>
        <v>abc</v>
      </c>
      <c r="O21" s="41" t="str" cm="1">
        <f t="array" ref="O21">IFERROR(INDEX(_xlfn.UNIQUE(TRIM(_xlfn.TEXTSPLIT(Table9[[#This Row],[Selection Option]:[Selection Option]],","))),,O$18),"")</f>
        <v xml:space="preserve">
klm</v>
      </c>
      <c r="P21" s="41" t="str" cm="1">
        <f t="array" ref="P21">IFERROR(INDEX(_xlfn.UNIQUE(TRIM(_xlfn.TEXTSPLIT(Table9[[#This Row],[Selection Option]:[Selection Option]],","))),,P$18),"")</f>
        <v xml:space="preserve">
pqr</v>
      </c>
      <c r="Q21" s="41" t="str" cm="1">
        <f t="array" ref="Q21">IFERROR(INDEX(_xlfn.UNIQUE(TRIM(_xlfn.TEXTSPLIT(Table9[[#This Row],[Selection Option]:[Selection Option]],","))),,Q$18),"")</f>
        <v xml:space="preserve">
xyz</v>
      </c>
      <c r="R21" s="41" t="str" cm="1">
        <f t="array" ref="R21">IFERROR(INDEX(_xlfn.UNIQUE(TRIM(_xlfn.TEXTSPLIT(Table9[[#This Row],[Selection Option]:[Selection Option]],","))),,R$18),"")</f>
        <v/>
      </c>
      <c r="S21" s="41" t="str" cm="1">
        <f t="array" ref="S21">IFERROR(INDEX(_xlfn.UNIQUE(TRIM(_xlfn.TEXTSPLIT(Table9[[#This Row],[Selection Option]:[Selection Option]],","))),,S$18),"")</f>
        <v/>
      </c>
      <c r="T21" s="41" t="str" cm="1">
        <f t="array" ref="T21">IFERROR(INDEX(_xlfn.UNIQUE(TRIM(_xlfn.TEXTSPLIT(Table9[[#This Row],[Selection Option]:[Selection Option]],","))),,T$18),"")</f>
        <v/>
      </c>
      <c r="U21" s="41" t="str" cm="1">
        <f t="array" ref="U21">IFERROR(INDEX(_xlfn.UNIQUE(TRIM(_xlfn.TEXTSPLIT(Table9[[#This Row],[Selection Option]:[Selection Option]],","))),,U$18),"")</f>
        <v/>
      </c>
      <c r="V21" s="41" t="str" cm="1">
        <f t="array" ref="V21">IFERROR(INDEX(_xlfn.UNIQUE(TRIM(_xlfn.TEXTSPLIT(Table9[[#This Row],[Selection Option]:[Selection Option]],","))),,V$18),"")</f>
        <v/>
      </c>
      <c r="W21" s="41" t="str" cm="1">
        <f t="array" ref="W21">IFERROR(INDEX(_xlfn.UNIQUE(TRIM(_xlfn.TEXTSPLIT(Table9[[#This Row],[Selection Option]:[Selection Option]],","))),,W$18),"")</f>
        <v/>
      </c>
      <c r="X21" s="41" t="str" cm="1">
        <f t="array" ref="X21">IFERROR(INDEX(_xlfn.UNIQUE(TRIM(_xlfn.TEXTSPLIT(Table9[[#This Row],[Selection Option]:[Selection Option]],","))),,X$18),"")</f>
        <v/>
      </c>
      <c r="Y21" s="30" cm="1">
        <f t="array" ref="Y21">IF(Table9[[#This Row],[1]]="","",Table9[[#This Row],[Weight]:[Weight]]-(Table9[[#This Row],[Weight]:[Weight]]*((_xlfn.XMATCH(Table9[[#This Row],[1]],Table9[[#This Row],[1]:[11]],0))-1)/(COUNTA(Table9[[#This Row],[1]:[11]])-COUNTBLANK(Table9[[#This Row],[1]:[11]])-1)))</f>
        <v>0.13333333333333333</v>
      </c>
      <c r="Z21" s="30" cm="1">
        <f t="array" ref="Z21">IF(Table9[[#This Row],[2]]="","",Table9[[#This Row],[Weight]:[Weight]]-(Table9[[#This Row],[Weight]:[Weight]]*((_xlfn.XMATCH(Table9[[#This Row],[2]],Table9[[#This Row],[1]:[11]],0))-1)/(COUNTA(Table9[[#This Row],[1]:[11]])-COUNTBLANK(Table9[[#This Row],[1]:[11]])-1)))</f>
        <v>8.8888888888888878E-2</v>
      </c>
      <c r="AA21" s="30" cm="1">
        <f t="array" ref="AA21">IF(Table9[[#This Row],[3]]="","",Table9[[#This Row],[Weight]:[Weight]]-(Table9[[#This Row],[Weight]:[Weight]]*((_xlfn.XMATCH(Table9[[#This Row],[3]],Table9[[#This Row],[1]:[11]],0))-1)/(COUNTA(Table9[[#This Row],[1]:[11]])-COUNTBLANK(Table9[[#This Row],[1]:[11]])-1)))</f>
        <v>4.4444444444444439E-2</v>
      </c>
      <c r="AB21" s="30" cm="1">
        <f t="array" ref="AB21">IF(Table9[[#This Row],[4]]="","",Table9[[#This Row],[Weight]:[Weight]]-(Table9[[#This Row],[Weight]:[Weight]]*((_xlfn.XMATCH(Table9[[#This Row],[4]],Table9[[#This Row],[1]:[11]],0))-1)/(COUNTA(Table9[[#This Row],[1]:[11]])-COUNTBLANK(Table9[[#This Row],[1]:[11]])-1)))</f>
        <v>0</v>
      </c>
      <c r="AC21" s="30" t="str" cm="1">
        <f t="array" ref="AC21">IF(Table9[[#This Row],[5]]="","",Table9[[#This Row],[Weight]:[Weight]]-(Table9[[#This Row],[Weight]:[Weight]]*((_xlfn.XMATCH(Table9[[#This Row],[5]],Table9[[#This Row],[1]:[11]],0))-1)/(COUNTA(Table9[[#This Row],[1]:[11]])-COUNTBLANK(Table9[[#This Row],[1]:[11]])-1)))</f>
        <v/>
      </c>
      <c r="AD21" s="30" t="str" cm="1">
        <f t="array" ref="AD21">IF(Table9[[#This Row],[6]]="","",Table9[[#This Row],[Weight]:[Weight]]-(Table9[[#This Row],[Weight]:[Weight]]*((_xlfn.XMATCH(Table9[[#This Row],[6]],Table9[[#This Row],[1]:[11]],0))-1)/(COUNTA(Table9[[#This Row],[1]:[11]])-COUNTBLANK(Table9[[#This Row],[1]:[11]])-1)))</f>
        <v/>
      </c>
      <c r="AE21" s="30" t="str" cm="1">
        <f t="array" ref="AE21">IF(Table9[[#This Row],[7]]="","",Table9[[#This Row],[Weight]:[Weight]]-(Table9[[#This Row],[Weight]:[Weight]]*((_xlfn.XMATCH(Table9[[#This Row],[7]],Table9[[#This Row],[1]:[11]],0))-1)/(COUNTA(Table9[[#This Row],[1]:[11]])-COUNTBLANK(Table9[[#This Row],[1]:[11]])-1)))</f>
        <v/>
      </c>
      <c r="AF21" s="30" t="str" cm="1">
        <f t="array" ref="AF21">IF(Table9[[#This Row],[8]]="","",Table9[[#This Row],[Weight]:[Weight]]-(Table9[[#This Row],[Weight]:[Weight]]*((_xlfn.XMATCH(Table9[[#This Row],[8]],Table9[[#This Row],[1]:[11]],0))-1)/(COUNTA(Table9[[#This Row],[1]:[11]])-COUNTBLANK(Table9[[#This Row],[1]:[11]])-1)))</f>
        <v/>
      </c>
      <c r="AG21" s="30" t="str" cm="1">
        <f t="array" ref="AG21">IF(Table9[[#This Row],[9]]="","",Table9[[#This Row],[Weight]:[Weight]]-(Table9[[#This Row],[Weight]:[Weight]]*((_xlfn.XMATCH(Table9[[#This Row],[9]],Table9[[#This Row],[1]:[11]],0))-1)/(COUNTA(Table9[[#This Row],[1]:[11]])-COUNTBLANK(Table9[[#This Row],[1]:[11]])-1)))</f>
        <v/>
      </c>
      <c r="AH21" s="30" t="str" cm="1">
        <f t="array" ref="AH21">IF(Table9[[#This Row],[10]]="","",Table9[[#This Row],[Weight]:[Weight]]-(Table9[[#This Row],[Weight]:[Weight]]*((_xlfn.XMATCH(Table9[[#This Row],[10]],Table9[[#This Row],[1]:[11]],0))-1)/(COUNTA(Table9[[#This Row],[1]:[11]])-COUNTBLANK(Table9[[#This Row],[1]:[11]])-1)))</f>
        <v/>
      </c>
      <c r="AI21" s="30" t="str" cm="1">
        <f t="array" ref="AI21">IF(Table9[[#This Row],[11]]="","",Table9[[#This Row],[Weight]:[Weight]]-(Table9[[#This Row],[Weight]:[Weight]]*((_xlfn.XMATCH(Table9[[#This Row],[11]],Table9[[#This Row],[1]:[11]],0))-1)/(COUNTA(Table9[[#This Row],[1]:[11]])-COUNTBLANK(Table9[[#This Row],[1]:[11]])-1)))</f>
        <v/>
      </c>
    </row>
    <row r="22" spans="1:35" x14ac:dyDescent="0.25">
      <c r="B22" s="64"/>
      <c r="C22" s="64"/>
      <c r="D22" s="64"/>
      <c r="E22" s="64"/>
      <c r="F22" s="64"/>
      <c r="G22" s="64"/>
      <c r="H22" s="64"/>
    </row>
    <row r="24" spans="1:35" ht="20.5" customHeight="1" x14ac:dyDescent="0.25">
      <c r="A24" s="197" t="s">
        <v>63</v>
      </c>
      <c r="B24" s="197"/>
      <c r="C24" s="197"/>
      <c r="D24" s="197"/>
      <c r="E24" s="197"/>
      <c r="F24" s="197"/>
      <c r="G24" s="197"/>
      <c r="H24" s="197"/>
      <c r="I24" s="197"/>
      <c r="J24" s="197"/>
    </row>
    <row r="25" spans="1:35" ht="48" customHeight="1" x14ac:dyDescent="0.35">
      <c r="B25" s="198" t="s">
        <v>64</v>
      </c>
      <c r="C25" s="198"/>
      <c r="D25" s="198"/>
      <c r="E25" s="198"/>
      <c r="F25" s="198"/>
      <c r="G25" s="198"/>
      <c r="H25" s="198"/>
      <c r="I25" s="198"/>
      <c r="J25" s="198"/>
      <c r="K25" s="55"/>
      <c r="L25" s="55"/>
      <c r="M25" s="55"/>
    </row>
  </sheetData>
  <mergeCells count="12">
    <mergeCell ref="B2:J2"/>
    <mergeCell ref="A3:J3"/>
    <mergeCell ref="B4:J4"/>
    <mergeCell ref="A6:J6"/>
    <mergeCell ref="B7:J7"/>
    <mergeCell ref="A24:J24"/>
    <mergeCell ref="B25:J25"/>
    <mergeCell ref="A9:J9"/>
    <mergeCell ref="A17:A18"/>
    <mergeCell ref="B17:C18"/>
    <mergeCell ref="D17:E18"/>
    <mergeCell ref="B10:J10"/>
  </mergeCells>
  <conditionalFormatting sqref="K20:K21">
    <cfRule type="expression" dxfId="12" priority="1">
      <formula>COUNTIF(N20:X20,K20)&lt;&gt;1</formula>
    </cfRule>
  </conditionalFormatting>
  <dataValidations count="4">
    <dataValidation type="list" allowBlank="1" showInputMessage="1" showErrorMessage="1" sqref="M21" xr:uid="{F2B4E195-780F-43B7-A5AA-9058552167C5}">
      <formula1>_xlfn.UNIQUE(TRIM(_xlfn.TEXTSPLIT(#REF!,",")))</formula1>
    </dataValidation>
    <dataValidation type="list" allowBlank="1" showInputMessage="1" showErrorMessage="1" sqref="F20:F21" xr:uid="{D71413C5-87C3-49AC-9DA6-5F6CC78845B9}">
      <formula1>"No interest,Nice to have,Useful,Important,Very important,Critical,Show stopper"</formula1>
    </dataValidation>
    <dataValidation type="list" allowBlank="1" showInputMessage="1" showErrorMessage="1" sqref="H21" xr:uid="{BB942130-B9DD-4CC1-AE81-4288001FDF88}">
      <formula1>N21:R21</formula1>
    </dataValidation>
    <dataValidation type="list" allowBlank="1" showInputMessage="1" showErrorMessage="1" sqref="K20:K21" xr:uid="{4D67F2C3-2F2C-4D76-ACBD-2D35E3CB864F}">
      <formula1>$N20:$X20</formula1>
    </dataValidation>
  </dataValidations>
  <pageMargins left="0.25" right="0.25" top="0.75" bottom="0.75" header="0.3" footer="0.3"/>
  <pageSetup paperSize="9" scale="40" fitToHeight="0" orientation="landscape" r:id="rId1"/>
  <drawing r:id="rId2"/>
  <legacyDrawing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A3F00-BEEF-4262-89CB-43D45A2E2783}">
  <sheetPr>
    <tabColor theme="4" tint="0.39997558519241921"/>
    <pageSetUpPr fitToPage="1"/>
  </sheetPr>
  <dimension ref="A2:AI36"/>
  <sheetViews>
    <sheetView tabSelected="1" zoomScale="110" zoomScaleNormal="110" workbookViewId="0">
      <pane xSplit="1" ySplit="11" topLeftCell="B12" activePane="bottomRight" state="frozen"/>
      <selection pane="topRight" activeCell="B1" sqref="B1"/>
      <selection pane="bottomLeft" activeCell="A4" sqref="A4"/>
      <selection pane="bottomRight" activeCell="C36" sqref="B10:C36"/>
    </sheetView>
  </sheetViews>
  <sheetFormatPr defaultColWidth="5.54296875" defaultRowHeight="11.5" x14ac:dyDescent="0.25"/>
  <cols>
    <col min="1" max="1" width="3" style="6" bestFit="1" customWidth="1"/>
    <col min="2" max="2" width="38.26953125" style="6" customWidth="1"/>
    <col min="3" max="3" width="38.81640625" style="6" customWidth="1"/>
    <col min="4" max="4" width="28.54296875" style="6" bestFit="1" customWidth="1"/>
    <col min="5" max="5" width="31.26953125" style="6" bestFit="1" customWidth="1"/>
    <col min="6" max="6" width="18.54296875" style="6" bestFit="1" customWidth="1"/>
    <col min="7" max="7" width="11.26953125" style="6" bestFit="1" customWidth="1"/>
    <col min="8" max="8" width="13.7265625" style="6" bestFit="1" customWidth="1"/>
    <col min="9" max="9" width="19.453125" style="6" bestFit="1" customWidth="1"/>
    <col min="10" max="10" width="8" style="6" customWidth="1"/>
    <col min="11" max="11" width="15.81640625" style="6" customWidth="1"/>
    <col min="12" max="12" width="7.81640625" style="45" bestFit="1" customWidth="1"/>
    <col min="13" max="13" width="19.7265625" style="6" bestFit="1" customWidth="1"/>
    <col min="14" max="14" width="6.54296875" style="46" hidden="1" customWidth="1"/>
    <col min="15" max="24" width="6.453125" style="46" hidden="1" customWidth="1"/>
    <col min="25" max="25" width="8" style="6" hidden="1" customWidth="1"/>
    <col min="26" max="26" width="5.54296875" style="6" hidden="1" customWidth="1"/>
    <col min="27" max="32" width="6.1796875" style="6" hidden="1" customWidth="1"/>
    <col min="33" max="35" width="5.54296875" style="6" hidden="1" customWidth="1"/>
    <col min="36" max="16384" width="5.54296875" style="6"/>
  </cols>
  <sheetData>
    <row r="2" spans="1:35" ht="14" x14ac:dyDescent="0.3">
      <c r="B2" s="90" t="s">
        <v>82</v>
      </c>
      <c r="C2" s="91" t="s">
        <v>83</v>
      </c>
      <c r="E2" s="221" t="s">
        <v>141</v>
      </c>
      <c r="F2" s="222"/>
    </row>
    <row r="3" spans="1:35" ht="15.75" customHeight="1" x14ac:dyDescent="0.25">
      <c r="B3" s="90" t="s">
        <v>84</v>
      </c>
      <c r="C3" s="173" t="str">
        <f>+'Scoring Summary'!C3</f>
        <v>Enterprise Historian</v>
      </c>
      <c r="E3" s="223"/>
      <c r="F3" s="224"/>
    </row>
    <row r="4" spans="1:35" ht="18" customHeight="1" x14ac:dyDescent="0.35">
      <c r="B4" s="90" t="s">
        <v>86</v>
      </c>
      <c r="C4" s="93" t="s">
        <v>87</v>
      </c>
      <c r="D4" s="55"/>
      <c r="E4" s="163" t="s">
        <v>76</v>
      </c>
      <c r="F4" s="169"/>
    </row>
    <row r="5" spans="1:35" ht="15.5" x14ac:dyDescent="0.35">
      <c r="B5" s="90" t="s">
        <v>88</v>
      </c>
      <c r="C5" s="93" t="s">
        <v>87</v>
      </c>
      <c r="D5" s="55"/>
      <c r="E5" s="165"/>
      <c r="F5" s="168"/>
    </row>
    <row r="6" spans="1:35" ht="15.5" x14ac:dyDescent="0.35">
      <c r="B6" s="90" t="s">
        <v>90</v>
      </c>
      <c r="C6" s="93" t="s">
        <v>87</v>
      </c>
      <c r="D6" s="55"/>
      <c r="E6" s="55"/>
    </row>
    <row r="7" spans="1:35" ht="42.75" customHeight="1" x14ac:dyDescent="0.35">
      <c r="B7" s="90" t="s">
        <v>91</v>
      </c>
      <c r="C7" s="93"/>
      <c r="D7" s="57"/>
      <c r="E7" s="55"/>
    </row>
    <row r="10" spans="1:35" ht="15" customHeight="1" x14ac:dyDescent="0.25">
      <c r="A10" s="199"/>
      <c r="B10" s="201" t="s">
        <v>14</v>
      </c>
      <c r="C10" s="201"/>
      <c r="D10" s="203" t="s">
        <v>15</v>
      </c>
      <c r="E10" s="204"/>
      <c r="F10" s="1" t="s">
        <v>16</v>
      </c>
      <c r="G10" s="2"/>
      <c r="H10" s="3"/>
      <c r="I10" s="3"/>
      <c r="J10" s="3"/>
      <c r="K10" s="3"/>
      <c r="L10" s="4"/>
      <c r="M10" s="5"/>
      <c r="N10" s="4"/>
      <c r="O10" s="4"/>
      <c r="P10" s="4"/>
      <c r="Q10" s="4"/>
      <c r="R10" s="4"/>
      <c r="S10" s="4"/>
      <c r="T10" s="4"/>
      <c r="U10" s="4"/>
      <c r="V10" s="4"/>
      <c r="W10" s="4"/>
      <c r="X10" s="4"/>
      <c r="Y10" s="4"/>
      <c r="Z10" s="4"/>
      <c r="AA10" s="4"/>
      <c r="AB10" s="4"/>
      <c r="AC10" s="4"/>
      <c r="AD10" s="4"/>
      <c r="AE10" s="4"/>
      <c r="AF10" s="4"/>
      <c r="AG10" s="4"/>
      <c r="AH10" s="4"/>
      <c r="AI10" s="4"/>
    </row>
    <row r="11" spans="1:35" x14ac:dyDescent="0.25">
      <c r="A11" s="200"/>
      <c r="B11" s="202"/>
      <c r="C11" s="202"/>
      <c r="D11" s="205"/>
      <c r="E11" s="205"/>
      <c r="F11" s="170">
        <f>'Scoring Summary'!C19</f>
        <v>0.1</v>
      </c>
      <c r="G11" s="48">
        <f>SUM(Table26789[Priority])</f>
        <v>96</v>
      </c>
      <c r="H11" s="8">
        <f>SUM(Table26789[Weight])</f>
        <v>9.9999999999999992E-2</v>
      </c>
      <c r="I11" s="7"/>
      <c r="J11" s="7"/>
      <c r="K11" s="9" t="s">
        <v>17</v>
      </c>
      <c r="L11" s="8">
        <f>SUM(Table26789[Score])</f>
        <v>9.9999999999999992E-2</v>
      </c>
      <c r="M11" s="7"/>
      <c r="N11" s="10">
        <v>1</v>
      </c>
      <c r="O11" s="10">
        <v>2</v>
      </c>
      <c r="P11" s="10">
        <v>3</v>
      </c>
      <c r="Q11" s="10">
        <v>4</v>
      </c>
      <c r="R11" s="10">
        <v>5</v>
      </c>
      <c r="S11" s="10">
        <v>6</v>
      </c>
      <c r="T11" s="10">
        <v>7</v>
      </c>
      <c r="U11" s="10">
        <v>8</v>
      </c>
      <c r="V11" s="10">
        <v>9</v>
      </c>
      <c r="W11" s="10">
        <v>10</v>
      </c>
      <c r="X11" s="10">
        <v>11</v>
      </c>
      <c r="Y11" s="10">
        <v>12</v>
      </c>
      <c r="Z11" s="10">
        <v>13</v>
      </c>
      <c r="AA11" s="10">
        <v>14</v>
      </c>
      <c r="AB11" s="10">
        <v>15</v>
      </c>
      <c r="AC11" s="10">
        <v>16</v>
      </c>
      <c r="AD11" s="10">
        <v>17</v>
      </c>
      <c r="AE11" s="10">
        <v>18</v>
      </c>
      <c r="AF11" s="10">
        <v>19</v>
      </c>
      <c r="AG11" s="10">
        <v>20</v>
      </c>
      <c r="AH11" s="10">
        <v>21</v>
      </c>
      <c r="AI11" s="10">
        <v>22</v>
      </c>
    </row>
    <row r="12" spans="1:35" ht="46" x14ac:dyDescent="0.25">
      <c r="A12" s="11" t="s">
        <v>18</v>
      </c>
      <c r="B12" s="12" t="s">
        <v>19</v>
      </c>
      <c r="C12" s="13" t="s">
        <v>20</v>
      </c>
      <c r="D12" s="14" t="s">
        <v>21</v>
      </c>
      <c r="E12" s="14" t="s">
        <v>22</v>
      </c>
      <c r="F12" s="15" t="s">
        <v>23</v>
      </c>
      <c r="G12" s="16" t="s">
        <v>24</v>
      </c>
      <c r="H12" s="16" t="s">
        <v>25</v>
      </c>
      <c r="I12" s="15" t="s">
        <v>132</v>
      </c>
      <c r="J12" s="16" t="s">
        <v>27</v>
      </c>
      <c r="K12" s="15" t="s">
        <v>28</v>
      </c>
      <c r="L12" s="17" t="s">
        <v>29</v>
      </c>
      <c r="M12" s="15" t="s">
        <v>30</v>
      </c>
      <c r="N12" s="18" t="s">
        <v>31</v>
      </c>
      <c r="O12" s="18" t="s">
        <v>32</v>
      </c>
      <c r="P12" s="18" t="s">
        <v>33</v>
      </c>
      <c r="Q12" s="18" t="s">
        <v>34</v>
      </c>
      <c r="R12" s="18" t="s">
        <v>35</v>
      </c>
      <c r="S12" s="18" t="s">
        <v>36</v>
      </c>
      <c r="T12" s="18" t="s">
        <v>37</v>
      </c>
      <c r="U12" s="18" t="s">
        <v>38</v>
      </c>
      <c r="V12" s="18" t="s">
        <v>39</v>
      </c>
      <c r="W12" s="18" t="s">
        <v>40</v>
      </c>
      <c r="X12" s="18" t="s">
        <v>41</v>
      </c>
      <c r="Y12" s="19" t="s">
        <v>42</v>
      </c>
      <c r="Z12" s="19" t="s">
        <v>43</v>
      </c>
      <c r="AA12" s="19" t="s">
        <v>44</v>
      </c>
      <c r="AB12" s="19" t="s">
        <v>45</v>
      </c>
      <c r="AC12" s="19" t="s">
        <v>46</v>
      </c>
      <c r="AD12" s="19" t="s">
        <v>47</v>
      </c>
      <c r="AE12" s="19" t="s">
        <v>48</v>
      </c>
      <c r="AF12" s="19" t="s">
        <v>49</v>
      </c>
      <c r="AG12" s="19" t="s">
        <v>50</v>
      </c>
      <c r="AH12" s="19" t="s">
        <v>51</v>
      </c>
      <c r="AI12" s="19" t="s">
        <v>52</v>
      </c>
    </row>
    <row r="13" spans="1:35" ht="80" x14ac:dyDescent="0.25">
      <c r="A13" s="20">
        <v>1</v>
      </c>
      <c r="B13" s="175" t="s">
        <v>186</v>
      </c>
      <c r="C13" s="177" t="s">
        <v>187</v>
      </c>
      <c r="D13" s="21"/>
      <c r="E13" s="21"/>
      <c r="F13" s="22" t="s">
        <v>165</v>
      </c>
      <c r="G13" s="23" cm="1">
        <f t="array" ref="G13">_xlfn.IFS(F13="","",F13="No interest",0,F13="Nice to have",1,F13="Useful",2,F13="Important",3,F13="Very important",4,F13="Critical",5,F13="Show stopper",6)</f>
        <v>4</v>
      </c>
      <c r="H13" s="24">
        <f t="shared" ref="H13:H16" si="0">(G13/$G$11)*$F$11</f>
        <v>4.1666666666666666E-3</v>
      </c>
      <c r="I13" s="25" t="s">
        <v>135</v>
      </c>
      <c r="J13" s="25" t="str" cm="1">
        <f t="array" ref="J13">_xlfn.TEXTJOIN(","&amp;CHAR(10),,TEXT(Table26789[[#This Row],[12]:[22]],"0,00%"))</f>
        <v>0,00%,
0,00%</v>
      </c>
      <c r="K13" s="26" t="s">
        <v>120</v>
      </c>
      <c r="L13" s="27">
        <f>H13-(H13*((MATCH(Table26789[[#This Row],[Evaluators Response (SELECT)]],Table26789[[#This Row],[1]:[11]],0)-1)/(COUNTA(Table26789[[#This Row],[1]:[11]])-COUNTBLANK(Table26789[[#This Row],[1]:[11]])-1)))</f>
        <v>4.1666666666666666E-3</v>
      </c>
      <c r="M13" s="28"/>
      <c r="N13" s="29" t="str" cm="1">
        <f t="array" ref="N13">IFERROR(INDEX(_xlfn.UNIQUE(TRIM(_xlfn.TEXTSPLIT(Table26789[[#This Row],[Selection Options]:[Selection Options]],","))),,N$11),"")</f>
        <v>Yes</v>
      </c>
      <c r="O13" s="29" t="str" cm="1">
        <f t="array" ref="O13">IFERROR(INDEX(_xlfn.UNIQUE(TRIM(_xlfn.TEXTSPLIT(Table26789[[#This Row],[Selection Options]:[Selection Options]],","))),,O$11),"")</f>
        <v xml:space="preserve">
No</v>
      </c>
      <c r="P13" s="29" t="str" cm="1">
        <f t="array" ref="P13">IFERROR(INDEX(_xlfn.UNIQUE(TRIM(_xlfn.TEXTSPLIT(Table26789[[#This Row],[Selection Options]:[Selection Options]],","))),,P$11),"")</f>
        <v/>
      </c>
      <c r="Q13" s="29" t="str" cm="1">
        <f t="array" ref="Q13">IFERROR(INDEX(_xlfn.UNIQUE(TRIM(_xlfn.TEXTSPLIT(Table26789[[#This Row],[Selection Options]:[Selection Options]],","))),,Q$11),"")</f>
        <v/>
      </c>
      <c r="R13" s="29" t="str" cm="1">
        <f t="array" ref="R13">IFERROR(INDEX(_xlfn.UNIQUE(TRIM(_xlfn.TEXTSPLIT(Table26789[[#This Row],[Selection Options]:[Selection Options]],","))),,R$11),"")</f>
        <v/>
      </c>
      <c r="S13" s="29" t="str" cm="1">
        <f t="array" ref="S13">IFERROR(INDEX(_xlfn.UNIQUE(TRIM(_xlfn.TEXTSPLIT(Table26789[[#This Row],[Selection Options]:[Selection Options]],","))),,S$11),"")</f>
        <v/>
      </c>
      <c r="T13" s="29" t="str" cm="1">
        <f t="array" ref="T13">IFERROR(INDEX(_xlfn.UNIQUE(TRIM(_xlfn.TEXTSPLIT(Table26789[[#This Row],[Selection Options]:[Selection Options]],","))),,T$11),"")</f>
        <v/>
      </c>
      <c r="U13" s="29" t="str" cm="1">
        <f t="array" ref="U13">IFERROR(INDEX(_xlfn.UNIQUE(TRIM(_xlfn.TEXTSPLIT(Table26789[[#This Row],[Selection Options]:[Selection Options]],","))),,U$11),"")</f>
        <v/>
      </c>
      <c r="V13" s="29" t="str" cm="1">
        <f t="array" ref="V13">IFERROR(INDEX(_xlfn.UNIQUE(TRIM(_xlfn.TEXTSPLIT(Table26789[[#This Row],[Selection Options]:[Selection Options]],","))),,V$11),"")</f>
        <v/>
      </c>
      <c r="W13" s="29" t="str" cm="1">
        <f t="array" ref="W13">IFERROR(INDEX(_xlfn.UNIQUE(TRIM(_xlfn.TEXTSPLIT(Table26789[[#This Row],[Selection Options]:[Selection Options]],","))),,W$11),"")</f>
        <v/>
      </c>
      <c r="X13" s="29" t="str" cm="1">
        <f t="array" ref="X13">IFERROR(INDEX(_xlfn.UNIQUE(TRIM(_xlfn.TEXTSPLIT(Table26789[[#This Row],[Selection Options]:[Selection Options]],","))),,X$11),"")</f>
        <v/>
      </c>
      <c r="Y13" s="30" cm="1">
        <f t="array" ref="Y13">IF(Table26789[[#This Row],[1]]="","",Table26789[[#This Row],[Weight]:[Weight]]-(Table26789[[#This Row],[Weight]:[Weight]]*((_xlfn.XMATCH(Table26789[[#This Row],[1]],Table26789[[#This Row],[1]:[11]],0))-1)/(COUNTA(Table26789[[#This Row],[1]:[11]])-COUNTBLANK(Table26789[[#This Row],[1]:[11]])-1)))</f>
        <v>4.1666666666666666E-3</v>
      </c>
      <c r="Z13" s="30" cm="1">
        <f t="array" ref="Z13">IF(Table26789[[#This Row],[2]]="","",Table26789[[#This Row],[Weight]:[Weight]]-(Table26789[[#This Row],[Weight]:[Weight]]*((_xlfn.XMATCH(Table26789[[#This Row],[2]],Table26789[[#This Row],[1]:[11]],0))-1)/(COUNTA(Table26789[[#This Row],[1]:[11]])-COUNTBLANK(Table26789[[#This Row],[1]:[11]])-1)))</f>
        <v>0</v>
      </c>
      <c r="AA13" s="30" t="str" cm="1">
        <f t="array" ref="AA13">IF(Table26789[[#This Row],[3]]="","",Table26789[[#This Row],[Weight]:[Weight]]-(Table26789[[#This Row],[Weight]:[Weight]]*((_xlfn.XMATCH(Table26789[[#This Row],[3]],Table26789[[#This Row],[1]:[11]],0))-1)/(COUNTA(Table26789[[#This Row],[1]:[11]])-COUNTBLANK(Table26789[[#This Row],[1]:[11]])-1)))</f>
        <v/>
      </c>
      <c r="AB13" s="30" t="str" cm="1">
        <f t="array" ref="AB13">IF(Table26789[[#This Row],[4]]="","",Table26789[[#This Row],[Weight]:[Weight]]-(Table26789[[#This Row],[Weight]:[Weight]]*((_xlfn.XMATCH(Table26789[[#This Row],[4]],Table26789[[#This Row],[1]:[11]],0))-1)/(COUNTA(Table26789[[#This Row],[1]:[11]])-COUNTBLANK(Table26789[[#This Row],[1]:[11]])-1)))</f>
        <v/>
      </c>
      <c r="AC13" s="30" t="str" cm="1">
        <f t="array" ref="AC13">IF(Table26789[[#This Row],[5]]="","",Table26789[[#This Row],[Weight]:[Weight]]-(Table26789[[#This Row],[Weight]:[Weight]]*((_xlfn.XMATCH(Table26789[[#This Row],[5]],Table26789[[#This Row],[1]:[11]],0))-1)/(COUNTA(Table26789[[#This Row],[1]:[11]])-COUNTBLANK(Table26789[[#This Row],[1]:[11]])-1)))</f>
        <v/>
      </c>
      <c r="AD13" s="30" t="str" cm="1">
        <f t="array" ref="AD13">IF(Table26789[[#This Row],[6]]="","",Table26789[[#This Row],[Weight]:[Weight]]-(Table26789[[#This Row],[Weight]:[Weight]]*((_xlfn.XMATCH(Table26789[[#This Row],[6]],Table26789[[#This Row],[1]:[11]],0))-1)/(COUNTA(Table26789[[#This Row],[1]:[11]])-COUNTBLANK(Table26789[[#This Row],[1]:[11]])-1)))</f>
        <v/>
      </c>
      <c r="AE13" s="30" t="str" cm="1">
        <f t="array" ref="AE13">IF(Table26789[[#This Row],[7]]="","",Table26789[[#This Row],[Weight]:[Weight]]-(Table26789[[#This Row],[Weight]:[Weight]]*((_xlfn.XMATCH(Table26789[[#This Row],[7]],Table26789[[#This Row],[1]:[11]],0))-1)/(COUNTA(Table26789[[#This Row],[1]:[11]])-COUNTBLANK(Table26789[[#This Row],[1]:[11]])-1)))</f>
        <v/>
      </c>
      <c r="AF13" s="30" t="str" cm="1">
        <f t="array" ref="AF13">IF(Table26789[[#This Row],[8]]="","",Table26789[[#This Row],[Weight]:[Weight]]-(Table26789[[#This Row],[Weight]:[Weight]]*((_xlfn.XMATCH(Table26789[[#This Row],[8]],Table26789[[#This Row],[1]:[11]],0))-1)/(COUNTA(Table26789[[#This Row],[1]:[11]])-COUNTBLANK(Table26789[[#This Row],[1]:[11]])-1)))</f>
        <v/>
      </c>
      <c r="AG13" s="30" t="str" cm="1">
        <f t="array" ref="AG13">IF(Table26789[[#This Row],[9]]="","",Table26789[[#This Row],[Weight]:[Weight]]-(Table26789[[#This Row],[Weight]:[Weight]]*((_xlfn.XMATCH(Table26789[[#This Row],[9]],Table26789[[#This Row],[1]:[11]],0))-1)/(COUNTA(Table26789[[#This Row],[1]:[11]])-COUNTBLANK(Table26789[[#This Row],[1]:[11]])-1)))</f>
        <v/>
      </c>
      <c r="AH13" s="30" t="str" cm="1">
        <f t="array" ref="AH13">IF(Table26789[[#This Row],[10]]="","",Table26789[[#This Row],[Weight]:[Weight]]-(Table26789[[#This Row],[Weight]:[Weight]]*((_xlfn.XMATCH(Table26789[[#This Row],[10]],Table26789[[#This Row],[1]:[11]],0))-1)/(COUNTA(Table26789[[#This Row],[1]:[11]])-COUNTBLANK(Table26789[[#This Row],[1]:[11]])-1)))</f>
        <v/>
      </c>
      <c r="AI13" s="30" t="str" cm="1">
        <f t="array" ref="AI13">IF(Table26789[[#This Row],[11]]="","",Table26789[[#This Row],[Weight]:[Weight]]-(Table26789[[#This Row],[Weight]:[Weight]]*((_xlfn.XMATCH(Table26789[[#This Row],[11]],Table26789[[#This Row],[1]:[11]],0))-1)/(COUNTA(Table26789[[#This Row],[1]:[11]])-COUNTBLANK(Table26789[[#This Row],[1]:[11]])-1)))</f>
        <v/>
      </c>
    </row>
    <row r="14" spans="1:35" ht="40.5" x14ac:dyDescent="0.25">
      <c r="A14" s="20"/>
      <c r="B14" s="176" t="s">
        <v>188</v>
      </c>
      <c r="C14" s="178" t="s">
        <v>189</v>
      </c>
      <c r="D14" s="31"/>
      <c r="E14" s="31"/>
      <c r="F14" s="22" t="s">
        <v>165</v>
      </c>
      <c r="G14" s="23" cm="1">
        <f t="array" ref="G14">_xlfn.IFS(F14="","",F14="No interest",0,F14="Nice to have",1,F14="Useful",2,F14="Important",3,F14="Very important",4,F14="Critical",5,F14="Show stopper",6)</f>
        <v>4</v>
      </c>
      <c r="H14" s="24">
        <f t="shared" si="0"/>
        <v>4.1666666666666666E-3</v>
      </c>
      <c r="I14" s="25" t="s">
        <v>135</v>
      </c>
      <c r="J14" s="25" t="str" cm="1">
        <f t="array" ref="J14">_xlfn.TEXTJOIN(","&amp;CHAR(10),,TEXT(Table26789[[#This Row],[12]:[22]],"0,00%"))</f>
        <v>0,00%,
0,00%</v>
      </c>
      <c r="K14" s="26" t="s">
        <v>120</v>
      </c>
      <c r="L14" s="27">
        <f>H14-(H14*((MATCH(Table26789[[#This Row],[Evaluators Response (SELECT)]],Table26789[[#This Row],[1]:[11]],0)-1)/(COUNTA(Table26789[[#This Row],[1]:[11]])-COUNTBLANK(Table26789[[#This Row],[1]:[11]])-1)))</f>
        <v>4.1666666666666666E-3</v>
      </c>
      <c r="M14" s="28"/>
      <c r="N14" s="29" t="str" cm="1">
        <f t="array" ref="N14">IFERROR(INDEX(_xlfn.UNIQUE(TRIM(_xlfn.TEXTSPLIT(Table26789[[#This Row],[Selection Options]:[Selection Options]],","))),,N$11),"")</f>
        <v>Yes</v>
      </c>
      <c r="O14" s="29" t="str" cm="1">
        <f t="array" ref="O14">IFERROR(INDEX(_xlfn.UNIQUE(TRIM(_xlfn.TEXTSPLIT(Table26789[[#This Row],[Selection Options]:[Selection Options]],","))),,O$11),"")</f>
        <v xml:space="preserve">
No</v>
      </c>
      <c r="P14" s="29" t="str" cm="1">
        <f t="array" ref="P14">IFERROR(INDEX(_xlfn.UNIQUE(TRIM(_xlfn.TEXTSPLIT(Table26789[[#This Row],[Selection Options]:[Selection Options]],","))),,P$11),"")</f>
        <v/>
      </c>
      <c r="Q14" s="29" t="str" cm="1">
        <f t="array" ref="Q14">IFERROR(INDEX(_xlfn.UNIQUE(TRIM(_xlfn.TEXTSPLIT(Table26789[[#This Row],[Selection Options]:[Selection Options]],","))),,Q$11),"")</f>
        <v/>
      </c>
      <c r="R14" s="29" t="str" cm="1">
        <f t="array" ref="R14">IFERROR(INDEX(_xlfn.UNIQUE(TRIM(_xlfn.TEXTSPLIT(Table26789[[#This Row],[Selection Options]:[Selection Options]],","))),,R$11),"")</f>
        <v/>
      </c>
      <c r="S14" s="29" t="str" cm="1">
        <f t="array" ref="S14">IFERROR(INDEX(_xlfn.UNIQUE(TRIM(_xlfn.TEXTSPLIT(Table26789[[#This Row],[Selection Options]:[Selection Options]],","))),,S$11),"")</f>
        <v/>
      </c>
      <c r="T14" s="29" t="str" cm="1">
        <f t="array" ref="T14">IFERROR(INDEX(_xlfn.UNIQUE(TRIM(_xlfn.TEXTSPLIT(Table26789[[#This Row],[Selection Options]:[Selection Options]],","))),,T$11),"")</f>
        <v/>
      </c>
      <c r="U14" s="29" t="str" cm="1">
        <f t="array" ref="U14">IFERROR(INDEX(_xlfn.UNIQUE(TRIM(_xlfn.TEXTSPLIT(Table26789[[#This Row],[Selection Options]:[Selection Options]],","))),,U$11),"")</f>
        <v/>
      </c>
      <c r="V14" s="29" t="str" cm="1">
        <f t="array" ref="V14">IFERROR(INDEX(_xlfn.UNIQUE(TRIM(_xlfn.TEXTSPLIT(Table26789[[#This Row],[Selection Options]:[Selection Options]],","))),,V$11),"")</f>
        <v/>
      </c>
      <c r="W14" s="29" t="str" cm="1">
        <f t="array" ref="W14">IFERROR(INDEX(_xlfn.UNIQUE(TRIM(_xlfn.TEXTSPLIT(Table26789[[#This Row],[Selection Options]:[Selection Options]],","))),,W$11),"")</f>
        <v/>
      </c>
      <c r="X14" s="29" t="str" cm="1">
        <f t="array" ref="X14">IFERROR(INDEX(_xlfn.UNIQUE(TRIM(_xlfn.TEXTSPLIT(Table26789[[#This Row],[Selection Options]:[Selection Options]],","))),,X$11),"")</f>
        <v/>
      </c>
      <c r="Y14" s="30" cm="1">
        <f t="array" ref="Y14">IF(Table26789[[#This Row],[1]]="","",Table26789[[#This Row],[Weight]:[Weight]]-(Table26789[[#This Row],[Weight]:[Weight]]*((_xlfn.XMATCH(Table26789[[#This Row],[1]],Table26789[[#This Row],[1]:[11]],0))-1)/(COUNTA(Table26789[[#This Row],[1]:[11]])-COUNTBLANK(Table26789[[#This Row],[1]:[11]])-1)))</f>
        <v>4.1666666666666666E-3</v>
      </c>
      <c r="Z14" s="30" cm="1">
        <f t="array" ref="Z14">IF(Table26789[[#This Row],[2]]="","",Table26789[[#This Row],[Weight]:[Weight]]-(Table26789[[#This Row],[Weight]:[Weight]]*((_xlfn.XMATCH(Table26789[[#This Row],[2]],Table26789[[#This Row],[1]:[11]],0))-1)/(COUNTA(Table26789[[#This Row],[1]:[11]])-COUNTBLANK(Table26789[[#This Row],[1]:[11]])-1)))</f>
        <v>0</v>
      </c>
      <c r="AA14" s="30" t="str" cm="1">
        <f t="array" ref="AA14">IF(Table26789[[#This Row],[3]]="","",Table26789[[#This Row],[Weight]:[Weight]]-(Table26789[[#This Row],[Weight]:[Weight]]*((_xlfn.XMATCH(Table26789[[#This Row],[3]],Table26789[[#This Row],[1]:[11]],0))-1)/(COUNTA(Table26789[[#This Row],[1]:[11]])-COUNTBLANK(Table26789[[#This Row],[1]:[11]])-1)))</f>
        <v/>
      </c>
      <c r="AB14" s="30" t="str" cm="1">
        <f t="array" ref="AB14">IF(Table26789[[#This Row],[4]]="","",Table26789[[#This Row],[Weight]:[Weight]]-(Table26789[[#This Row],[Weight]:[Weight]]*((_xlfn.XMATCH(Table26789[[#This Row],[4]],Table26789[[#This Row],[1]:[11]],0))-1)/(COUNTA(Table26789[[#This Row],[1]:[11]])-COUNTBLANK(Table26789[[#This Row],[1]:[11]])-1)))</f>
        <v/>
      </c>
      <c r="AC14" s="30" t="str" cm="1">
        <f t="array" ref="AC14">IF(Table26789[[#This Row],[5]]="","",Table26789[[#This Row],[Weight]:[Weight]]-(Table26789[[#This Row],[Weight]:[Weight]]*((_xlfn.XMATCH(Table26789[[#This Row],[5]],Table26789[[#This Row],[1]:[11]],0))-1)/(COUNTA(Table26789[[#This Row],[1]:[11]])-COUNTBLANK(Table26789[[#This Row],[1]:[11]])-1)))</f>
        <v/>
      </c>
      <c r="AD14" s="30" t="str" cm="1">
        <f t="array" ref="AD14">IF(Table26789[[#This Row],[6]]="","",Table26789[[#This Row],[Weight]:[Weight]]-(Table26789[[#This Row],[Weight]:[Weight]]*((_xlfn.XMATCH(Table26789[[#This Row],[6]],Table26789[[#This Row],[1]:[11]],0))-1)/(COUNTA(Table26789[[#This Row],[1]:[11]])-COUNTBLANK(Table26789[[#This Row],[1]:[11]])-1)))</f>
        <v/>
      </c>
      <c r="AE14" s="30" t="str" cm="1">
        <f t="array" ref="AE14">IF(Table26789[[#This Row],[7]]="","",Table26789[[#This Row],[Weight]:[Weight]]-(Table26789[[#This Row],[Weight]:[Weight]]*((_xlfn.XMATCH(Table26789[[#This Row],[7]],Table26789[[#This Row],[1]:[11]],0))-1)/(COUNTA(Table26789[[#This Row],[1]:[11]])-COUNTBLANK(Table26789[[#This Row],[1]:[11]])-1)))</f>
        <v/>
      </c>
      <c r="AF14" s="30" t="str" cm="1">
        <f t="array" ref="AF14">IF(Table26789[[#This Row],[8]]="","",Table26789[[#This Row],[Weight]:[Weight]]-(Table26789[[#This Row],[Weight]:[Weight]]*((_xlfn.XMATCH(Table26789[[#This Row],[8]],Table26789[[#This Row],[1]:[11]],0))-1)/(COUNTA(Table26789[[#This Row],[1]:[11]])-COUNTBLANK(Table26789[[#This Row],[1]:[11]])-1)))</f>
        <v/>
      </c>
      <c r="AG14" s="30" t="str" cm="1">
        <f t="array" ref="AG14">IF(Table26789[[#This Row],[9]]="","",Table26789[[#This Row],[Weight]:[Weight]]-(Table26789[[#This Row],[Weight]:[Weight]]*((_xlfn.XMATCH(Table26789[[#This Row],[9]],Table26789[[#This Row],[1]:[11]],0))-1)/(COUNTA(Table26789[[#This Row],[1]:[11]])-COUNTBLANK(Table26789[[#This Row],[1]:[11]])-1)))</f>
        <v/>
      </c>
      <c r="AH14" s="30" t="str" cm="1">
        <f t="array" ref="AH14">IF(Table26789[[#This Row],[10]]="","",Table26789[[#This Row],[Weight]:[Weight]]-(Table26789[[#This Row],[Weight]:[Weight]]*((_xlfn.XMATCH(Table26789[[#This Row],[10]],Table26789[[#This Row],[1]:[11]],0))-1)/(COUNTA(Table26789[[#This Row],[1]:[11]])-COUNTBLANK(Table26789[[#This Row],[1]:[11]])-1)))</f>
        <v/>
      </c>
      <c r="AI14" s="30" t="str" cm="1">
        <f t="array" ref="AI14">IF(Table26789[[#This Row],[11]]="","",Table26789[[#This Row],[Weight]:[Weight]]-(Table26789[[#This Row],[Weight]:[Weight]]*((_xlfn.XMATCH(Table26789[[#This Row],[11]],Table26789[[#This Row],[1]:[11]],0))-1)/(COUNTA(Table26789[[#This Row],[1]:[11]])-COUNTBLANK(Table26789[[#This Row],[1]:[11]])-1)))</f>
        <v/>
      </c>
    </row>
    <row r="15" spans="1:35" ht="90.5" x14ac:dyDescent="0.25">
      <c r="A15" s="32"/>
      <c r="B15" s="175" t="s">
        <v>190</v>
      </c>
      <c r="C15" s="180" t="s">
        <v>191</v>
      </c>
      <c r="D15" s="33"/>
      <c r="E15" s="33"/>
      <c r="F15" s="22" t="s">
        <v>165</v>
      </c>
      <c r="G15" s="35" cm="1">
        <f t="array" ref="G15">_xlfn.IFS(F15="","",F15="No interest",0,F15="Nice to have",1,F15="Useful",2,F15="Important",3,F15="Very important",4,F15="Critical",5,F15="Show stopper",6)</f>
        <v>4</v>
      </c>
      <c r="H15" s="36">
        <f t="shared" si="0"/>
        <v>4.1666666666666666E-3</v>
      </c>
      <c r="I15" s="25" t="s">
        <v>135</v>
      </c>
      <c r="J15" s="25" t="str" cm="1">
        <f t="array" ref="J15">_xlfn.TEXTJOIN(","&amp;CHAR(10),,TEXT(Table26789[[#This Row],[12]:[22]],"0,00%"))</f>
        <v>0,00%,
0,00%</v>
      </c>
      <c r="K15" s="26" t="s">
        <v>120</v>
      </c>
      <c r="L15" s="39">
        <f>H15-(H15*((MATCH(Table26789[[#This Row],[Evaluators Response (SELECT)]],Table26789[[#This Row],[1]:[11]],0)-1)/(COUNTA(Table26789[[#This Row],[1]:[11]])-COUNTBLANK(Table26789[[#This Row],[1]:[11]])-1)))</f>
        <v>4.1666666666666666E-3</v>
      </c>
      <c r="M15" s="40"/>
      <c r="N15" s="29" t="str" cm="1">
        <f t="array" ref="N15">IFERROR(INDEX(_xlfn.UNIQUE(TRIM(_xlfn.TEXTSPLIT(Table26789[[#This Row],[Selection Options]:[Selection Options]],","))),,N$11),"")</f>
        <v>Yes</v>
      </c>
      <c r="O15" s="29" t="str" cm="1">
        <f t="array" ref="O15">IFERROR(INDEX(_xlfn.UNIQUE(TRIM(_xlfn.TEXTSPLIT(Table26789[[#This Row],[Selection Options]:[Selection Options]],","))),,O$11),"")</f>
        <v xml:space="preserve">
No</v>
      </c>
      <c r="P15" s="29" t="str" cm="1">
        <f t="array" ref="P15">IFERROR(INDEX(_xlfn.UNIQUE(TRIM(_xlfn.TEXTSPLIT(Table26789[[#This Row],[Selection Options]:[Selection Options]],","))),,P$11),"")</f>
        <v/>
      </c>
      <c r="Q15" s="29" t="str" cm="1">
        <f t="array" ref="Q15">IFERROR(INDEX(_xlfn.UNIQUE(TRIM(_xlfn.TEXTSPLIT(Table26789[[#This Row],[Selection Options]:[Selection Options]],","))),,Q$11),"")</f>
        <v/>
      </c>
      <c r="R15" s="29" t="str" cm="1">
        <f t="array" ref="R15">IFERROR(INDEX(_xlfn.UNIQUE(TRIM(_xlfn.TEXTSPLIT(Table26789[[#This Row],[Selection Options]:[Selection Options]],","))),,R$11),"")</f>
        <v/>
      </c>
      <c r="S15" s="29" t="str" cm="1">
        <f t="array" ref="S15">IFERROR(INDEX(_xlfn.UNIQUE(TRIM(_xlfn.TEXTSPLIT(Table26789[[#This Row],[Selection Options]:[Selection Options]],","))),,S$11),"")</f>
        <v/>
      </c>
      <c r="T15" s="29" t="str" cm="1">
        <f t="array" ref="T15">IFERROR(INDEX(_xlfn.UNIQUE(TRIM(_xlfn.TEXTSPLIT(Table26789[[#This Row],[Selection Options]:[Selection Options]],","))),,T$11),"")</f>
        <v/>
      </c>
      <c r="U15" s="29" t="str" cm="1">
        <f t="array" ref="U15">IFERROR(INDEX(_xlfn.UNIQUE(TRIM(_xlfn.TEXTSPLIT(Table26789[[#This Row],[Selection Options]:[Selection Options]],","))),,U$11),"")</f>
        <v/>
      </c>
      <c r="V15" s="29" t="str" cm="1">
        <f t="array" ref="V15">IFERROR(INDEX(_xlfn.UNIQUE(TRIM(_xlfn.TEXTSPLIT(Table26789[[#This Row],[Selection Options]:[Selection Options]],","))),,V$11),"")</f>
        <v/>
      </c>
      <c r="W15" s="29" t="str" cm="1">
        <f t="array" ref="W15">IFERROR(INDEX(_xlfn.UNIQUE(TRIM(_xlfn.TEXTSPLIT(Table26789[[#This Row],[Selection Options]:[Selection Options]],","))),,W$11),"")</f>
        <v/>
      </c>
      <c r="X15" s="29" t="str" cm="1">
        <f t="array" ref="X15">IFERROR(INDEX(_xlfn.UNIQUE(TRIM(_xlfn.TEXTSPLIT(Table26789[[#This Row],[Selection Options]:[Selection Options]],","))),,X$11),"")</f>
        <v/>
      </c>
      <c r="Y15" s="30" cm="1">
        <f t="array" ref="Y15">IF(Table26789[[#This Row],[1]]="","",Table26789[[#This Row],[Weight]:[Weight]]-(Table26789[[#This Row],[Weight]:[Weight]]*((_xlfn.XMATCH(Table26789[[#This Row],[1]],Table26789[[#This Row],[1]:[11]],0))-1)/(COUNTA(Table26789[[#This Row],[1]:[11]])-COUNTBLANK(Table26789[[#This Row],[1]:[11]])-1)))</f>
        <v>4.1666666666666666E-3</v>
      </c>
      <c r="Z15" s="30" cm="1">
        <f t="array" ref="Z15">IF(Table26789[[#This Row],[2]]="","",Table26789[[#This Row],[Weight]:[Weight]]-(Table26789[[#This Row],[Weight]:[Weight]]*((_xlfn.XMATCH(Table26789[[#This Row],[2]],Table26789[[#This Row],[1]:[11]],0))-1)/(COUNTA(Table26789[[#This Row],[1]:[11]])-COUNTBLANK(Table26789[[#This Row],[1]:[11]])-1)))</f>
        <v>0</v>
      </c>
      <c r="AA15" s="30" t="str" cm="1">
        <f t="array" ref="AA15">IF(Table26789[[#This Row],[3]]="","",Table26789[[#This Row],[Weight]:[Weight]]-(Table26789[[#This Row],[Weight]:[Weight]]*((_xlfn.XMATCH(Table26789[[#This Row],[3]],Table26789[[#This Row],[1]:[11]],0))-1)/(COUNTA(Table26789[[#This Row],[1]:[11]])-COUNTBLANK(Table26789[[#This Row],[1]:[11]])-1)))</f>
        <v/>
      </c>
      <c r="AB15" s="30" t="str" cm="1">
        <f t="array" ref="AB15">IF(Table26789[[#This Row],[4]]="","",Table26789[[#This Row],[Weight]:[Weight]]-(Table26789[[#This Row],[Weight]:[Weight]]*((_xlfn.XMATCH(Table26789[[#This Row],[4]],Table26789[[#This Row],[1]:[11]],0))-1)/(COUNTA(Table26789[[#This Row],[1]:[11]])-COUNTBLANK(Table26789[[#This Row],[1]:[11]])-1)))</f>
        <v/>
      </c>
      <c r="AC15" s="30" t="str" cm="1">
        <f t="array" ref="AC15">IF(Table26789[[#This Row],[5]]="","",Table26789[[#This Row],[Weight]:[Weight]]-(Table26789[[#This Row],[Weight]:[Weight]]*((_xlfn.XMATCH(Table26789[[#This Row],[5]],Table26789[[#This Row],[1]:[11]],0))-1)/(COUNTA(Table26789[[#This Row],[1]:[11]])-COUNTBLANK(Table26789[[#This Row],[1]:[11]])-1)))</f>
        <v/>
      </c>
      <c r="AD15" s="30" t="str" cm="1">
        <f t="array" ref="AD15">IF(Table26789[[#This Row],[6]]="","",Table26789[[#This Row],[Weight]:[Weight]]-(Table26789[[#This Row],[Weight]:[Weight]]*((_xlfn.XMATCH(Table26789[[#This Row],[6]],Table26789[[#This Row],[1]:[11]],0))-1)/(COUNTA(Table26789[[#This Row],[1]:[11]])-COUNTBLANK(Table26789[[#This Row],[1]:[11]])-1)))</f>
        <v/>
      </c>
      <c r="AE15" s="30" t="str" cm="1">
        <f t="array" ref="AE15">IF(Table26789[[#This Row],[7]]="","",Table26789[[#This Row],[Weight]:[Weight]]-(Table26789[[#This Row],[Weight]:[Weight]]*((_xlfn.XMATCH(Table26789[[#This Row],[7]],Table26789[[#This Row],[1]:[11]],0))-1)/(COUNTA(Table26789[[#This Row],[1]:[11]])-COUNTBLANK(Table26789[[#This Row],[1]:[11]])-1)))</f>
        <v/>
      </c>
      <c r="AF15" s="30" t="str" cm="1">
        <f t="array" ref="AF15">IF(Table26789[[#This Row],[8]]="","",Table26789[[#This Row],[Weight]:[Weight]]-(Table26789[[#This Row],[Weight]:[Weight]]*((_xlfn.XMATCH(Table26789[[#This Row],[8]],Table26789[[#This Row],[1]:[11]],0))-1)/(COUNTA(Table26789[[#This Row],[1]:[11]])-COUNTBLANK(Table26789[[#This Row],[1]:[11]])-1)))</f>
        <v/>
      </c>
      <c r="AG15" s="30" t="str" cm="1">
        <f t="array" ref="AG15">IF(Table26789[[#This Row],[9]]="","",Table26789[[#This Row],[Weight]:[Weight]]-(Table26789[[#This Row],[Weight]:[Weight]]*((_xlfn.XMATCH(Table26789[[#This Row],[9]],Table26789[[#This Row],[1]:[11]],0))-1)/(COUNTA(Table26789[[#This Row],[1]:[11]])-COUNTBLANK(Table26789[[#This Row],[1]:[11]])-1)))</f>
        <v/>
      </c>
      <c r="AH15" s="30" t="str" cm="1">
        <f t="array" ref="AH15">IF(Table26789[[#This Row],[10]]="","",Table26789[[#This Row],[Weight]:[Weight]]-(Table26789[[#This Row],[Weight]:[Weight]]*((_xlfn.XMATCH(Table26789[[#This Row],[10]],Table26789[[#This Row],[1]:[11]],0))-1)/(COUNTA(Table26789[[#This Row],[1]:[11]])-COUNTBLANK(Table26789[[#This Row],[1]:[11]])-1)))</f>
        <v/>
      </c>
      <c r="AI15" s="30" t="str" cm="1">
        <f t="array" ref="AI15">IF(Table26789[[#This Row],[11]]="","",Table26789[[#This Row],[Weight]:[Weight]]-(Table26789[[#This Row],[Weight]:[Weight]]*((_xlfn.XMATCH(Table26789[[#This Row],[11]],Table26789[[#This Row],[1]:[11]],0))-1)/(COUNTA(Table26789[[#This Row],[1]:[11]])-COUNTBLANK(Table26789[[#This Row],[1]:[11]])-1)))</f>
        <v/>
      </c>
    </row>
    <row r="16" spans="1:35" ht="40" x14ac:dyDescent="0.25">
      <c r="A16" s="20"/>
      <c r="B16" s="176" t="s">
        <v>192</v>
      </c>
      <c r="C16" s="181" t="s">
        <v>193</v>
      </c>
      <c r="D16" s="31"/>
      <c r="E16" s="31"/>
      <c r="F16" s="22" t="s">
        <v>165</v>
      </c>
      <c r="G16" s="23" cm="1">
        <f t="array" ref="G16">_xlfn.IFS(F16="","",F16="No interest",0,F16="Nice to have",1,F16="Useful",2,F16="Important",3,F16="Very important",4,F16="Critical",5,F16="Show stopper",6)</f>
        <v>4</v>
      </c>
      <c r="H16" s="24">
        <f t="shared" si="0"/>
        <v>4.1666666666666666E-3</v>
      </c>
      <c r="I16" s="25" t="s">
        <v>135</v>
      </c>
      <c r="J16" s="25" t="str" cm="1">
        <f t="array" ref="J16">_xlfn.TEXTJOIN(","&amp;CHAR(10),,TEXT(Table26789[[#This Row],[12]:[22]],"0,00%"))</f>
        <v>0,00%,
0,00%</v>
      </c>
      <c r="K16" s="26" t="s">
        <v>120</v>
      </c>
      <c r="L16" s="27">
        <f>H16-(H16*((MATCH(Table26789[[#This Row],[Evaluators Response (SELECT)]],Table26789[[#This Row],[1]:[11]],0)-1)/(COUNTA(Table26789[[#This Row],[1]:[11]])-COUNTBLANK(Table26789[[#This Row],[1]:[11]])-1)))</f>
        <v>4.1666666666666666E-3</v>
      </c>
      <c r="M16" s="28"/>
      <c r="N16" s="29" t="str" cm="1">
        <f t="array" ref="N16">IFERROR(INDEX(_xlfn.UNIQUE(TRIM(_xlfn.TEXTSPLIT(Table26789[[#This Row],[Selection Options]:[Selection Options]],","))),,N$11),"")</f>
        <v>Yes</v>
      </c>
      <c r="O16" s="29" t="str" cm="1">
        <f t="array" ref="O16">IFERROR(INDEX(_xlfn.UNIQUE(TRIM(_xlfn.TEXTSPLIT(Table26789[[#This Row],[Selection Options]:[Selection Options]],","))),,O$11),"")</f>
        <v xml:space="preserve">
No</v>
      </c>
      <c r="P16" s="29" t="str" cm="1">
        <f t="array" ref="P16">IFERROR(INDEX(_xlfn.UNIQUE(TRIM(_xlfn.TEXTSPLIT(Table26789[[#This Row],[Selection Options]:[Selection Options]],","))),,P$11),"")</f>
        <v/>
      </c>
      <c r="Q16" s="29" t="str" cm="1">
        <f t="array" ref="Q16">IFERROR(INDEX(_xlfn.UNIQUE(TRIM(_xlfn.TEXTSPLIT(Table26789[[#This Row],[Selection Options]:[Selection Options]],","))),,Q$11),"")</f>
        <v/>
      </c>
      <c r="R16" s="29" t="str" cm="1">
        <f t="array" ref="R16">IFERROR(INDEX(_xlfn.UNIQUE(TRIM(_xlfn.TEXTSPLIT(Table26789[[#This Row],[Selection Options]:[Selection Options]],","))),,R$11),"")</f>
        <v/>
      </c>
      <c r="S16" s="29" t="str" cm="1">
        <f t="array" ref="S16">IFERROR(INDEX(_xlfn.UNIQUE(TRIM(_xlfn.TEXTSPLIT(Table26789[[#This Row],[Selection Options]:[Selection Options]],","))),,S$11),"")</f>
        <v/>
      </c>
      <c r="T16" s="29" t="str" cm="1">
        <f t="array" ref="T16">IFERROR(INDEX(_xlfn.UNIQUE(TRIM(_xlfn.TEXTSPLIT(Table26789[[#This Row],[Selection Options]:[Selection Options]],","))),,T$11),"")</f>
        <v/>
      </c>
      <c r="U16" s="29" t="str" cm="1">
        <f t="array" ref="U16">IFERROR(INDEX(_xlfn.UNIQUE(TRIM(_xlfn.TEXTSPLIT(Table26789[[#This Row],[Selection Options]:[Selection Options]],","))),,U$11),"")</f>
        <v/>
      </c>
      <c r="V16" s="29" t="str" cm="1">
        <f t="array" ref="V16">IFERROR(INDEX(_xlfn.UNIQUE(TRIM(_xlfn.TEXTSPLIT(Table26789[[#This Row],[Selection Options]:[Selection Options]],","))),,V$11),"")</f>
        <v/>
      </c>
      <c r="W16" s="29" t="str" cm="1">
        <f t="array" ref="W16">IFERROR(INDEX(_xlfn.UNIQUE(TRIM(_xlfn.TEXTSPLIT(Table26789[[#This Row],[Selection Options]:[Selection Options]],","))),,W$11),"")</f>
        <v/>
      </c>
      <c r="X16" s="29" t="str" cm="1">
        <f t="array" ref="X16">IFERROR(INDEX(_xlfn.UNIQUE(TRIM(_xlfn.TEXTSPLIT(Table26789[[#This Row],[Selection Options]:[Selection Options]],","))),,X$11),"")</f>
        <v/>
      </c>
      <c r="Y16" s="30" cm="1">
        <f t="array" ref="Y16">IF(Table26789[[#This Row],[1]]="","",Table26789[[#This Row],[Weight]:[Weight]]-(Table26789[[#This Row],[Weight]:[Weight]]*((_xlfn.XMATCH(Table26789[[#This Row],[1]],Table26789[[#This Row],[1]:[11]],0))-1)/(COUNTA(Table26789[[#This Row],[1]:[11]])-COUNTBLANK(Table26789[[#This Row],[1]:[11]])-1)))</f>
        <v>4.1666666666666666E-3</v>
      </c>
      <c r="Z16" s="30" cm="1">
        <f t="array" ref="Z16">IF(Table26789[[#This Row],[2]]="","",Table26789[[#This Row],[Weight]:[Weight]]-(Table26789[[#This Row],[Weight]:[Weight]]*((_xlfn.XMATCH(Table26789[[#This Row],[2]],Table26789[[#This Row],[1]:[11]],0))-1)/(COUNTA(Table26789[[#This Row],[1]:[11]])-COUNTBLANK(Table26789[[#This Row],[1]:[11]])-1)))</f>
        <v>0</v>
      </c>
      <c r="AA16" s="30" t="str" cm="1">
        <f t="array" ref="AA16">IF(Table26789[[#This Row],[3]]="","",Table26789[[#This Row],[Weight]:[Weight]]-(Table26789[[#This Row],[Weight]:[Weight]]*((_xlfn.XMATCH(Table26789[[#This Row],[3]],Table26789[[#This Row],[1]:[11]],0))-1)/(COUNTA(Table26789[[#This Row],[1]:[11]])-COUNTBLANK(Table26789[[#This Row],[1]:[11]])-1)))</f>
        <v/>
      </c>
      <c r="AB16" s="30" t="str" cm="1">
        <f t="array" ref="AB16">IF(Table26789[[#This Row],[4]]="","",Table26789[[#This Row],[Weight]:[Weight]]-(Table26789[[#This Row],[Weight]:[Weight]]*((_xlfn.XMATCH(Table26789[[#This Row],[4]],Table26789[[#This Row],[1]:[11]],0))-1)/(COUNTA(Table26789[[#This Row],[1]:[11]])-COUNTBLANK(Table26789[[#This Row],[1]:[11]])-1)))</f>
        <v/>
      </c>
      <c r="AC16" s="30" t="str" cm="1">
        <f t="array" ref="AC16">IF(Table26789[[#This Row],[5]]="","",Table26789[[#This Row],[Weight]:[Weight]]-(Table26789[[#This Row],[Weight]:[Weight]]*((_xlfn.XMATCH(Table26789[[#This Row],[5]],Table26789[[#This Row],[1]:[11]],0))-1)/(COUNTA(Table26789[[#This Row],[1]:[11]])-COUNTBLANK(Table26789[[#This Row],[1]:[11]])-1)))</f>
        <v/>
      </c>
      <c r="AD16" s="30" t="str" cm="1">
        <f t="array" ref="AD16">IF(Table26789[[#This Row],[6]]="","",Table26789[[#This Row],[Weight]:[Weight]]-(Table26789[[#This Row],[Weight]:[Weight]]*((_xlfn.XMATCH(Table26789[[#This Row],[6]],Table26789[[#This Row],[1]:[11]],0))-1)/(COUNTA(Table26789[[#This Row],[1]:[11]])-COUNTBLANK(Table26789[[#This Row],[1]:[11]])-1)))</f>
        <v/>
      </c>
      <c r="AE16" s="30" t="str" cm="1">
        <f t="array" ref="AE16">IF(Table26789[[#This Row],[7]]="","",Table26789[[#This Row],[Weight]:[Weight]]-(Table26789[[#This Row],[Weight]:[Weight]]*((_xlfn.XMATCH(Table26789[[#This Row],[7]],Table26789[[#This Row],[1]:[11]],0))-1)/(COUNTA(Table26789[[#This Row],[1]:[11]])-COUNTBLANK(Table26789[[#This Row],[1]:[11]])-1)))</f>
        <v/>
      </c>
      <c r="AF16" s="30" t="str" cm="1">
        <f t="array" ref="AF16">IF(Table26789[[#This Row],[8]]="","",Table26789[[#This Row],[Weight]:[Weight]]-(Table26789[[#This Row],[Weight]:[Weight]]*((_xlfn.XMATCH(Table26789[[#This Row],[8]],Table26789[[#This Row],[1]:[11]],0))-1)/(COUNTA(Table26789[[#This Row],[1]:[11]])-COUNTBLANK(Table26789[[#This Row],[1]:[11]])-1)))</f>
        <v/>
      </c>
      <c r="AG16" s="30" t="str" cm="1">
        <f t="array" ref="AG16">IF(Table26789[[#This Row],[9]]="","",Table26789[[#This Row],[Weight]:[Weight]]-(Table26789[[#This Row],[Weight]:[Weight]]*((_xlfn.XMATCH(Table26789[[#This Row],[9]],Table26789[[#This Row],[1]:[11]],0))-1)/(COUNTA(Table26789[[#This Row],[1]:[11]])-COUNTBLANK(Table26789[[#This Row],[1]:[11]])-1)))</f>
        <v/>
      </c>
      <c r="AH16" s="30" t="str" cm="1">
        <f t="array" ref="AH16">IF(Table26789[[#This Row],[10]]="","",Table26789[[#This Row],[Weight]:[Weight]]-(Table26789[[#This Row],[Weight]:[Weight]]*((_xlfn.XMATCH(Table26789[[#This Row],[10]],Table26789[[#This Row],[1]:[11]],0))-1)/(COUNTA(Table26789[[#This Row],[1]:[11]])-COUNTBLANK(Table26789[[#This Row],[1]:[11]])-1)))</f>
        <v/>
      </c>
      <c r="AI16" s="30" t="str" cm="1">
        <f t="array" ref="AI16">IF(Table26789[[#This Row],[11]]="","",Table26789[[#This Row],[Weight]:[Weight]]-(Table26789[[#This Row],[Weight]:[Weight]]*((_xlfn.XMATCH(Table26789[[#This Row],[11]],Table26789[[#This Row],[1]:[11]],0))-1)/(COUNTA(Table26789[[#This Row],[1]:[11]])-COUNTBLANK(Table26789[[#This Row],[1]:[11]])-1)))</f>
        <v/>
      </c>
    </row>
    <row r="17" spans="1:35" ht="120.5" x14ac:dyDescent="0.25">
      <c r="A17" s="20"/>
      <c r="B17" s="182" t="s">
        <v>194</v>
      </c>
      <c r="C17" s="183" t="s">
        <v>195</v>
      </c>
      <c r="D17" s="31"/>
      <c r="E17" s="31"/>
      <c r="F17" s="22" t="s">
        <v>165</v>
      </c>
      <c r="G17" s="23" cm="1">
        <f t="array" ref="G17">_xlfn.IFS(F17="","",F17="No interest",0,F17="Nice to have",1,F17="Useful",2,F17="Important",3,F17="Very important",4,F17="Critical",5,F17="Show stopper",6)</f>
        <v>4</v>
      </c>
      <c r="H17" s="24">
        <f>(G17/$G$11)*$F$11</f>
        <v>4.1666666666666666E-3</v>
      </c>
      <c r="I17" s="25" t="s">
        <v>135</v>
      </c>
      <c r="J17" s="25" t="str" cm="1">
        <f t="array" ref="J17">_xlfn.TEXTJOIN(","&amp;CHAR(10),,TEXT(Table26789[[#This Row],[12]:[22]],"0,00%"))</f>
        <v>0,00%,
0,00%</v>
      </c>
      <c r="K17" s="26" t="s">
        <v>120</v>
      </c>
      <c r="L17" s="27">
        <f>H17-(H17*((MATCH(Table26789[[#This Row],[Evaluators Response (SELECT)]],Table26789[[#This Row],[1]:[11]],0)-1)/(COUNTA(Table26789[[#This Row],[1]:[11]])-COUNTBLANK(Table26789[[#This Row],[1]:[11]])-1)))</f>
        <v>4.1666666666666666E-3</v>
      </c>
      <c r="M17" s="28"/>
      <c r="N17" s="29" t="str" cm="1">
        <f t="array" ref="N17">IFERROR(INDEX(_xlfn.UNIQUE(TRIM(_xlfn.TEXTSPLIT(Table26789[[#This Row],[Selection Options]:[Selection Options]],","))),,N$11),"")</f>
        <v>Yes</v>
      </c>
      <c r="O17" s="29" t="str" cm="1">
        <f t="array" ref="O17">IFERROR(INDEX(_xlfn.UNIQUE(TRIM(_xlfn.TEXTSPLIT(Table26789[[#This Row],[Selection Options]:[Selection Options]],","))),,O$11),"")</f>
        <v xml:space="preserve">
No</v>
      </c>
      <c r="P17" s="29" t="str" cm="1">
        <f t="array" ref="P17">IFERROR(INDEX(_xlfn.UNIQUE(TRIM(_xlfn.TEXTSPLIT(Table26789[[#This Row],[Selection Options]:[Selection Options]],","))),,P$11),"")</f>
        <v/>
      </c>
      <c r="Q17" s="29" t="str" cm="1">
        <f t="array" ref="Q17">IFERROR(INDEX(_xlfn.UNIQUE(TRIM(_xlfn.TEXTSPLIT(Table26789[[#This Row],[Selection Options]:[Selection Options]],","))),,Q$11),"")</f>
        <v/>
      </c>
      <c r="R17" s="29" t="str" cm="1">
        <f t="array" ref="R17">IFERROR(INDEX(_xlfn.UNIQUE(TRIM(_xlfn.TEXTSPLIT(Table26789[[#This Row],[Selection Options]:[Selection Options]],","))),,R$11),"")</f>
        <v/>
      </c>
      <c r="S17" s="29" t="str" cm="1">
        <f t="array" ref="S17">IFERROR(INDEX(_xlfn.UNIQUE(TRIM(_xlfn.TEXTSPLIT(Table26789[[#This Row],[Selection Options]:[Selection Options]],","))),,S$11),"")</f>
        <v/>
      </c>
      <c r="T17" s="29" t="str" cm="1">
        <f t="array" ref="T17">IFERROR(INDEX(_xlfn.UNIQUE(TRIM(_xlfn.TEXTSPLIT(Table26789[[#This Row],[Selection Options]:[Selection Options]],","))),,T$11),"")</f>
        <v/>
      </c>
      <c r="U17" s="29" t="str" cm="1">
        <f t="array" ref="U17">IFERROR(INDEX(_xlfn.UNIQUE(TRIM(_xlfn.TEXTSPLIT(Table26789[[#This Row],[Selection Options]:[Selection Options]],","))),,U$11),"")</f>
        <v/>
      </c>
      <c r="V17" s="29" t="str" cm="1">
        <f t="array" ref="V17">IFERROR(INDEX(_xlfn.UNIQUE(TRIM(_xlfn.TEXTSPLIT(Table26789[[#This Row],[Selection Options]:[Selection Options]],","))),,V$11),"")</f>
        <v/>
      </c>
      <c r="W17" s="29" t="str" cm="1">
        <f t="array" ref="W17">IFERROR(INDEX(_xlfn.UNIQUE(TRIM(_xlfn.TEXTSPLIT(Table26789[[#This Row],[Selection Options]:[Selection Options]],","))),,W$11),"")</f>
        <v/>
      </c>
      <c r="X17" s="29" t="str" cm="1">
        <f t="array" ref="X17">IFERROR(INDEX(_xlfn.UNIQUE(TRIM(_xlfn.TEXTSPLIT(Table26789[[#This Row],[Selection Options]:[Selection Options]],","))),,X$11),"")</f>
        <v/>
      </c>
      <c r="Y17" s="30" cm="1">
        <f t="array" ref="Y17">IF(Table26789[[#This Row],[1]]="","",Table26789[[#This Row],[Weight]:[Weight]]-(Table26789[[#This Row],[Weight]:[Weight]]*((_xlfn.XMATCH(Table26789[[#This Row],[1]],Table26789[[#This Row],[1]:[11]],0))-1)/(COUNTA(Table26789[[#This Row],[1]:[11]])-COUNTBLANK(Table26789[[#This Row],[1]:[11]])-1)))</f>
        <v>4.1666666666666666E-3</v>
      </c>
      <c r="Z17" s="30" cm="1">
        <f t="array" ref="Z17">IF(Table26789[[#This Row],[2]]="","",Table26789[[#This Row],[Weight]:[Weight]]-(Table26789[[#This Row],[Weight]:[Weight]]*((_xlfn.XMATCH(Table26789[[#This Row],[2]],Table26789[[#This Row],[1]:[11]],0))-1)/(COUNTA(Table26789[[#This Row],[1]:[11]])-COUNTBLANK(Table26789[[#This Row],[1]:[11]])-1)))</f>
        <v>0</v>
      </c>
      <c r="AA17" s="30" t="str" cm="1">
        <f t="array" ref="AA17">IF(Table26789[[#This Row],[3]]="","",Table26789[[#This Row],[Weight]:[Weight]]-(Table26789[[#This Row],[Weight]:[Weight]]*((_xlfn.XMATCH(Table26789[[#This Row],[3]],Table26789[[#This Row],[1]:[11]],0))-1)/(COUNTA(Table26789[[#This Row],[1]:[11]])-COUNTBLANK(Table26789[[#This Row],[1]:[11]])-1)))</f>
        <v/>
      </c>
      <c r="AB17" s="30" t="str" cm="1">
        <f t="array" ref="AB17">IF(Table26789[[#This Row],[4]]="","",Table26789[[#This Row],[Weight]:[Weight]]-(Table26789[[#This Row],[Weight]:[Weight]]*((_xlfn.XMATCH(Table26789[[#This Row],[4]],Table26789[[#This Row],[1]:[11]],0))-1)/(COUNTA(Table26789[[#This Row],[1]:[11]])-COUNTBLANK(Table26789[[#This Row],[1]:[11]])-1)))</f>
        <v/>
      </c>
      <c r="AC17" s="30" t="str" cm="1">
        <f t="array" ref="AC17">IF(Table26789[[#This Row],[5]]="","",Table26789[[#This Row],[Weight]:[Weight]]-(Table26789[[#This Row],[Weight]:[Weight]]*((_xlfn.XMATCH(Table26789[[#This Row],[5]],Table26789[[#This Row],[1]:[11]],0))-1)/(COUNTA(Table26789[[#This Row],[1]:[11]])-COUNTBLANK(Table26789[[#This Row],[1]:[11]])-1)))</f>
        <v/>
      </c>
      <c r="AD17" s="30" t="str" cm="1">
        <f t="array" ref="AD17">IF(Table26789[[#This Row],[6]]="","",Table26789[[#This Row],[Weight]:[Weight]]-(Table26789[[#This Row],[Weight]:[Weight]]*((_xlfn.XMATCH(Table26789[[#This Row],[6]],Table26789[[#This Row],[1]:[11]],0))-1)/(COUNTA(Table26789[[#This Row],[1]:[11]])-COUNTBLANK(Table26789[[#This Row],[1]:[11]])-1)))</f>
        <v/>
      </c>
      <c r="AE17" s="30" t="str" cm="1">
        <f t="array" ref="AE17">IF(Table26789[[#This Row],[7]]="","",Table26789[[#This Row],[Weight]:[Weight]]-(Table26789[[#This Row],[Weight]:[Weight]]*((_xlfn.XMATCH(Table26789[[#This Row],[7]],Table26789[[#This Row],[1]:[11]],0))-1)/(COUNTA(Table26789[[#This Row],[1]:[11]])-COUNTBLANK(Table26789[[#This Row],[1]:[11]])-1)))</f>
        <v/>
      </c>
      <c r="AF17" s="30" t="str" cm="1">
        <f t="array" ref="AF17">IF(Table26789[[#This Row],[8]]="","",Table26789[[#This Row],[Weight]:[Weight]]-(Table26789[[#This Row],[Weight]:[Weight]]*((_xlfn.XMATCH(Table26789[[#This Row],[8]],Table26789[[#This Row],[1]:[11]],0))-1)/(COUNTA(Table26789[[#This Row],[1]:[11]])-COUNTBLANK(Table26789[[#This Row],[1]:[11]])-1)))</f>
        <v/>
      </c>
      <c r="AG17" s="30" t="str" cm="1">
        <f t="array" ref="AG17">IF(Table26789[[#This Row],[9]]="","",Table26789[[#This Row],[Weight]:[Weight]]-(Table26789[[#This Row],[Weight]:[Weight]]*((_xlfn.XMATCH(Table26789[[#This Row],[9]],Table26789[[#This Row],[1]:[11]],0))-1)/(COUNTA(Table26789[[#This Row],[1]:[11]])-COUNTBLANK(Table26789[[#This Row],[1]:[11]])-1)))</f>
        <v/>
      </c>
      <c r="AH17" s="30" t="str" cm="1">
        <f t="array" ref="AH17">IF(Table26789[[#This Row],[10]]="","",Table26789[[#This Row],[Weight]:[Weight]]-(Table26789[[#This Row],[Weight]:[Weight]]*((_xlfn.XMATCH(Table26789[[#This Row],[10]],Table26789[[#This Row],[1]:[11]],0))-1)/(COUNTA(Table26789[[#This Row],[1]:[11]])-COUNTBLANK(Table26789[[#This Row],[1]:[11]])-1)))</f>
        <v/>
      </c>
      <c r="AI17" s="30" t="str" cm="1">
        <f t="array" ref="AI17">IF(Table26789[[#This Row],[11]]="","",Table26789[[#This Row],[Weight]:[Weight]]-(Table26789[[#This Row],[Weight]:[Weight]]*((_xlfn.XMATCH(Table26789[[#This Row],[11]],Table26789[[#This Row],[1]:[11]],0))-1)/(COUNTA(Table26789[[#This Row],[1]:[11]])-COUNTBLANK(Table26789[[#This Row],[1]:[11]])-1)))</f>
        <v/>
      </c>
    </row>
    <row r="18" spans="1:35" ht="70.5" x14ac:dyDescent="0.25">
      <c r="A18" s="32"/>
      <c r="B18" s="175" t="s">
        <v>196</v>
      </c>
      <c r="C18" s="184" t="s">
        <v>197</v>
      </c>
      <c r="D18" s="33"/>
      <c r="E18" s="33"/>
      <c r="F18" s="22" t="s">
        <v>165</v>
      </c>
      <c r="G18" s="35" cm="1">
        <f t="array" ref="G18">_xlfn.IFS(F18="","",F18="No interest",0,F18="Nice to have",1,F18="Useful",2,F18="Important",3,F18="Very important",4,F18="Critical",5,F18="Show stopper",6)</f>
        <v>4</v>
      </c>
      <c r="H18" s="36">
        <f t="shared" ref="H18:H31" si="1">(G18/$G$11)*$F$11</f>
        <v>4.1666666666666666E-3</v>
      </c>
      <c r="I18" s="25" t="s">
        <v>135</v>
      </c>
      <c r="J18" s="25" t="str" cm="1">
        <f t="array" ref="J18">_xlfn.TEXTJOIN(","&amp;CHAR(10),,TEXT(Table26789[[#This Row],[12]:[22]],"0,00%"))</f>
        <v>0,00%,
0,00%</v>
      </c>
      <c r="K18" s="26" t="s">
        <v>120</v>
      </c>
      <c r="L18" s="39">
        <f>H18-(H18*((MATCH(Table26789[[#This Row],[Evaluators Response (SELECT)]],Table26789[[#This Row],[1]:[11]],0)-1)/(COUNTA(Table26789[[#This Row],[1]:[11]])-COUNTBLANK(Table26789[[#This Row],[1]:[11]])-1)))</f>
        <v>4.1666666666666666E-3</v>
      </c>
      <c r="M18" s="40"/>
      <c r="N18" s="29" t="str" cm="1">
        <f t="array" ref="N18">IFERROR(INDEX(_xlfn.UNIQUE(TRIM(_xlfn.TEXTSPLIT(Table26789[[#This Row],[Selection Options]:[Selection Options]],","))),,N$11),"")</f>
        <v>Yes</v>
      </c>
      <c r="O18" s="29" t="str" cm="1">
        <f t="array" ref="O18">IFERROR(INDEX(_xlfn.UNIQUE(TRIM(_xlfn.TEXTSPLIT(Table26789[[#This Row],[Selection Options]:[Selection Options]],","))),,O$11),"")</f>
        <v xml:space="preserve">
No</v>
      </c>
      <c r="P18" s="29" t="str" cm="1">
        <f t="array" ref="P18">IFERROR(INDEX(_xlfn.UNIQUE(TRIM(_xlfn.TEXTSPLIT(Table26789[[#This Row],[Selection Options]:[Selection Options]],","))),,P$11),"")</f>
        <v/>
      </c>
      <c r="Q18" s="29" t="str" cm="1">
        <f t="array" ref="Q18">IFERROR(INDEX(_xlfn.UNIQUE(TRIM(_xlfn.TEXTSPLIT(Table26789[[#This Row],[Selection Options]:[Selection Options]],","))),,Q$11),"")</f>
        <v/>
      </c>
      <c r="R18" s="29" t="str" cm="1">
        <f t="array" ref="R18">IFERROR(INDEX(_xlfn.UNIQUE(TRIM(_xlfn.TEXTSPLIT(Table26789[[#This Row],[Selection Options]:[Selection Options]],","))),,R$11),"")</f>
        <v/>
      </c>
      <c r="S18" s="29" t="str" cm="1">
        <f t="array" ref="S18">IFERROR(INDEX(_xlfn.UNIQUE(TRIM(_xlfn.TEXTSPLIT(Table26789[[#This Row],[Selection Options]:[Selection Options]],","))),,S$11),"")</f>
        <v/>
      </c>
      <c r="T18" s="29" t="str" cm="1">
        <f t="array" ref="T18">IFERROR(INDEX(_xlfn.UNIQUE(TRIM(_xlfn.TEXTSPLIT(Table26789[[#This Row],[Selection Options]:[Selection Options]],","))),,T$11),"")</f>
        <v/>
      </c>
      <c r="U18" s="29" t="str" cm="1">
        <f t="array" ref="U18">IFERROR(INDEX(_xlfn.UNIQUE(TRIM(_xlfn.TEXTSPLIT(Table26789[[#This Row],[Selection Options]:[Selection Options]],","))),,U$11),"")</f>
        <v/>
      </c>
      <c r="V18" s="29" t="str" cm="1">
        <f t="array" ref="V18">IFERROR(INDEX(_xlfn.UNIQUE(TRIM(_xlfn.TEXTSPLIT(Table26789[[#This Row],[Selection Options]:[Selection Options]],","))),,V$11),"")</f>
        <v/>
      </c>
      <c r="W18" s="29" t="str" cm="1">
        <f t="array" ref="W18">IFERROR(INDEX(_xlfn.UNIQUE(TRIM(_xlfn.TEXTSPLIT(Table26789[[#This Row],[Selection Options]:[Selection Options]],","))),,W$11),"")</f>
        <v/>
      </c>
      <c r="X18" s="29" t="str" cm="1">
        <f t="array" ref="X18">IFERROR(INDEX(_xlfn.UNIQUE(TRIM(_xlfn.TEXTSPLIT(Table26789[[#This Row],[Selection Options]:[Selection Options]],","))),,X$11),"")</f>
        <v/>
      </c>
      <c r="Y18" s="30" cm="1">
        <f t="array" ref="Y18">IF(Table26789[[#This Row],[1]]="","",Table26789[[#This Row],[Weight]:[Weight]]-(Table26789[[#This Row],[Weight]:[Weight]]*((_xlfn.XMATCH(Table26789[[#This Row],[1]],Table26789[[#This Row],[1]:[11]],0))-1)/(COUNTA(Table26789[[#This Row],[1]:[11]])-COUNTBLANK(Table26789[[#This Row],[1]:[11]])-1)))</f>
        <v>4.1666666666666666E-3</v>
      </c>
      <c r="Z18" s="30" cm="1">
        <f t="array" ref="Z18">IF(Table26789[[#This Row],[2]]="","",Table26789[[#This Row],[Weight]:[Weight]]-(Table26789[[#This Row],[Weight]:[Weight]]*((_xlfn.XMATCH(Table26789[[#This Row],[2]],Table26789[[#This Row],[1]:[11]],0))-1)/(COUNTA(Table26789[[#This Row],[1]:[11]])-COUNTBLANK(Table26789[[#This Row],[1]:[11]])-1)))</f>
        <v>0</v>
      </c>
      <c r="AA18" s="30" t="str" cm="1">
        <f t="array" ref="AA18">IF(Table26789[[#This Row],[3]]="","",Table26789[[#This Row],[Weight]:[Weight]]-(Table26789[[#This Row],[Weight]:[Weight]]*((_xlfn.XMATCH(Table26789[[#This Row],[3]],Table26789[[#This Row],[1]:[11]],0))-1)/(COUNTA(Table26789[[#This Row],[1]:[11]])-COUNTBLANK(Table26789[[#This Row],[1]:[11]])-1)))</f>
        <v/>
      </c>
      <c r="AB18" s="30" t="str" cm="1">
        <f t="array" ref="AB18">IF(Table26789[[#This Row],[4]]="","",Table26789[[#This Row],[Weight]:[Weight]]-(Table26789[[#This Row],[Weight]:[Weight]]*((_xlfn.XMATCH(Table26789[[#This Row],[4]],Table26789[[#This Row],[1]:[11]],0))-1)/(COUNTA(Table26789[[#This Row],[1]:[11]])-COUNTBLANK(Table26789[[#This Row],[1]:[11]])-1)))</f>
        <v/>
      </c>
      <c r="AC18" s="30" t="str" cm="1">
        <f t="array" ref="AC18">IF(Table26789[[#This Row],[5]]="","",Table26789[[#This Row],[Weight]:[Weight]]-(Table26789[[#This Row],[Weight]:[Weight]]*((_xlfn.XMATCH(Table26789[[#This Row],[5]],Table26789[[#This Row],[1]:[11]],0))-1)/(COUNTA(Table26789[[#This Row],[1]:[11]])-COUNTBLANK(Table26789[[#This Row],[1]:[11]])-1)))</f>
        <v/>
      </c>
      <c r="AD18" s="30" t="str" cm="1">
        <f t="array" ref="AD18">IF(Table26789[[#This Row],[6]]="","",Table26789[[#This Row],[Weight]:[Weight]]-(Table26789[[#This Row],[Weight]:[Weight]]*((_xlfn.XMATCH(Table26789[[#This Row],[6]],Table26789[[#This Row],[1]:[11]],0))-1)/(COUNTA(Table26789[[#This Row],[1]:[11]])-COUNTBLANK(Table26789[[#This Row],[1]:[11]])-1)))</f>
        <v/>
      </c>
      <c r="AE18" s="30" t="str" cm="1">
        <f t="array" ref="AE18">IF(Table26789[[#This Row],[7]]="","",Table26789[[#This Row],[Weight]:[Weight]]-(Table26789[[#This Row],[Weight]:[Weight]]*((_xlfn.XMATCH(Table26789[[#This Row],[7]],Table26789[[#This Row],[1]:[11]],0))-1)/(COUNTA(Table26789[[#This Row],[1]:[11]])-COUNTBLANK(Table26789[[#This Row],[1]:[11]])-1)))</f>
        <v/>
      </c>
      <c r="AF18" s="30" t="str" cm="1">
        <f t="array" ref="AF18">IF(Table26789[[#This Row],[8]]="","",Table26789[[#This Row],[Weight]:[Weight]]-(Table26789[[#This Row],[Weight]:[Weight]]*((_xlfn.XMATCH(Table26789[[#This Row],[8]],Table26789[[#This Row],[1]:[11]],0))-1)/(COUNTA(Table26789[[#This Row],[1]:[11]])-COUNTBLANK(Table26789[[#This Row],[1]:[11]])-1)))</f>
        <v/>
      </c>
      <c r="AG18" s="30" t="str" cm="1">
        <f t="array" ref="AG18">IF(Table26789[[#This Row],[9]]="","",Table26789[[#This Row],[Weight]:[Weight]]-(Table26789[[#This Row],[Weight]:[Weight]]*((_xlfn.XMATCH(Table26789[[#This Row],[9]],Table26789[[#This Row],[1]:[11]],0))-1)/(COUNTA(Table26789[[#This Row],[1]:[11]])-COUNTBLANK(Table26789[[#This Row],[1]:[11]])-1)))</f>
        <v/>
      </c>
      <c r="AH18" s="30" t="str" cm="1">
        <f t="array" ref="AH18">IF(Table26789[[#This Row],[10]]="","",Table26789[[#This Row],[Weight]:[Weight]]-(Table26789[[#This Row],[Weight]:[Weight]]*((_xlfn.XMATCH(Table26789[[#This Row],[10]],Table26789[[#This Row],[1]:[11]],0))-1)/(COUNTA(Table26789[[#This Row],[1]:[11]])-COUNTBLANK(Table26789[[#This Row],[1]:[11]])-1)))</f>
        <v/>
      </c>
      <c r="AI18" s="30" t="str" cm="1">
        <f t="array" ref="AI18">IF(Table26789[[#This Row],[11]]="","",Table26789[[#This Row],[Weight]:[Weight]]-(Table26789[[#This Row],[Weight]:[Weight]]*((_xlfn.XMATCH(Table26789[[#This Row],[11]],Table26789[[#This Row],[1]:[11]],0))-1)/(COUNTA(Table26789[[#This Row],[1]:[11]])-COUNTBLANK(Table26789[[#This Row],[1]:[11]])-1)))</f>
        <v/>
      </c>
    </row>
    <row r="19" spans="1:35" ht="70" x14ac:dyDescent="0.25">
      <c r="A19" s="32"/>
      <c r="B19" s="186" t="s">
        <v>198</v>
      </c>
      <c r="C19" s="185" t="s">
        <v>199</v>
      </c>
      <c r="D19" s="33"/>
      <c r="E19" s="33"/>
      <c r="F19" s="22" t="s">
        <v>165</v>
      </c>
      <c r="G19" s="35" cm="1">
        <f t="array" ref="G19">_xlfn.IFS(F19="","",F19="No interest",0,F19="Nice to have",1,F19="Useful",2,F19="Important",3,F19="Very important",4,F19="Critical",5,F19="Show stopper",6)</f>
        <v>4</v>
      </c>
      <c r="H19" s="36">
        <f t="shared" si="1"/>
        <v>4.1666666666666666E-3</v>
      </c>
      <c r="I19" s="25" t="s">
        <v>135</v>
      </c>
      <c r="J19" s="25" t="str" cm="1">
        <f t="array" ref="J19">_xlfn.TEXTJOIN(","&amp;CHAR(10),,TEXT(Table26789[[#This Row],[12]:[22]],"0,00%"))</f>
        <v>0,00%,
0,00%</v>
      </c>
      <c r="K19" s="26" t="s">
        <v>120</v>
      </c>
      <c r="L19" s="39">
        <f>H19-(H19*((MATCH(Table26789[[#This Row],[Evaluators Response (SELECT)]],Table26789[[#This Row],[1]:[11]],0)-1)/(COUNTA(Table26789[[#This Row],[1]:[11]])-COUNTBLANK(Table26789[[#This Row],[1]:[11]])-1)))</f>
        <v>4.1666666666666666E-3</v>
      </c>
      <c r="M19" s="40"/>
      <c r="N19" s="29" t="str" cm="1">
        <f t="array" ref="N19">IFERROR(INDEX(_xlfn.UNIQUE(TRIM(_xlfn.TEXTSPLIT(Table26789[[#This Row],[Selection Options]:[Selection Options]],","))),,N$11),"")</f>
        <v>Yes</v>
      </c>
      <c r="O19" s="29" t="str" cm="1">
        <f t="array" ref="O19">IFERROR(INDEX(_xlfn.UNIQUE(TRIM(_xlfn.TEXTSPLIT(Table26789[[#This Row],[Selection Options]:[Selection Options]],","))),,O$11),"")</f>
        <v xml:space="preserve">
No</v>
      </c>
      <c r="P19" s="29" t="str" cm="1">
        <f t="array" ref="P19">IFERROR(INDEX(_xlfn.UNIQUE(TRIM(_xlfn.TEXTSPLIT(Table26789[[#This Row],[Selection Options]:[Selection Options]],","))),,P$11),"")</f>
        <v/>
      </c>
      <c r="Q19" s="29" t="str" cm="1">
        <f t="array" ref="Q19">IFERROR(INDEX(_xlfn.UNIQUE(TRIM(_xlfn.TEXTSPLIT(Table26789[[#This Row],[Selection Options]:[Selection Options]],","))),,Q$11),"")</f>
        <v/>
      </c>
      <c r="R19" s="29" t="str" cm="1">
        <f t="array" ref="R19">IFERROR(INDEX(_xlfn.UNIQUE(TRIM(_xlfn.TEXTSPLIT(Table26789[[#This Row],[Selection Options]:[Selection Options]],","))),,R$11),"")</f>
        <v/>
      </c>
      <c r="S19" s="29" t="str" cm="1">
        <f t="array" ref="S19">IFERROR(INDEX(_xlfn.UNIQUE(TRIM(_xlfn.TEXTSPLIT(Table26789[[#This Row],[Selection Options]:[Selection Options]],","))),,S$11),"")</f>
        <v/>
      </c>
      <c r="T19" s="29" t="str" cm="1">
        <f t="array" ref="T19">IFERROR(INDEX(_xlfn.UNIQUE(TRIM(_xlfn.TEXTSPLIT(Table26789[[#This Row],[Selection Options]:[Selection Options]],","))),,T$11),"")</f>
        <v/>
      </c>
      <c r="U19" s="29" t="str" cm="1">
        <f t="array" ref="U19">IFERROR(INDEX(_xlfn.UNIQUE(TRIM(_xlfn.TEXTSPLIT(Table26789[[#This Row],[Selection Options]:[Selection Options]],","))),,U$11),"")</f>
        <v/>
      </c>
      <c r="V19" s="29" t="str" cm="1">
        <f t="array" ref="V19">IFERROR(INDEX(_xlfn.UNIQUE(TRIM(_xlfn.TEXTSPLIT(Table26789[[#This Row],[Selection Options]:[Selection Options]],","))),,V$11),"")</f>
        <v/>
      </c>
      <c r="W19" s="29" t="str" cm="1">
        <f t="array" ref="W19">IFERROR(INDEX(_xlfn.UNIQUE(TRIM(_xlfn.TEXTSPLIT(Table26789[[#This Row],[Selection Options]:[Selection Options]],","))),,W$11),"")</f>
        <v/>
      </c>
      <c r="X19" s="29" t="str" cm="1">
        <f t="array" ref="X19">IFERROR(INDEX(_xlfn.UNIQUE(TRIM(_xlfn.TEXTSPLIT(Table26789[[#This Row],[Selection Options]:[Selection Options]],","))),,X$11),"")</f>
        <v/>
      </c>
      <c r="Y19" s="30" cm="1">
        <f t="array" ref="Y19">IF(Table26789[[#This Row],[1]]="","",Table26789[[#This Row],[Weight]:[Weight]]-(Table26789[[#This Row],[Weight]:[Weight]]*((_xlfn.XMATCH(Table26789[[#This Row],[1]],Table26789[[#This Row],[1]:[11]],0))-1)/(COUNTA(Table26789[[#This Row],[1]:[11]])-COUNTBLANK(Table26789[[#This Row],[1]:[11]])-1)))</f>
        <v>4.1666666666666666E-3</v>
      </c>
      <c r="Z19" s="30" cm="1">
        <f t="array" ref="Z19">IF(Table26789[[#This Row],[2]]="","",Table26789[[#This Row],[Weight]:[Weight]]-(Table26789[[#This Row],[Weight]:[Weight]]*((_xlfn.XMATCH(Table26789[[#This Row],[2]],Table26789[[#This Row],[1]:[11]],0))-1)/(COUNTA(Table26789[[#This Row],[1]:[11]])-COUNTBLANK(Table26789[[#This Row],[1]:[11]])-1)))</f>
        <v>0</v>
      </c>
      <c r="AA19" s="30" t="str" cm="1">
        <f t="array" ref="AA19">IF(Table26789[[#This Row],[3]]="","",Table26789[[#This Row],[Weight]:[Weight]]-(Table26789[[#This Row],[Weight]:[Weight]]*((_xlfn.XMATCH(Table26789[[#This Row],[3]],Table26789[[#This Row],[1]:[11]],0))-1)/(COUNTA(Table26789[[#This Row],[1]:[11]])-COUNTBLANK(Table26789[[#This Row],[1]:[11]])-1)))</f>
        <v/>
      </c>
      <c r="AB19" s="30" t="str" cm="1">
        <f t="array" ref="AB19">IF(Table26789[[#This Row],[4]]="","",Table26789[[#This Row],[Weight]:[Weight]]-(Table26789[[#This Row],[Weight]:[Weight]]*((_xlfn.XMATCH(Table26789[[#This Row],[4]],Table26789[[#This Row],[1]:[11]],0))-1)/(COUNTA(Table26789[[#This Row],[1]:[11]])-COUNTBLANK(Table26789[[#This Row],[1]:[11]])-1)))</f>
        <v/>
      </c>
      <c r="AC19" s="30" t="str" cm="1">
        <f t="array" ref="AC19">IF(Table26789[[#This Row],[5]]="","",Table26789[[#This Row],[Weight]:[Weight]]-(Table26789[[#This Row],[Weight]:[Weight]]*((_xlfn.XMATCH(Table26789[[#This Row],[5]],Table26789[[#This Row],[1]:[11]],0))-1)/(COUNTA(Table26789[[#This Row],[1]:[11]])-COUNTBLANK(Table26789[[#This Row],[1]:[11]])-1)))</f>
        <v/>
      </c>
      <c r="AD19" s="30" t="str" cm="1">
        <f t="array" ref="AD19">IF(Table26789[[#This Row],[6]]="","",Table26789[[#This Row],[Weight]:[Weight]]-(Table26789[[#This Row],[Weight]:[Weight]]*((_xlfn.XMATCH(Table26789[[#This Row],[6]],Table26789[[#This Row],[1]:[11]],0))-1)/(COUNTA(Table26789[[#This Row],[1]:[11]])-COUNTBLANK(Table26789[[#This Row],[1]:[11]])-1)))</f>
        <v/>
      </c>
      <c r="AE19" s="30" t="str" cm="1">
        <f t="array" ref="AE19">IF(Table26789[[#This Row],[7]]="","",Table26789[[#This Row],[Weight]:[Weight]]-(Table26789[[#This Row],[Weight]:[Weight]]*((_xlfn.XMATCH(Table26789[[#This Row],[7]],Table26789[[#This Row],[1]:[11]],0))-1)/(COUNTA(Table26789[[#This Row],[1]:[11]])-COUNTBLANK(Table26789[[#This Row],[1]:[11]])-1)))</f>
        <v/>
      </c>
      <c r="AF19" s="30" t="str" cm="1">
        <f t="array" ref="AF19">IF(Table26789[[#This Row],[8]]="","",Table26789[[#This Row],[Weight]:[Weight]]-(Table26789[[#This Row],[Weight]:[Weight]]*((_xlfn.XMATCH(Table26789[[#This Row],[8]],Table26789[[#This Row],[1]:[11]],0))-1)/(COUNTA(Table26789[[#This Row],[1]:[11]])-COUNTBLANK(Table26789[[#This Row],[1]:[11]])-1)))</f>
        <v/>
      </c>
      <c r="AG19" s="30" t="str" cm="1">
        <f t="array" ref="AG19">IF(Table26789[[#This Row],[9]]="","",Table26789[[#This Row],[Weight]:[Weight]]-(Table26789[[#This Row],[Weight]:[Weight]]*((_xlfn.XMATCH(Table26789[[#This Row],[9]],Table26789[[#This Row],[1]:[11]],0))-1)/(COUNTA(Table26789[[#This Row],[1]:[11]])-COUNTBLANK(Table26789[[#This Row],[1]:[11]])-1)))</f>
        <v/>
      </c>
      <c r="AH19" s="30" t="str" cm="1">
        <f t="array" ref="AH19">IF(Table26789[[#This Row],[10]]="","",Table26789[[#This Row],[Weight]:[Weight]]-(Table26789[[#This Row],[Weight]:[Weight]]*((_xlfn.XMATCH(Table26789[[#This Row],[10]],Table26789[[#This Row],[1]:[11]],0))-1)/(COUNTA(Table26789[[#This Row],[1]:[11]])-COUNTBLANK(Table26789[[#This Row],[1]:[11]])-1)))</f>
        <v/>
      </c>
      <c r="AI19" s="30" t="str" cm="1">
        <f t="array" ref="AI19">IF(Table26789[[#This Row],[11]]="","",Table26789[[#This Row],[Weight]:[Weight]]-(Table26789[[#This Row],[Weight]:[Weight]]*((_xlfn.XMATCH(Table26789[[#This Row],[11]],Table26789[[#This Row],[1]:[11]],0))-1)/(COUNTA(Table26789[[#This Row],[1]:[11]])-COUNTBLANK(Table26789[[#This Row],[1]:[11]])-1)))</f>
        <v/>
      </c>
    </row>
    <row r="20" spans="1:35" ht="132.5" x14ac:dyDescent="0.25">
      <c r="A20" s="32"/>
      <c r="B20" s="176" t="s">
        <v>200</v>
      </c>
      <c r="C20" s="183" t="s">
        <v>201</v>
      </c>
      <c r="D20" s="33"/>
      <c r="E20" s="33"/>
      <c r="F20" s="22" t="s">
        <v>165</v>
      </c>
      <c r="G20" s="35" cm="1">
        <f t="array" ref="G20">_xlfn.IFS(F20="","",F20="No interest",0,F20="Nice to have",1,F20="Useful",2,F20="Important",3,F20="Very important",4,F20="Critical",5,F20="Show stopper",6)</f>
        <v>4</v>
      </c>
      <c r="H20" s="36">
        <f t="shared" si="1"/>
        <v>4.1666666666666666E-3</v>
      </c>
      <c r="I20" s="25" t="s">
        <v>135</v>
      </c>
      <c r="J20" s="25" t="str" cm="1">
        <f t="array" ref="J20">_xlfn.TEXTJOIN(","&amp;CHAR(10),,TEXT(Table26789[[#This Row],[12]:[22]],"0,00%"))</f>
        <v>0,00%,
0,00%</v>
      </c>
      <c r="K20" s="26" t="s">
        <v>120</v>
      </c>
      <c r="L20" s="39">
        <f>H20-(H20*((MATCH(Table26789[[#This Row],[Evaluators Response (SELECT)]],Table26789[[#This Row],[1]:[11]],0)-1)/(COUNTA(Table26789[[#This Row],[1]:[11]])-COUNTBLANK(Table26789[[#This Row],[1]:[11]])-1)))</f>
        <v>4.1666666666666666E-3</v>
      </c>
      <c r="M20" s="40"/>
      <c r="N20" s="29" t="str" cm="1">
        <f t="array" ref="N20">IFERROR(INDEX(_xlfn.UNIQUE(TRIM(_xlfn.TEXTSPLIT(Table26789[[#This Row],[Selection Options]:[Selection Options]],","))),,N$11),"")</f>
        <v>Yes</v>
      </c>
      <c r="O20" s="29" t="str" cm="1">
        <f t="array" ref="O20">IFERROR(INDEX(_xlfn.UNIQUE(TRIM(_xlfn.TEXTSPLIT(Table26789[[#This Row],[Selection Options]:[Selection Options]],","))),,O$11),"")</f>
        <v xml:space="preserve">
No</v>
      </c>
      <c r="P20" s="29" t="str" cm="1">
        <f t="array" ref="P20">IFERROR(INDEX(_xlfn.UNIQUE(TRIM(_xlfn.TEXTSPLIT(Table26789[[#This Row],[Selection Options]:[Selection Options]],","))),,P$11),"")</f>
        <v/>
      </c>
      <c r="Q20" s="29" t="str" cm="1">
        <f t="array" ref="Q20">IFERROR(INDEX(_xlfn.UNIQUE(TRIM(_xlfn.TEXTSPLIT(Table26789[[#This Row],[Selection Options]:[Selection Options]],","))),,Q$11),"")</f>
        <v/>
      </c>
      <c r="R20" s="29" t="str" cm="1">
        <f t="array" ref="R20">IFERROR(INDEX(_xlfn.UNIQUE(TRIM(_xlfn.TEXTSPLIT(Table26789[[#This Row],[Selection Options]:[Selection Options]],","))),,R$11),"")</f>
        <v/>
      </c>
      <c r="S20" s="29" t="str" cm="1">
        <f t="array" ref="S20">IFERROR(INDEX(_xlfn.UNIQUE(TRIM(_xlfn.TEXTSPLIT(Table26789[[#This Row],[Selection Options]:[Selection Options]],","))),,S$11),"")</f>
        <v/>
      </c>
      <c r="T20" s="29" t="str" cm="1">
        <f t="array" ref="T20">IFERROR(INDEX(_xlfn.UNIQUE(TRIM(_xlfn.TEXTSPLIT(Table26789[[#This Row],[Selection Options]:[Selection Options]],","))),,T$11),"")</f>
        <v/>
      </c>
      <c r="U20" s="29" t="str" cm="1">
        <f t="array" ref="U20">IFERROR(INDEX(_xlfn.UNIQUE(TRIM(_xlfn.TEXTSPLIT(Table26789[[#This Row],[Selection Options]:[Selection Options]],","))),,U$11),"")</f>
        <v/>
      </c>
      <c r="V20" s="29" t="str" cm="1">
        <f t="array" ref="V20">IFERROR(INDEX(_xlfn.UNIQUE(TRIM(_xlfn.TEXTSPLIT(Table26789[[#This Row],[Selection Options]:[Selection Options]],","))),,V$11),"")</f>
        <v/>
      </c>
      <c r="W20" s="29" t="str" cm="1">
        <f t="array" ref="W20">IFERROR(INDEX(_xlfn.UNIQUE(TRIM(_xlfn.TEXTSPLIT(Table26789[[#This Row],[Selection Options]:[Selection Options]],","))),,W$11),"")</f>
        <v/>
      </c>
      <c r="X20" s="29" t="str" cm="1">
        <f t="array" ref="X20">IFERROR(INDEX(_xlfn.UNIQUE(TRIM(_xlfn.TEXTSPLIT(Table26789[[#This Row],[Selection Options]:[Selection Options]],","))),,X$11),"")</f>
        <v/>
      </c>
      <c r="Y20" s="30" cm="1">
        <f t="array" ref="Y20">IF(Table26789[[#This Row],[1]]="","",Table26789[[#This Row],[Weight]:[Weight]]-(Table26789[[#This Row],[Weight]:[Weight]]*((_xlfn.XMATCH(Table26789[[#This Row],[1]],Table26789[[#This Row],[1]:[11]],0))-1)/(COUNTA(Table26789[[#This Row],[1]:[11]])-COUNTBLANK(Table26789[[#This Row],[1]:[11]])-1)))</f>
        <v>4.1666666666666666E-3</v>
      </c>
      <c r="Z20" s="30" cm="1">
        <f t="array" ref="Z20">IF(Table26789[[#This Row],[2]]="","",Table26789[[#This Row],[Weight]:[Weight]]-(Table26789[[#This Row],[Weight]:[Weight]]*((_xlfn.XMATCH(Table26789[[#This Row],[2]],Table26789[[#This Row],[1]:[11]],0))-1)/(COUNTA(Table26789[[#This Row],[1]:[11]])-COUNTBLANK(Table26789[[#This Row],[1]:[11]])-1)))</f>
        <v>0</v>
      </c>
      <c r="AA20" s="30" t="str" cm="1">
        <f t="array" ref="AA20">IF(Table26789[[#This Row],[3]]="","",Table26789[[#This Row],[Weight]:[Weight]]-(Table26789[[#This Row],[Weight]:[Weight]]*((_xlfn.XMATCH(Table26789[[#This Row],[3]],Table26789[[#This Row],[1]:[11]],0))-1)/(COUNTA(Table26789[[#This Row],[1]:[11]])-COUNTBLANK(Table26789[[#This Row],[1]:[11]])-1)))</f>
        <v/>
      </c>
      <c r="AB20" s="30" t="str" cm="1">
        <f t="array" ref="AB20">IF(Table26789[[#This Row],[4]]="","",Table26789[[#This Row],[Weight]:[Weight]]-(Table26789[[#This Row],[Weight]:[Weight]]*((_xlfn.XMATCH(Table26789[[#This Row],[4]],Table26789[[#This Row],[1]:[11]],0))-1)/(COUNTA(Table26789[[#This Row],[1]:[11]])-COUNTBLANK(Table26789[[#This Row],[1]:[11]])-1)))</f>
        <v/>
      </c>
      <c r="AC20" s="30" t="str" cm="1">
        <f t="array" ref="AC20">IF(Table26789[[#This Row],[5]]="","",Table26789[[#This Row],[Weight]:[Weight]]-(Table26789[[#This Row],[Weight]:[Weight]]*((_xlfn.XMATCH(Table26789[[#This Row],[5]],Table26789[[#This Row],[1]:[11]],0))-1)/(COUNTA(Table26789[[#This Row],[1]:[11]])-COUNTBLANK(Table26789[[#This Row],[1]:[11]])-1)))</f>
        <v/>
      </c>
      <c r="AD20" s="30" t="str" cm="1">
        <f t="array" ref="AD20">IF(Table26789[[#This Row],[6]]="","",Table26789[[#This Row],[Weight]:[Weight]]-(Table26789[[#This Row],[Weight]:[Weight]]*((_xlfn.XMATCH(Table26789[[#This Row],[6]],Table26789[[#This Row],[1]:[11]],0))-1)/(COUNTA(Table26789[[#This Row],[1]:[11]])-COUNTBLANK(Table26789[[#This Row],[1]:[11]])-1)))</f>
        <v/>
      </c>
      <c r="AE20" s="30" t="str" cm="1">
        <f t="array" ref="AE20">IF(Table26789[[#This Row],[7]]="","",Table26789[[#This Row],[Weight]:[Weight]]-(Table26789[[#This Row],[Weight]:[Weight]]*((_xlfn.XMATCH(Table26789[[#This Row],[7]],Table26789[[#This Row],[1]:[11]],0))-1)/(COUNTA(Table26789[[#This Row],[1]:[11]])-COUNTBLANK(Table26789[[#This Row],[1]:[11]])-1)))</f>
        <v/>
      </c>
      <c r="AF20" s="30" t="str" cm="1">
        <f t="array" ref="AF20">IF(Table26789[[#This Row],[8]]="","",Table26789[[#This Row],[Weight]:[Weight]]-(Table26789[[#This Row],[Weight]:[Weight]]*((_xlfn.XMATCH(Table26789[[#This Row],[8]],Table26789[[#This Row],[1]:[11]],0))-1)/(COUNTA(Table26789[[#This Row],[1]:[11]])-COUNTBLANK(Table26789[[#This Row],[1]:[11]])-1)))</f>
        <v/>
      </c>
      <c r="AG20" s="30" t="str" cm="1">
        <f t="array" ref="AG20">IF(Table26789[[#This Row],[9]]="","",Table26789[[#This Row],[Weight]:[Weight]]-(Table26789[[#This Row],[Weight]:[Weight]]*((_xlfn.XMATCH(Table26789[[#This Row],[9]],Table26789[[#This Row],[1]:[11]],0))-1)/(COUNTA(Table26789[[#This Row],[1]:[11]])-COUNTBLANK(Table26789[[#This Row],[1]:[11]])-1)))</f>
        <v/>
      </c>
      <c r="AH20" s="30" t="str" cm="1">
        <f t="array" ref="AH20">IF(Table26789[[#This Row],[10]]="","",Table26789[[#This Row],[Weight]:[Weight]]-(Table26789[[#This Row],[Weight]:[Weight]]*((_xlfn.XMATCH(Table26789[[#This Row],[10]],Table26789[[#This Row],[1]:[11]],0))-1)/(COUNTA(Table26789[[#This Row],[1]:[11]])-COUNTBLANK(Table26789[[#This Row],[1]:[11]])-1)))</f>
        <v/>
      </c>
      <c r="AI20" s="30" t="str" cm="1">
        <f t="array" ref="AI20">IF(Table26789[[#This Row],[11]]="","",Table26789[[#This Row],[Weight]:[Weight]]-(Table26789[[#This Row],[Weight]:[Weight]]*((_xlfn.XMATCH(Table26789[[#This Row],[11]],Table26789[[#This Row],[1]:[11]],0))-1)/(COUNTA(Table26789[[#This Row],[1]:[11]])-COUNTBLANK(Table26789[[#This Row],[1]:[11]])-1)))</f>
        <v/>
      </c>
    </row>
    <row r="21" spans="1:35" ht="50.5" x14ac:dyDescent="0.25">
      <c r="A21" s="32"/>
      <c r="B21" s="179" t="s">
        <v>202</v>
      </c>
      <c r="C21" s="183" t="s">
        <v>203</v>
      </c>
      <c r="D21" s="33"/>
      <c r="E21" s="33"/>
      <c r="F21" s="22" t="s">
        <v>165</v>
      </c>
      <c r="G21" s="35" cm="1">
        <f t="array" ref="G21">_xlfn.IFS(F21="","",F21="No interest",0,F21="Nice to have",1,F21="Useful",2,F21="Important",3,F21="Very important",4,F21="Critical",5,F21="Show stopper",6)</f>
        <v>4</v>
      </c>
      <c r="H21" s="36">
        <f t="shared" si="1"/>
        <v>4.1666666666666666E-3</v>
      </c>
      <c r="I21" s="25" t="s">
        <v>135</v>
      </c>
      <c r="J21" s="25" t="str" cm="1">
        <f t="array" ref="J21">_xlfn.TEXTJOIN(","&amp;CHAR(10),,TEXT(Table26789[[#This Row],[12]:[22]],"0,00%"))</f>
        <v>0,00%,
0,00%</v>
      </c>
      <c r="K21" s="26" t="s">
        <v>120</v>
      </c>
      <c r="L21" s="39">
        <f>H21-(H21*((MATCH(Table26789[[#This Row],[Evaluators Response (SELECT)]],Table26789[[#This Row],[1]:[11]],0)-1)/(COUNTA(Table26789[[#This Row],[1]:[11]])-COUNTBLANK(Table26789[[#This Row],[1]:[11]])-1)))</f>
        <v>4.1666666666666666E-3</v>
      </c>
      <c r="M21" s="40"/>
      <c r="N21" s="29" t="str" cm="1">
        <f t="array" ref="N21">IFERROR(INDEX(_xlfn.UNIQUE(TRIM(_xlfn.TEXTSPLIT(Table26789[[#This Row],[Selection Options]:[Selection Options]],","))),,N$11),"")</f>
        <v>Yes</v>
      </c>
      <c r="O21" s="29" t="str" cm="1">
        <f t="array" ref="O21">IFERROR(INDEX(_xlfn.UNIQUE(TRIM(_xlfn.TEXTSPLIT(Table26789[[#This Row],[Selection Options]:[Selection Options]],","))),,O$11),"")</f>
        <v xml:space="preserve">
No</v>
      </c>
      <c r="P21" s="29" t="str" cm="1">
        <f t="array" ref="P21">IFERROR(INDEX(_xlfn.UNIQUE(TRIM(_xlfn.TEXTSPLIT(Table26789[[#This Row],[Selection Options]:[Selection Options]],","))),,P$11),"")</f>
        <v/>
      </c>
      <c r="Q21" s="29" t="str" cm="1">
        <f t="array" ref="Q21">IFERROR(INDEX(_xlfn.UNIQUE(TRIM(_xlfn.TEXTSPLIT(Table26789[[#This Row],[Selection Options]:[Selection Options]],","))),,Q$11),"")</f>
        <v/>
      </c>
      <c r="R21" s="29" t="str" cm="1">
        <f t="array" ref="R21">IFERROR(INDEX(_xlfn.UNIQUE(TRIM(_xlfn.TEXTSPLIT(Table26789[[#This Row],[Selection Options]:[Selection Options]],","))),,R$11),"")</f>
        <v/>
      </c>
      <c r="S21" s="29" t="str" cm="1">
        <f t="array" ref="S21">IFERROR(INDEX(_xlfn.UNIQUE(TRIM(_xlfn.TEXTSPLIT(Table26789[[#This Row],[Selection Options]:[Selection Options]],","))),,S$11),"")</f>
        <v/>
      </c>
      <c r="T21" s="29" t="str" cm="1">
        <f t="array" ref="T21">IFERROR(INDEX(_xlfn.UNIQUE(TRIM(_xlfn.TEXTSPLIT(Table26789[[#This Row],[Selection Options]:[Selection Options]],","))),,T$11),"")</f>
        <v/>
      </c>
      <c r="U21" s="29" t="str" cm="1">
        <f t="array" ref="U21">IFERROR(INDEX(_xlfn.UNIQUE(TRIM(_xlfn.TEXTSPLIT(Table26789[[#This Row],[Selection Options]:[Selection Options]],","))),,U$11),"")</f>
        <v/>
      </c>
      <c r="V21" s="29" t="str" cm="1">
        <f t="array" ref="V21">IFERROR(INDEX(_xlfn.UNIQUE(TRIM(_xlfn.TEXTSPLIT(Table26789[[#This Row],[Selection Options]:[Selection Options]],","))),,V$11),"")</f>
        <v/>
      </c>
      <c r="W21" s="29" t="str" cm="1">
        <f t="array" ref="W21">IFERROR(INDEX(_xlfn.UNIQUE(TRIM(_xlfn.TEXTSPLIT(Table26789[[#This Row],[Selection Options]:[Selection Options]],","))),,W$11),"")</f>
        <v/>
      </c>
      <c r="X21" s="29" t="str" cm="1">
        <f t="array" ref="X21">IFERROR(INDEX(_xlfn.UNIQUE(TRIM(_xlfn.TEXTSPLIT(Table26789[[#This Row],[Selection Options]:[Selection Options]],","))),,X$11),"")</f>
        <v/>
      </c>
      <c r="Y21" s="30" cm="1">
        <f t="array" ref="Y21">IF(Table26789[[#This Row],[1]]="","",Table26789[[#This Row],[Weight]:[Weight]]-(Table26789[[#This Row],[Weight]:[Weight]]*((_xlfn.XMATCH(Table26789[[#This Row],[1]],Table26789[[#This Row],[1]:[11]],0))-1)/(COUNTA(Table26789[[#This Row],[1]:[11]])-COUNTBLANK(Table26789[[#This Row],[1]:[11]])-1)))</f>
        <v>4.1666666666666666E-3</v>
      </c>
      <c r="Z21" s="30" cm="1">
        <f t="array" ref="Z21">IF(Table26789[[#This Row],[2]]="","",Table26789[[#This Row],[Weight]:[Weight]]-(Table26789[[#This Row],[Weight]:[Weight]]*((_xlfn.XMATCH(Table26789[[#This Row],[2]],Table26789[[#This Row],[1]:[11]],0))-1)/(COUNTA(Table26789[[#This Row],[1]:[11]])-COUNTBLANK(Table26789[[#This Row],[1]:[11]])-1)))</f>
        <v>0</v>
      </c>
      <c r="AA21" s="30" t="str" cm="1">
        <f t="array" ref="AA21">IF(Table26789[[#This Row],[3]]="","",Table26789[[#This Row],[Weight]:[Weight]]-(Table26789[[#This Row],[Weight]:[Weight]]*((_xlfn.XMATCH(Table26789[[#This Row],[3]],Table26789[[#This Row],[1]:[11]],0))-1)/(COUNTA(Table26789[[#This Row],[1]:[11]])-COUNTBLANK(Table26789[[#This Row],[1]:[11]])-1)))</f>
        <v/>
      </c>
      <c r="AB21" s="30" t="str" cm="1">
        <f t="array" ref="AB21">IF(Table26789[[#This Row],[4]]="","",Table26789[[#This Row],[Weight]:[Weight]]-(Table26789[[#This Row],[Weight]:[Weight]]*((_xlfn.XMATCH(Table26789[[#This Row],[4]],Table26789[[#This Row],[1]:[11]],0))-1)/(COUNTA(Table26789[[#This Row],[1]:[11]])-COUNTBLANK(Table26789[[#This Row],[1]:[11]])-1)))</f>
        <v/>
      </c>
      <c r="AC21" s="30" t="str" cm="1">
        <f t="array" ref="AC21">IF(Table26789[[#This Row],[5]]="","",Table26789[[#This Row],[Weight]:[Weight]]-(Table26789[[#This Row],[Weight]:[Weight]]*((_xlfn.XMATCH(Table26789[[#This Row],[5]],Table26789[[#This Row],[1]:[11]],0))-1)/(COUNTA(Table26789[[#This Row],[1]:[11]])-COUNTBLANK(Table26789[[#This Row],[1]:[11]])-1)))</f>
        <v/>
      </c>
      <c r="AD21" s="30" t="str" cm="1">
        <f t="array" ref="AD21">IF(Table26789[[#This Row],[6]]="","",Table26789[[#This Row],[Weight]:[Weight]]-(Table26789[[#This Row],[Weight]:[Weight]]*((_xlfn.XMATCH(Table26789[[#This Row],[6]],Table26789[[#This Row],[1]:[11]],0))-1)/(COUNTA(Table26789[[#This Row],[1]:[11]])-COUNTBLANK(Table26789[[#This Row],[1]:[11]])-1)))</f>
        <v/>
      </c>
      <c r="AE21" s="30" t="str" cm="1">
        <f t="array" ref="AE21">IF(Table26789[[#This Row],[7]]="","",Table26789[[#This Row],[Weight]:[Weight]]-(Table26789[[#This Row],[Weight]:[Weight]]*((_xlfn.XMATCH(Table26789[[#This Row],[7]],Table26789[[#This Row],[1]:[11]],0))-1)/(COUNTA(Table26789[[#This Row],[1]:[11]])-COUNTBLANK(Table26789[[#This Row],[1]:[11]])-1)))</f>
        <v/>
      </c>
      <c r="AF21" s="30" t="str" cm="1">
        <f t="array" ref="AF21">IF(Table26789[[#This Row],[8]]="","",Table26789[[#This Row],[Weight]:[Weight]]-(Table26789[[#This Row],[Weight]:[Weight]]*((_xlfn.XMATCH(Table26789[[#This Row],[8]],Table26789[[#This Row],[1]:[11]],0))-1)/(COUNTA(Table26789[[#This Row],[1]:[11]])-COUNTBLANK(Table26789[[#This Row],[1]:[11]])-1)))</f>
        <v/>
      </c>
      <c r="AG21" s="30" t="str" cm="1">
        <f t="array" ref="AG21">IF(Table26789[[#This Row],[9]]="","",Table26789[[#This Row],[Weight]:[Weight]]-(Table26789[[#This Row],[Weight]:[Weight]]*((_xlfn.XMATCH(Table26789[[#This Row],[9]],Table26789[[#This Row],[1]:[11]],0))-1)/(COUNTA(Table26789[[#This Row],[1]:[11]])-COUNTBLANK(Table26789[[#This Row],[1]:[11]])-1)))</f>
        <v/>
      </c>
      <c r="AH21" s="30" t="str" cm="1">
        <f t="array" ref="AH21">IF(Table26789[[#This Row],[10]]="","",Table26789[[#This Row],[Weight]:[Weight]]-(Table26789[[#This Row],[Weight]:[Weight]]*((_xlfn.XMATCH(Table26789[[#This Row],[10]],Table26789[[#This Row],[1]:[11]],0))-1)/(COUNTA(Table26789[[#This Row],[1]:[11]])-COUNTBLANK(Table26789[[#This Row],[1]:[11]])-1)))</f>
        <v/>
      </c>
      <c r="AI21" s="30" t="str" cm="1">
        <f t="array" ref="AI21">IF(Table26789[[#This Row],[11]]="","",Table26789[[#This Row],[Weight]:[Weight]]-(Table26789[[#This Row],[Weight]:[Weight]]*((_xlfn.XMATCH(Table26789[[#This Row],[11]],Table26789[[#This Row],[1]:[11]],0))-1)/(COUNTA(Table26789[[#This Row],[1]:[11]])-COUNTBLANK(Table26789[[#This Row],[1]:[11]])-1)))</f>
        <v/>
      </c>
    </row>
    <row r="22" spans="1:35" ht="60" x14ac:dyDescent="0.25">
      <c r="A22" s="32"/>
      <c r="B22" s="179" t="s">
        <v>204</v>
      </c>
      <c r="C22" s="183" t="s">
        <v>205</v>
      </c>
      <c r="D22" s="33"/>
      <c r="E22" s="33"/>
      <c r="F22" s="22" t="s">
        <v>165</v>
      </c>
      <c r="G22" s="35" cm="1">
        <f t="array" ref="G22">_xlfn.IFS(F22="","",F22="No interest",0,F22="Nice to have",1,F22="Useful",2,F22="Important",3,F22="Very important",4,F22="Critical",5,F22="Show stopper",6)</f>
        <v>4</v>
      </c>
      <c r="H22" s="36">
        <f t="shared" si="1"/>
        <v>4.1666666666666666E-3</v>
      </c>
      <c r="I22" s="25" t="s">
        <v>135</v>
      </c>
      <c r="J22" s="25" t="str" cm="1">
        <f t="array" ref="J22">_xlfn.TEXTJOIN(","&amp;CHAR(10),,TEXT(Table26789[[#This Row],[12]:[22]],"0,00%"))</f>
        <v>0,00%,
0,00%</v>
      </c>
      <c r="K22" s="26" t="s">
        <v>120</v>
      </c>
      <c r="L22" s="39">
        <f>H22-(H22*((MATCH(Table26789[[#This Row],[Evaluators Response (SELECT)]],Table26789[[#This Row],[1]:[11]],0)-1)/(COUNTA(Table26789[[#This Row],[1]:[11]])-COUNTBLANK(Table26789[[#This Row],[1]:[11]])-1)))</f>
        <v>4.1666666666666666E-3</v>
      </c>
      <c r="M22" s="40"/>
      <c r="N22" s="29" t="str" cm="1">
        <f t="array" ref="N22">IFERROR(INDEX(_xlfn.UNIQUE(TRIM(_xlfn.TEXTSPLIT(Table26789[[#This Row],[Selection Options]:[Selection Options]],","))),,N$11),"")</f>
        <v>Yes</v>
      </c>
      <c r="O22" s="29" t="str" cm="1">
        <f t="array" ref="O22">IFERROR(INDEX(_xlfn.UNIQUE(TRIM(_xlfn.TEXTSPLIT(Table26789[[#This Row],[Selection Options]:[Selection Options]],","))),,O$11),"")</f>
        <v xml:space="preserve">
No</v>
      </c>
      <c r="P22" s="29" t="str" cm="1">
        <f t="array" ref="P22">IFERROR(INDEX(_xlfn.UNIQUE(TRIM(_xlfn.TEXTSPLIT(Table26789[[#This Row],[Selection Options]:[Selection Options]],","))),,P$11),"")</f>
        <v/>
      </c>
      <c r="Q22" s="29" t="str" cm="1">
        <f t="array" ref="Q22">IFERROR(INDEX(_xlfn.UNIQUE(TRIM(_xlfn.TEXTSPLIT(Table26789[[#This Row],[Selection Options]:[Selection Options]],","))),,Q$11),"")</f>
        <v/>
      </c>
      <c r="R22" s="29" t="str" cm="1">
        <f t="array" ref="R22">IFERROR(INDEX(_xlfn.UNIQUE(TRIM(_xlfn.TEXTSPLIT(Table26789[[#This Row],[Selection Options]:[Selection Options]],","))),,R$11),"")</f>
        <v/>
      </c>
      <c r="S22" s="29" t="str" cm="1">
        <f t="array" ref="S22">IFERROR(INDEX(_xlfn.UNIQUE(TRIM(_xlfn.TEXTSPLIT(Table26789[[#This Row],[Selection Options]:[Selection Options]],","))),,S$11),"")</f>
        <v/>
      </c>
      <c r="T22" s="29" t="str" cm="1">
        <f t="array" ref="T22">IFERROR(INDEX(_xlfn.UNIQUE(TRIM(_xlfn.TEXTSPLIT(Table26789[[#This Row],[Selection Options]:[Selection Options]],","))),,T$11),"")</f>
        <v/>
      </c>
      <c r="U22" s="29" t="str" cm="1">
        <f t="array" ref="U22">IFERROR(INDEX(_xlfn.UNIQUE(TRIM(_xlfn.TEXTSPLIT(Table26789[[#This Row],[Selection Options]:[Selection Options]],","))),,U$11),"")</f>
        <v/>
      </c>
      <c r="V22" s="29" t="str" cm="1">
        <f t="array" ref="V22">IFERROR(INDEX(_xlfn.UNIQUE(TRIM(_xlfn.TEXTSPLIT(Table26789[[#This Row],[Selection Options]:[Selection Options]],","))),,V$11),"")</f>
        <v/>
      </c>
      <c r="W22" s="29" t="str" cm="1">
        <f t="array" ref="W22">IFERROR(INDEX(_xlfn.UNIQUE(TRIM(_xlfn.TEXTSPLIT(Table26789[[#This Row],[Selection Options]:[Selection Options]],","))),,W$11),"")</f>
        <v/>
      </c>
      <c r="X22" s="29" t="str" cm="1">
        <f t="array" ref="X22">IFERROR(INDEX(_xlfn.UNIQUE(TRIM(_xlfn.TEXTSPLIT(Table26789[[#This Row],[Selection Options]:[Selection Options]],","))),,X$11),"")</f>
        <v/>
      </c>
      <c r="Y22" s="30" cm="1">
        <f t="array" ref="Y22">IF(Table26789[[#This Row],[1]]="","",Table26789[[#This Row],[Weight]:[Weight]]-(Table26789[[#This Row],[Weight]:[Weight]]*((_xlfn.XMATCH(Table26789[[#This Row],[1]],Table26789[[#This Row],[1]:[11]],0))-1)/(COUNTA(Table26789[[#This Row],[1]:[11]])-COUNTBLANK(Table26789[[#This Row],[1]:[11]])-1)))</f>
        <v>4.1666666666666666E-3</v>
      </c>
      <c r="Z22" s="30" cm="1">
        <f t="array" ref="Z22">IF(Table26789[[#This Row],[2]]="","",Table26789[[#This Row],[Weight]:[Weight]]-(Table26789[[#This Row],[Weight]:[Weight]]*((_xlfn.XMATCH(Table26789[[#This Row],[2]],Table26789[[#This Row],[1]:[11]],0))-1)/(COUNTA(Table26789[[#This Row],[1]:[11]])-COUNTBLANK(Table26789[[#This Row],[1]:[11]])-1)))</f>
        <v>0</v>
      </c>
      <c r="AA22" s="30" t="str" cm="1">
        <f t="array" ref="AA22">IF(Table26789[[#This Row],[3]]="","",Table26789[[#This Row],[Weight]:[Weight]]-(Table26789[[#This Row],[Weight]:[Weight]]*((_xlfn.XMATCH(Table26789[[#This Row],[3]],Table26789[[#This Row],[1]:[11]],0))-1)/(COUNTA(Table26789[[#This Row],[1]:[11]])-COUNTBLANK(Table26789[[#This Row],[1]:[11]])-1)))</f>
        <v/>
      </c>
      <c r="AB22" s="30" t="str" cm="1">
        <f t="array" ref="AB22">IF(Table26789[[#This Row],[4]]="","",Table26789[[#This Row],[Weight]:[Weight]]-(Table26789[[#This Row],[Weight]:[Weight]]*((_xlfn.XMATCH(Table26789[[#This Row],[4]],Table26789[[#This Row],[1]:[11]],0))-1)/(COUNTA(Table26789[[#This Row],[1]:[11]])-COUNTBLANK(Table26789[[#This Row],[1]:[11]])-1)))</f>
        <v/>
      </c>
      <c r="AC22" s="30" t="str" cm="1">
        <f t="array" ref="AC22">IF(Table26789[[#This Row],[5]]="","",Table26789[[#This Row],[Weight]:[Weight]]-(Table26789[[#This Row],[Weight]:[Weight]]*((_xlfn.XMATCH(Table26789[[#This Row],[5]],Table26789[[#This Row],[1]:[11]],0))-1)/(COUNTA(Table26789[[#This Row],[1]:[11]])-COUNTBLANK(Table26789[[#This Row],[1]:[11]])-1)))</f>
        <v/>
      </c>
      <c r="AD22" s="30" t="str" cm="1">
        <f t="array" ref="AD22">IF(Table26789[[#This Row],[6]]="","",Table26789[[#This Row],[Weight]:[Weight]]-(Table26789[[#This Row],[Weight]:[Weight]]*((_xlfn.XMATCH(Table26789[[#This Row],[6]],Table26789[[#This Row],[1]:[11]],0))-1)/(COUNTA(Table26789[[#This Row],[1]:[11]])-COUNTBLANK(Table26789[[#This Row],[1]:[11]])-1)))</f>
        <v/>
      </c>
      <c r="AE22" s="30" t="str" cm="1">
        <f t="array" ref="AE22">IF(Table26789[[#This Row],[7]]="","",Table26789[[#This Row],[Weight]:[Weight]]-(Table26789[[#This Row],[Weight]:[Weight]]*((_xlfn.XMATCH(Table26789[[#This Row],[7]],Table26789[[#This Row],[1]:[11]],0))-1)/(COUNTA(Table26789[[#This Row],[1]:[11]])-COUNTBLANK(Table26789[[#This Row],[1]:[11]])-1)))</f>
        <v/>
      </c>
      <c r="AF22" s="30" t="str" cm="1">
        <f t="array" ref="AF22">IF(Table26789[[#This Row],[8]]="","",Table26789[[#This Row],[Weight]:[Weight]]-(Table26789[[#This Row],[Weight]:[Weight]]*((_xlfn.XMATCH(Table26789[[#This Row],[8]],Table26789[[#This Row],[1]:[11]],0))-1)/(COUNTA(Table26789[[#This Row],[1]:[11]])-COUNTBLANK(Table26789[[#This Row],[1]:[11]])-1)))</f>
        <v/>
      </c>
      <c r="AG22" s="30" t="str" cm="1">
        <f t="array" ref="AG22">IF(Table26789[[#This Row],[9]]="","",Table26789[[#This Row],[Weight]:[Weight]]-(Table26789[[#This Row],[Weight]:[Weight]]*((_xlfn.XMATCH(Table26789[[#This Row],[9]],Table26789[[#This Row],[1]:[11]],0))-1)/(COUNTA(Table26789[[#This Row],[1]:[11]])-COUNTBLANK(Table26789[[#This Row],[1]:[11]])-1)))</f>
        <v/>
      </c>
      <c r="AH22" s="30" t="str" cm="1">
        <f t="array" ref="AH22">IF(Table26789[[#This Row],[10]]="","",Table26789[[#This Row],[Weight]:[Weight]]-(Table26789[[#This Row],[Weight]:[Weight]]*((_xlfn.XMATCH(Table26789[[#This Row],[10]],Table26789[[#This Row],[1]:[11]],0))-1)/(COUNTA(Table26789[[#This Row],[1]:[11]])-COUNTBLANK(Table26789[[#This Row],[1]:[11]])-1)))</f>
        <v/>
      </c>
      <c r="AI22" s="30" t="str" cm="1">
        <f t="array" ref="AI22">IF(Table26789[[#This Row],[11]]="","",Table26789[[#This Row],[Weight]:[Weight]]-(Table26789[[#This Row],[Weight]:[Weight]]*((_xlfn.XMATCH(Table26789[[#This Row],[11]],Table26789[[#This Row],[1]:[11]],0))-1)/(COUNTA(Table26789[[#This Row],[1]:[11]])-COUNTBLANK(Table26789[[#This Row],[1]:[11]])-1)))</f>
        <v/>
      </c>
    </row>
    <row r="23" spans="1:35" ht="50.5" x14ac:dyDescent="0.25">
      <c r="A23" s="32"/>
      <c r="B23" s="179" t="s">
        <v>206</v>
      </c>
      <c r="C23" s="183" t="s">
        <v>207</v>
      </c>
      <c r="D23" s="40"/>
      <c r="E23" s="40"/>
      <c r="F23" s="22" t="s">
        <v>165</v>
      </c>
      <c r="G23" s="35" cm="1">
        <f t="array" ref="G23">_xlfn.IFS(F23="","",F23="No interest",0,F23="Nice to have",1,F23="Useful",2,F23="Important",3,F23="Very important",4,F23="Critical",5,F23="Show stopper",6)</f>
        <v>4</v>
      </c>
      <c r="H23" s="36">
        <f t="shared" si="1"/>
        <v>4.1666666666666666E-3</v>
      </c>
      <c r="I23" s="25" t="s">
        <v>135</v>
      </c>
      <c r="J23" s="25" t="str" cm="1">
        <f t="array" ref="J23">_xlfn.TEXTJOIN(","&amp;CHAR(10),,TEXT(Table26789[[#This Row],[12]:[22]],"0,00%"))</f>
        <v>0,00%,
0,00%</v>
      </c>
      <c r="K23" s="26" t="s">
        <v>120</v>
      </c>
      <c r="L23" s="39">
        <f>H23-(H23*((MATCH(Table26789[[#This Row],[Evaluators Response (SELECT)]],Table26789[[#This Row],[1]:[11]],0)-1)/(COUNTA(Table26789[[#This Row],[1]:[11]])-COUNTBLANK(Table26789[[#This Row],[1]:[11]])-1)))</f>
        <v>4.1666666666666666E-3</v>
      </c>
      <c r="M23" s="40"/>
      <c r="N23" s="29" t="str" cm="1">
        <f t="array" ref="N23">IFERROR(INDEX(_xlfn.UNIQUE(TRIM(_xlfn.TEXTSPLIT(Table26789[[#This Row],[Selection Options]:[Selection Options]],","))),,N$11),"")</f>
        <v>Yes</v>
      </c>
      <c r="O23" s="29" t="str" cm="1">
        <f t="array" ref="O23">IFERROR(INDEX(_xlfn.UNIQUE(TRIM(_xlfn.TEXTSPLIT(Table26789[[#This Row],[Selection Options]:[Selection Options]],","))),,O$11),"")</f>
        <v xml:space="preserve">
No</v>
      </c>
      <c r="P23" s="29" t="str" cm="1">
        <f t="array" ref="P23">IFERROR(INDEX(_xlfn.UNIQUE(TRIM(_xlfn.TEXTSPLIT(Table26789[[#This Row],[Selection Options]:[Selection Options]],","))),,P$11),"")</f>
        <v/>
      </c>
      <c r="Q23" s="29" t="str" cm="1">
        <f t="array" ref="Q23">IFERROR(INDEX(_xlfn.UNIQUE(TRIM(_xlfn.TEXTSPLIT(Table26789[[#This Row],[Selection Options]:[Selection Options]],","))),,Q$11),"")</f>
        <v/>
      </c>
      <c r="R23" s="29" t="str" cm="1">
        <f t="array" ref="R23">IFERROR(INDEX(_xlfn.UNIQUE(TRIM(_xlfn.TEXTSPLIT(Table26789[[#This Row],[Selection Options]:[Selection Options]],","))),,R$11),"")</f>
        <v/>
      </c>
      <c r="S23" s="29" t="str" cm="1">
        <f t="array" ref="S23">IFERROR(INDEX(_xlfn.UNIQUE(TRIM(_xlfn.TEXTSPLIT(Table26789[[#This Row],[Selection Options]:[Selection Options]],","))),,S$11),"")</f>
        <v/>
      </c>
      <c r="T23" s="29" t="str" cm="1">
        <f t="array" ref="T23">IFERROR(INDEX(_xlfn.UNIQUE(TRIM(_xlfn.TEXTSPLIT(Table26789[[#This Row],[Selection Options]:[Selection Options]],","))),,T$11),"")</f>
        <v/>
      </c>
      <c r="U23" s="29" t="str" cm="1">
        <f t="array" ref="U23">IFERROR(INDEX(_xlfn.UNIQUE(TRIM(_xlfn.TEXTSPLIT(Table26789[[#This Row],[Selection Options]:[Selection Options]],","))),,U$11),"")</f>
        <v/>
      </c>
      <c r="V23" s="29" t="str" cm="1">
        <f t="array" ref="V23">IFERROR(INDEX(_xlfn.UNIQUE(TRIM(_xlfn.TEXTSPLIT(Table26789[[#This Row],[Selection Options]:[Selection Options]],","))),,V$11),"")</f>
        <v/>
      </c>
      <c r="W23" s="29" t="str" cm="1">
        <f t="array" ref="W23">IFERROR(INDEX(_xlfn.UNIQUE(TRIM(_xlfn.TEXTSPLIT(Table26789[[#This Row],[Selection Options]:[Selection Options]],","))),,W$11),"")</f>
        <v/>
      </c>
      <c r="X23" s="29" t="str" cm="1">
        <f t="array" ref="X23">IFERROR(INDEX(_xlfn.UNIQUE(TRIM(_xlfn.TEXTSPLIT(Table26789[[#This Row],[Selection Options]:[Selection Options]],","))),,X$11),"")</f>
        <v/>
      </c>
      <c r="Y23" s="30" cm="1">
        <f t="array" ref="Y23">IF(Table26789[[#This Row],[1]]="","",Table26789[[#This Row],[Weight]:[Weight]]-(Table26789[[#This Row],[Weight]:[Weight]]*((_xlfn.XMATCH(Table26789[[#This Row],[1]],Table26789[[#This Row],[1]:[11]],0))-1)/(COUNTA(Table26789[[#This Row],[1]:[11]])-COUNTBLANK(Table26789[[#This Row],[1]:[11]])-1)))</f>
        <v>4.1666666666666666E-3</v>
      </c>
      <c r="Z23" s="30" cm="1">
        <f t="array" ref="Z23">IF(Table26789[[#This Row],[2]]="","",Table26789[[#This Row],[Weight]:[Weight]]-(Table26789[[#This Row],[Weight]:[Weight]]*((_xlfn.XMATCH(Table26789[[#This Row],[2]],Table26789[[#This Row],[1]:[11]],0))-1)/(COUNTA(Table26789[[#This Row],[1]:[11]])-COUNTBLANK(Table26789[[#This Row],[1]:[11]])-1)))</f>
        <v>0</v>
      </c>
      <c r="AA23" s="30" t="str" cm="1">
        <f t="array" ref="AA23">IF(Table26789[[#This Row],[3]]="","",Table26789[[#This Row],[Weight]:[Weight]]-(Table26789[[#This Row],[Weight]:[Weight]]*((_xlfn.XMATCH(Table26789[[#This Row],[3]],Table26789[[#This Row],[1]:[11]],0))-1)/(COUNTA(Table26789[[#This Row],[1]:[11]])-COUNTBLANK(Table26789[[#This Row],[1]:[11]])-1)))</f>
        <v/>
      </c>
      <c r="AB23" s="30" t="str" cm="1">
        <f t="array" ref="AB23">IF(Table26789[[#This Row],[4]]="","",Table26789[[#This Row],[Weight]:[Weight]]-(Table26789[[#This Row],[Weight]:[Weight]]*((_xlfn.XMATCH(Table26789[[#This Row],[4]],Table26789[[#This Row],[1]:[11]],0))-1)/(COUNTA(Table26789[[#This Row],[1]:[11]])-COUNTBLANK(Table26789[[#This Row],[1]:[11]])-1)))</f>
        <v/>
      </c>
      <c r="AC23" s="30" t="str" cm="1">
        <f t="array" ref="AC23">IF(Table26789[[#This Row],[5]]="","",Table26789[[#This Row],[Weight]:[Weight]]-(Table26789[[#This Row],[Weight]:[Weight]]*((_xlfn.XMATCH(Table26789[[#This Row],[5]],Table26789[[#This Row],[1]:[11]],0))-1)/(COUNTA(Table26789[[#This Row],[1]:[11]])-COUNTBLANK(Table26789[[#This Row],[1]:[11]])-1)))</f>
        <v/>
      </c>
      <c r="AD23" s="30" t="str" cm="1">
        <f t="array" ref="AD23">IF(Table26789[[#This Row],[6]]="","",Table26789[[#This Row],[Weight]:[Weight]]-(Table26789[[#This Row],[Weight]:[Weight]]*((_xlfn.XMATCH(Table26789[[#This Row],[6]],Table26789[[#This Row],[1]:[11]],0))-1)/(COUNTA(Table26789[[#This Row],[1]:[11]])-COUNTBLANK(Table26789[[#This Row],[1]:[11]])-1)))</f>
        <v/>
      </c>
      <c r="AE23" s="30" t="str" cm="1">
        <f t="array" ref="AE23">IF(Table26789[[#This Row],[7]]="","",Table26789[[#This Row],[Weight]:[Weight]]-(Table26789[[#This Row],[Weight]:[Weight]]*((_xlfn.XMATCH(Table26789[[#This Row],[7]],Table26789[[#This Row],[1]:[11]],0))-1)/(COUNTA(Table26789[[#This Row],[1]:[11]])-COUNTBLANK(Table26789[[#This Row],[1]:[11]])-1)))</f>
        <v/>
      </c>
      <c r="AF23" s="30" t="str" cm="1">
        <f t="array" ref="AF23">IF(Table26789[[#This Row],[8]]="","",Table26789[[#This Row],[Weight]:[Weight]]-(Table26789[[#This Row],[Weight]:[Weight]]*((_xlfn.XMATCH(Table26789[[#This Row],[8]],Table26789[[#This Row],[1]:[11]],0))-1)/(COUNTA(Table26789[[#This Row],[1]:[11]])-COUNTBLANK(Table26789[[#This Row],[1]:[11]])-1)))</f>
        <v/>
      </c>
      <c r="AG23" s="30" t="str" cm="1">
        <f t="array" ref="AG23">IF(Table26789[[#This Row],[9]]="","",Table26789[[#This Row],[Weight]:[Weight]]-(Table26789[[#This Row],[Weight]:[Weight]]*((_xlfn.XMATCH(Table26789[[#This Row],[9]],Table26789[[#This Row],[1]:[11]],0))-1)/(COUNTA(Table26789[[#This Row],[1]:[11]])-COUNTBLANK(Table26789[[#This Row],[1]:[11]])-1)))</f>
        <v/>
      </c>
      <c r="AH23" s="30" t="str" cm="1">
        <f t="array" ref="AH23">IF(Table26789[[#This Row],[10]]="","",Table26789[[#This Row],[Weight]:[Weight]]-(Table26789[[#This Row],[Weight]:[Weight]]*((_xlfn.XMATCH(Table26789[[#This Row],[10]],Table26789[[#This Row],[1]:[11]],0))-1)/(COUNTA(Table26789[[#This Row],[1]:[11]])-COUNTBLANK(Table26789[[#This Row],[1]:[11]])-1)))</f>
        <v/>
      </c>
      <c r="AI23" s="30" t="str" cm="1">
        <f t="array" ref="AI23">IF(Table26789[[#This Row],[11]]="","",Table26789[[#This Row],[Weight]:[Weight]]-(Table26789[[#This Row],[Weight]:[Weight]]*((_xlfn.XMATCH(Table26789[[#This Row],[11]],Table26789[[#This Row],[1]:[11]],0))-1)/(COUNTA(Table26789[[#This Row],[1]:[11]])-COUNTBLANK(Table26789[[#This Row],[1]:[11]])-1)))</f>
        <v/>
      </c>
    </row>
    <row r="24" spans="1:35" ht="70" x14ac:dyDescent="0.25">
      <c r="A24" s="32"/>
      <c r="B24" s="176" t="s">
        <v>208</v>
      </c>
      <c r="C24" s="183" t="s">
        <v>209</v>
      </c>
      <c r="D24" s="40"/>
      <c r="E24" s="40"/>
      <c r="F24" s="22" t="s">
        <v>165</v>
      </c>
      <c r="G24" s="35" cm="1">
        <f t="array" ref="G24">_xlfn.IFS(F24="","",F24="No interest",0,F24="Nice to have",1,F24="Useful",2,F24="Important",3,F24="Very important",4,F24="Critical",5,F24="Show stopper",6)</f>
        <v>4</v>
      </c>
      <c r="H24" s="36">
        <f t="shared" si="1"/>
        <v>4.1666666666666666E-3</v>
      </c>
      <c r="I24" s="25" t="s">
        <v>135</v>
      </c>
      <c r="J24" s="25" t="str" cm="1">
        <f t="array" ref="J24">_xlfn.TEXTJOIN(","&amp;CHAR(10),,TEXT(Table26789[[#This Row],[12]:[22]],"0,00%"))</f>
        <v>0,00%,
0,00%</v>
      </c>
      <c r="K24" s="26" t="s">
        <v>120</v>
      </c>
      <c r="L24" s="39">
        <f>H24-(H24*((MATCH(Table26789[[#This Row],[Evaluators Response (SELECT)]],Table26789[[#This Row],[1]:[11]],0)-1)/(COUNTA(Table26789[[#This Row],[1]:[11]])-COUNTBLANK(Table26789[[#This Row],[1]:[11]])-1)))</f>
        <v>4.1666666666666666E-3</v>
      </c>
      <c r="M24" s="40"/>
      <c r="N24" s="29" t="str" cm="1">
        <f t="array" ref="N24">IFERROR(INDEX(_xlfn.UNIQUE(TRIM(_xlfn.TEXTSPLIT(Table26789[[#This Row],[Selection Options]:[Selection Options]],","))),,N$11),"")</f>
        <v>Yes</v>
      </c>
      <c r="O24" s="29" t="str" cm="1">
        <f t="array" ref="O24">IFERROR(INDEX(_xlfn.UNIQUE(TRIM(_xlfn.TEXTSPLIT(Table26789[[#This Row],[Selection Options]:[Selection Options]],","))),,O$11),"")</f>
        <v xml:space="preserve">
No</v>
      </c>
      <c r="P24" s="29" t="str" cm="1">
        <f t="array" ref="P24">IFERROR(INDEX(_xlfn.UNIQUE(TRIM(_xlfn.TEXTSPLIT(Table26789[[#This Row],[Selection Options]:[Selection Options]],","))),,P$11),"")</f>
        <v/>
      </c>
      <c r="Q24" s="29" t="str" cm="1">
        <f t="array" ref="Q24">IFERROR(INDEX(_xlfn.UNIQUE(TRIM(_xlfn.TEXTSPLIT(Table26789[[#This Row],[Selection Options]:[Selection Options]],","))),,Q$11),"")</f>
        <v/>
      </c>
      <c r="R24" s="29" t="str" cm="1">
        <f t="array" ref="R24">IFERROR(INDEX(_xlfn.UNIQUE(TRIM(_xlfn.TEXTSPLIT(Table26789[[#This Row],[Selection Options]:[Selection Options]],","))),,R$11),"")</f>
        <v/>
      </c>
      <c r="S24" s="29" t="str" cm="1">
        <f t="array" ref="S24">IFERROR(INDEX(_xlfn.UNIQUE(TRIM(_xlfn.TEXTSPLIT(Table26789[[#This Row],[Selection Options]:[Selection Options]],","))),,S$11),"")</f>
        <v/>
      </c>
      <c r="T24" s="29" t="str" cm="1">
        <f t="array" ref="T24">IFERROR(INDEX(_xlfn.UNIQUE(TRIM(_xlfn.TEXTSPLIT(Table26789[[#This Row],[Selection Options]:[Selection Options]],","))),,T$11),"")</f>
        <v/>
      </c>
      <c r="U24" s="29" t="str" cm="1">
        <f t="array" ref="U24">IFERROR(INDEX(_xlfn.UNIQUE(TRIM(_xlfn.TEXTSPLIT(Table26789[[#This Row],[Selection Options]:[Selection Options]],","))),,U$11),"")</f>
        <v/>
      </c>
      <c r="V24" s="29" t="str" cm="1">
        <f t="array" ref="V24">IFERROR(INDEX(_xlfn.UNIQUE(TRIM(_xlfn.TEXTSPLIT(Table26789[[#This Row],[Selection Options]:[Selection Options]],","))),,V$11),"")</f>
        <v/>
      </c>
      <c r="W24" s="29" t="str" cm="1">
        <f t="array" ref="W24">IFERROR(INDEX(_xlfn.UNIQUE(TRIM(_xlfn.TEXTSPLIT(Table26789[[#This Row],[Selection Options]:[Selection Options]],","))),,W$11),"")</f>
        <v/>
      </c>
      <c r="X24" s="29" t="str" cm="1">
        <f t="array" ref="X24">IFERROR(INDEX(_xlfn.UNIQUE(TRIM(_xlfn.TEXTSPLIT(Table26789[[#This Row],[Selection Options]:[Selection Options]],","))),,X$11),"")</f>
        <v/>
      </c>
      <c r="Y24" s="30" cm="1">
        <f t="array" ref="Y24">IF(Table26789[[#This Row],[1]]="","",Table26789[[#This Row],[Weight]:[Weight]]-(Table26789[[#This Row],[Weight]:[Weight]]*((_xlfn.XMATCH(Table26789[[#This Row],[1]],Table26789[[#This Row],[1]:[11]],0))-1)/(COUNTA(Table26789[[#This Row],[1]:[11]])-COUNTBLANK(Table26789[[#This Row],[1]:[11]])-1)))</f>
        <v>4.1666666666666666E-3</v>
      </c>
      <c r="Z24" s="30" cm="1">
        <f t="array" ref="Z24">IF(Table26789[[#This Row],[2]]="","",Table26789[[#This Row],[Weight]:[Weight]]-(Table26789[[#This Row],[Weight]:[Weight]]*((_xlfn.XMATCH(Table26789[[#This Row],[2]],Table26789[[#This Row],[1]:[11]],0))-1)/(COUNTA(Table26789[[#This Row],[1]:[11]])-COUNTBLANK(Table26789[[#This Row],[1]:[11]])-1)))</f>
        <v>0</v>
      </c>
      <c r="AA24" s="30" t="str" cm="1">
        <f t="array" ref="AA24">IF(Table26789[[#This Row],[3]]="","",Table26789[[#This Row],[Weight]:[Weight]]-(Table26789[[#This Row],[Weight]:[Weight]]*((_xlfn.XMATCH(Table26789[[#This Row],[3]],Table26789[[#This Row],[1]:[11]],0))-1)/(COUNTA(Table26789[[#This Row],[1]:[11]])-COUNTBLANK(Table26789[[#This Row],[1]:[11]])-1)))</f>
        <v/>
      </c>
      <c r="AB24" s="30" t="str" cm="1">
        <f t="array" ref="AB24">IF(Table26789[[#This Row],[4]]="","",Table26789[[#This Row],[Weight]:[Weight]]-(Table26789[[#This Row],[Weight]:[Weight]]*((_xlfn.XMATCH(Table26789[[#This Row],[4]],Table26789[[#This Row],[1]:[11]],0))-1)/(COUNTA(Table26789[[#This Row],[1]:[11]])-COUNTBLANK(Table26789[[#This Row],[1]:[11]])-1)))</f>
        <v/>
      </c>
      <c r="AC24" s="30" t="str" cm="1">
        <f t="array" ref="AC24">IF(Table26789[[#This Row],[5]]="","",Table26789[[#This Row],[Weight]:[Weight]]-(Table26789[[#This Row],[Weight]:[Weight]]*((_xlfn.XMATCH(Table26789[[#This Row],[5]],Table26789[[#This Row],[1]:[11]],0))-1)/(COUNTA(Table26789[[#This Row],[1]:[11]])-COUNTBLANK(Table26789[[#This Row],[1]:[11]])-1)))</f>
        <v/>
      </c>
      <c r="AD24" s="30" t="str" cm="1">
        <f t="array" ref="AD24">IF(Table26789[[#This Row],[6]]="","",Table26789[[#This Row],[Weight]:[Weight]]-(Table26789[[#This Row],[Weight]:[Weight]]*((_xlfn.XMATCH(Table26789[[#This Row],[6]],Table26789[[#This Row],[1]:[11]],0))-1)/(COUNTA(Table26789[[#This Row],[1]:[11]])-COUNTBLANK(Table26789[[#This Row],[1]:[11]])-1)))</f>
        <v/>
      </c>
      <c r="AE24" s="30" t="str" cm="1">
        <f t="array" ref="AE24">IF(Table26789[[#This Row],[7]]="","",Table26789[[#This Row],[Weight]:[Weight]]-(Table26789[[#This Row],[Weight]:[Weight]]*((_xlfn.XMATCH(Table26789[[#This Row],[7]],Table26789[[#This Row],[1]:[11]],0))-1)/(COUNTA(Table26789[[#This Row],[1]:[11]])-COUNTBLANK(Table26789[[#This Row],[1]:[11]])-1)))</f>
        <v/>
      </c>
      <c r="AF24" s="30" t="str" cm="1">
        <f t="array" ref="AF24">IF(Table26789[[#This Row],[8]]="","",Table26789[[#This Row],[Weight]:[Weight]]-(Table26789[[#This Row],[Weight]:[Weight]]*((_xlfn.XMATCH(Table26789[[#This Row],[8]],Table26789[[#This Row],[1]:[11]],0))-1)/(COUNTA(Table26789[[#This Row],[1]:[11]])-COUNTBLANK(Table26789[[#This Row],[1]:[11]])-1)))</f>
        <v/>
      </c>
      <c r="AG24" s="30" t="str" cm="1">
        <f t="array" ref="AG24">IF(Table26789[[#This Row],[9]]="","",Table26789[[#This Row],[Weight]:[Weight]]-(Table26789[[#This Row],[Weight]:[Weight]]*((_xlfn.XMATCH(Table26789[[#This Row],[9]],Table26789[[#This Row],[1]:[11]],0))-1)/(COUNTA(Table26789[[#This Row],[1]:[11]])-COUNTBLANK(Table26789[[#This Row],[1]:[11]])-1)))</f>
        <v/>
      </c>
      <c r="AH24" s="30" t="str" cm="1">
        <f t="array" ref="AH24">IF(Table26789[[#This Row],[10]]="","",Table26789[[#This Row],[Weight]:[Weight]]-(Table26789[[#This Row],[Weight]:[Weight]]*((_xlfn.XMATCH(Table26789[[#This Row],[10]],Table26789[[#This Row],[1]:[11]],0))-1)/(COUNTA(Table26789[[#This Row],[1]:[11]])-COUNTBLANK(Table26789[[#This Row],[1]:[11]])-1)))</f>
        <v/>
      </c>
      <c r="AI24" s="30" t="str" cm="1">
        <f t="array" ref="AI24">IF(Table26789[[#This Row],[11]]="","",Table26789[[#This Row],[Weight]:[Weight]]-(Table26789[[#This Row],[Weight]:[Weight]]*((_xlfn.XMATCH(Table26789[[#This Row],[11]],Table26789[[#This Row],[1]:[11]],0))-1)/(COUNTA(Table26789[[#This Row],[1]:[11]])-COUNTBLANK(Table26789[[#This Row],[1]:[11]])-1)))</f>
        <v/>
      </c>
    </row>
    <row r="25" spans="1:35" ht="80.5" x14ac:dyDescent="0.25">
      <c r="A25" s="32"/>
      <c r="B25" s="176" t="s">
        <v>210</v>
      </c>
      <c r="C25" s="183" t="s">
        <v>211</v>
      </c>
      <c r="D25" s="40"/>
      <c r="E25" s="40"/>
      <c r="F25" s="22" t="s">
        <v>165</v>
      </c>
      <c r="G25" s="35" cm="1">
        <f t="array" ref="G25">_xlfn.IFS(F25="","",F25="No interest",0,F25="Nice to have",1,F25="Useful",2,F25="Important",3,F25="Very important",4,F25="Critical",5,F25="Show stopper",6)</f>
        <v>4</v>
      </c>
      <c r="H25" s="36">
        <f t="shared" si="1"/>
        <v>4.1666666666666666E-3</v>
      </c>
      <c r="I25" s="25" t="s">
        <v>135</v>
      </c>
      <c r="J25" s="25" t="str" cm="1">
        <f t="array" ref="J25">_xlfn.TEXTJOIN(","&amp;CHAR(10),,TEXT(Table26789[[#This Row],[12]:[22]],"0,00%"))</f>
        <v>0,00%,
0,00%</v>
      </c>
      <c r="K25" s="26" t="s">
        <v>120</v>
      </c>
      <c r="L25" s="39">
        <f>H25-(H25*((MATCH(Table26789[[#This Row],[Evaluators Response (SELECT)]],Table26789[[#This Row],[1]:[11]],0)-1)/(COUNTA(Table26789[[#This Row],[1]:[11]])-COUNTBLANK(Table26789[[#This Row],[1]:[11]])-1)))</f>
        <v>4.1666666666666666E-3</v>
      </c>
      <c r="M25" s="40"/>
      <c r="N25" s="29" t="str" cm="1">
        <f t="array" ref="N25">IFERROR(INDEX(_xlfn.UNIQUE(TRIM(_xlfn.TEXTSPLIT(Table26789[[#This Row],[Selection Options]:[Selection Options]],","))),,N$11),"")</f>
        <v>Yes</v>
      </c>
      <c r="O25" s="29" t="str" cm="1">
        <f t="array" ref="O25">IFERROR(INDEX(_xlfn.UNIQUE(TRIM(_xlfn.TEXTSPLIT(Table26789[[#This Row],[Selection Options]:[Selection Options]],","))),,O$11),"")</f>
        <v xml:space="preserve">
No</v>
      </c>
      <c r="P25" s="29" t="str" cm="1">
        <f t="array" ref="P25">IFERROR(INDEX(_xlfn.UNIQUE(TRIM(_xlfn.TEXTSPLIT(Table26789[[#This Row],[Selection Options]:[Selection Options]],","))),,P$11),"")</f>
        <v/>
      </c>
      <c r="Q25" s="29" t="str" cm="1">
        <f t="array" ref="Q25">IFERROR(INDEX(_xlfn.UNIQUE(TRIM(_xlfn.TEXTSPLIT(Table26789[[#This Row],[Selection Options]:[Selection Options]],","))),,Q$11),"")</f>
        <v/>
      </c>
      <c r="R25" s="29" t="str" cm="1">
        <f t="array" ref="R25">IFERROR(INDEX(_xlfn.UNIQUE(TRIM(_xlfn.TEXTSPLIT(Table26789[[#This Row],[Selection Options]:[Selection Options]],","))),,R$11),"")</f>
        <v/>
      </c>
      <c r="S25" s="29" t="str" cm="1">
        <f t="array" ref="S25">IFERROR(INDEX(_xlfn.UNIQUE(TRIM(_xlfn.TEXTSPLIT(Table26789[[#This Row],[Selection Options]:[Selection Options]],","))),,S$11),"")</f>
        <v/>
      </c>
      <c r="T25" s="29" t="str" cm="1">
        <f t="array" ref="T25">IFERROR(INDEX(_xlfn.UNIQUE(TRIM(_xlfn.TEXTSPLIT(Table26789[[#This Row],[Selection Options]:[Selection Options]],","))),,T$11),"")</f>
        <v/>
      </c>
      <c r="U25" s="29" t="str" cm="1">
        <f t="array" ref="U25">IFERROR(INDEX(_xlfn.UNIQUE(TRIM(_xlfn.TEXTSPLIT(Table26789[[#This Row],[Selection Options]:[Selection Options]],","))),,U$11),"")</f>
        <v/>
      </c>
      <c r="V25" s="29" t="str" cm="1">
        <f t="array" ref="V25">IFERROR(INDEX(_xlfn.UNIQUE(TRIM(_xlfn.TEXTSPLIT(Table26789[[#This Row],[Selection Options]:[Selection Options]],","))),,V$11),"")</f>
        <v/>
      </c>
      <c r="W25" s="29" t="str" cm="1">
        <f t="array" ref="W25">IFERROR(INDEX(_xlfn.UNIQUE(TRIM(_xlfn.TEXTSPLIT(Table26789[[#This Row],[Selection Options]:[Selection Options]],","))),,W$11),"")</f>
        <v/>
      </c>
      <c r="X25" s="29" t="str" cm="1">
        <f t="array" ref="X25">IFERROR(INDEX(_xlfn.UNIQUE(TRIM(_xlfn.TEXTSPLIT(Table26789[[#This Row],[Selection Options]:[Selection Options]],","))),,X$11),"")</f>
        <v/>
      </c>
      <c r="Y25" s="30" cm="1">
        <f t="array" ref="Y25">IF(Table26789[[#This Row],[1]]="","",Table26789[[#This Row],[Weight]:[Weight]]-(Table26789[[#This Row],[Weight]:[Weight]]*((_xlfn.XMATCH(Table26789[[#This Row],[1]],Table26789[[#This Row],[1]:[11]],0))-1)/(COUNTA(Table26789[[#This Row],[1]:[11]])-COUNTBLANK(Table26789[[#This Row],[1]:[11]])-1)))</f>
        <v>4.1666666666666666E-3</v>
      </c>
      <c r="Z25" s="30" cm="1">
        <f t="array" ref="Z25">IF(Table26789[[#This Row],[2]]="","",Table26789[[#This Row],[Weight]:[Weight]]-(Table26789[[#This Row],[Weight]:[Weight]]*((_xlfn.XMATCH(Table26789[[#This Row],[2]],Table26789[[#This Row],[1]:[11]],0))-1)/(COUNTA(Table26789[[#This Row],[1]:[11]])-COUNTBLANK(Table26789[[#This Row],[1]:[11]])-1)))</f>
        <v>0</v>
      </c>
      <c r="AA25" s="30" t="str" cm="1">
        <f t="array" ref="AA25">IF(Table26789[[#This Row],[3]]="","",Table26789[[#This Row],[Weight]:[Weight]]-(Table26789[[#This Row],[Weight]:[Weight]]*((_xlfn.XMATCH(Table26789[[#This Row],[3]],Table26789[[#This Row],[1]:[11]],0))-1)/(COUNTA(Table26789[[#This Row],[1]:[11]])-COUNTBLANK(Table26789[[#This Row],[1]:[11]])-1)))</f>
        <v/>
      </c>
      <c r="AB25" s="30" t="str" cm="1">
        <f t="array" ref="AB25">IF(Table26789[[#This Row],[4]]="","",Table26789[[#This Row],[Weight]:[Weight]]-(Table26789[[#This Row],[Weight]:[Weight]]*((_xlfn.XMATCH(Table26789[[#This Row],[4]],Table26789[[#This Row],[1]:[11]],0))-1)/(COUNTA(Table26789[[#This Row],[1]:[11]])-COUNTBLANK(Table26789[[#This Row],[1]:[11]])-1)))</f>
        <v/>
      </c>
      <c r="AC25" s="30" t="str" cm="1">
        <f t="array" ref="AC25">IF(Table26789[[#This Row],[5]]="","",Table26789[[#This Row],[Weight]:[Weight]]-(Table26789[[#This Row],[Weight]:[Weight]]*((_xlfn.XMATCH(Table26789[[#This Row],[5]],Table26789[[#This Row],[1]:[11]],0))-1)/(COUNTA(Table26789[[#This Row],[1]:[11]])-COUNTBLANK(Table26789[[#This Row],[1]:[11]])-1)))</f>
        <v/>
      </c>
      <c r="AD25" s="30" t="str" cm="1">
        <f t="array" ref="AD25">IF(Table26789[[#This Row],[6]]="","",Table26789[[#This Row],[Weight]:[Weight]]-(Table26789[[#This Row],[Weight]:[Weight]]*((_xlfn.XMATCH(Table26789[[#This Row],[6]],Table26789[[#This Row],[1]:[11]],0))-1)/(COUNTA(Table26789[[#This Row],[1]:[11]])-COUNTBLANK(Table26789[[#This Row],[1]:[11]])-1)))</f>
        <v/>
      </c>
      <c r="AE25" s="30" t="str" cm="1">
        <f t="array" ref="AE25">IF(Table26789[[#This Row],[7]]="","",Table26789[[#This Row],[Weight]:[Weight]]-(Table26789[[#This Row],[Weight]:[Weight]]*((_xlfn.XMATCH(Table26789[[#This Row],[7]],Table26789[[#This Row],[1]:[11]],0))-1)/(COUNTA(Table26789[[#This Row],[1]:[11]])-COUNTBLANK(Table26789[[#This Row],[1]:[11]])-1)))</f>
        <v/>
      </c>
      <c r="AF25" s="30" t="str" cm="1">
        <f t="array" ref="AF25">IF(Table26789[[#This Row],[8]]="","",Table26789[[#This Row],[Weight]:[Weight]]-(Table26789[[#This Row],[Weight]:[Weight]]*((_xlfn.XMATCH(Table26789[[#This Row],[8]],Table26789[[#This Row],[1]:[11]],0))-1)/(COUNTA(Table26789[[#This Row],[1]:[11]])-COUNTBLANK(Table26789[[#This Row],[1]:[11]])-1)))</f>
        <v/>
      </c>
      <c r="AG25" s="30" t="str" cm="1">
        <f t="array" ref="AG25">IF(Table26789[[#This Row],[9]]="","",Table26789[[#This Row],[Weight]:[Weight]]-(Table26789[[#This Row],[Weight]:[Weight]]*((_xlfn.XMATCH(Table26789[[#This Row],[9]],Table26789[[#This Row],[1]:[11]],0))-1)/(COUNTA(Table26789[[#This Row],[1]:[11]])-COUNTBLANK(Table26789[[#This Row],[1]:[11]])-1)))</f>
        <v/>
      </c>
      <c r="AH25" s="30" t="str" cm="1">
        <f t="array" ref="AH25">IF(Table26789[[#This Row],[10]]="","",Table26789[[#This Row],[Weight]:[Weight]]-(Table26789[[#This Row],[Weight]:[Weight]]*((_xlfn.XMATCH(Table26789[[#This Row],[10]],Table26789[[#This Row],[1]:[11]],0))-1)/(COUNTA(Table26789[[#This Row],[1]:[11]])-COUNTBLANK(Table26789[[#This Row],[1]:[11]])-1)))</f>
        <v/>
      </c>
      <c r="AI25" s="30" t="str" cm="1">
        <f t="array" ref="AI25">IF(Table26789[[#This Row],[11]]="","",Table26789[[#This Row],[Weight]:[Weight]]-(Table26789[[#This Row],[Weight]:[Weight]]*((_xlfn.XMATCH(Table26789[[#This Row],[11]],Table26789[[#This Row],[1]:[11]],0))-1)/(COUNTA(Table26789[[#This Row],[1]:[11]])-COUNTBLANK(Table26789[[#This Row],[1]:[11]])-1)))</f>
        <v/>
      </c>
    </row>
    <row r="26" spans="1:35" ht="80.5" x14ac:dyDescent="0.25">
      <c r="A26" s="32"/>
      <c r="B26" s="176" t="s">
        <v>212</v>
      </c>
      <c r="C26" s="183" t="s">
        <v>213</v>
      </c>
      <c r="D26" s="40"/>
      <c r="E26" s="40"/>
      <c r="F26" s="22" t="s">
        <v>165</v>
      </c>
      <c r="G26" s="35" cm="1">
        <f t="array" ref="G26">_xlfn.IFS(F26="","",F26="No interest",0,F26="Nice to have",1,F26="Useful",2,F26="Important",3,F26="Very important",4,F26="Critical",5,F26="Show stopper",6)</f>
        <v>4</v>
      </c>
      <c r="H26" s="36">
        <f t="shared" si="1"/>
        <v>4.1666666666666666E-3</v>
      </c>
      <c r="I26" s="25" t="s">
        <v>135</v>
      </c>
      <c r="J26" s="25" t="str" cm="1">
        <f t="array" ref="J26">_xlfn.TEXTJOIN(","&amp;CHAR(10),,TEXT(Table26789[[#This Row],[12]:[22]],"0,00%"))</f>
        <v>0,00%,
0,00%</v>
      </c>
      <c r="K26" s="26" t="s">
        <v>120</v>
      </c>
      <c r="L26" s="39">
        <f>H26-(H26*((MATCH(Table26789[[#This Row],[Evaluators Response (SELECT)]],Table26789[[#This Row],[1]:[11]],0)-1)/(COUNTA(Table26789[[#This Row],[1]:[11]])-COUNTBLANK(Table26789[[#This Row],[1]:[11]])-1)))</f>
        <v>4.1666666666666666E-3</v>
      </c>
      <c r="M26" s="40"/>
      <c r="N26" s="29" t="str" cm="1">
        <f t="array" ref="N26">IFERROR(INDEX(_xlfn.UNIQUE(TRIM(_xlfn.TEXTSPLIT(Table26789[[#This Row],[Selection Options]:[Selection Options]],","))),,N$11),"")</f>
        <v>Yes</v>
      </c>
      <c r="O26" s="29" t="str" cm="1">
        <f t="array" ref="O26">IFERROR(INDEX(_xlfn.UNIQUE(TRIM(_xlfn.TEXTSPLIT(Table26789[[#This Row],[Selection Options]:[Selection Options]],","))),,O$11),"")</f>
        <v xml:space="preserve">
No</v>
      </c>
      <c r="P26" s="29" t="str" cm="1">
        <f t="array" ref="P26">IFERROR(INDEX(_xlfn.UNIQUE(TRIM(_xlfn.TEXTSPLIT(Table26789[[#This Row],[Selection Options]:[Selection Options]],","))),,P$11),"")</f>
        <v/>
      </c>
      <c r="Q26" s="29" t="str" cm="1">
        <f t="array" ref="Q26">IFERROR(INDEX(_xlfn.UNIQUE(TRIM(_xlfn.TEXTSPLIT(Table26789[[#This Row],[Selection Options]:[Selection Options]],","))),,Q$11),"")</f>
        <v/>
      </c>
      <c r="R26" s="29" t="str" cm="1">
        <f t="array" ref="R26">IFERROR(INDEX(_xlfn.UNIQUE(TRIM(_xlfn.TEXTSPLIT(Table26789[[#This Row],[Selection Options]:[Selection Options]],","))),,R$11),"")</f>
        <v/>
      </c>
      <c r="S26" s="29" t="str" cm="1">
        <f t="array" ref="S26">IFERROR(INDEX(_xlfn.UNIQUE(TRIM(_xlfn.TEXTSPLIT(Table26789[[#This Row],[Selection Options]:[Selection Options]],","))),,S$11),"")</f>
        <v/>
      </c>
      <c r="T26" s="29" t="str" cm="1">
        <f t="array" ref="T26">IFERROR(INDEX(_xlfn.UNIQUE(TRIM(_xlfn.TEXTSPLIT(Table26789[[#This Row],[Selection Options]:[Selection Options]],","))),,T$11),"")</f>
        <v/>
      </c>
      <c r="U26" s="29" t="str" cm="1">
        <f t="array" ref="U26">IFERROR(INDEX(_xlfn.UNIQUE(TRIM(_xlfn.TEXTSPLIT(Table26789[[#This Row],[Selection Options]:[Selection Options]],","))),,U$11),"")</f>
        <v/>
      </c>
      <c r="V26" s="29" t="str" cm="1">
        <f t="array" ref="V26">IFERROR(INDEX(_xlfn.UNIQUE(TRIM(_xlfn.TEXTSPLIT(Table26789[[#This Row],[Selection Options]:[Selection Options]],","))),,V$11),"")</f>
        <v/>
      </c>
      <c r="W26" s="29" t="str" cm="1">
        <f t="array" ref="W26">IFERROR(INDEX(_xlfn.UNIQUE(TRIM(_xlfn.TEXTSPLIT(Table26789[[#This Row],[Selection Options]:[Selection Options]],","))),,W$11),"")</f>
        <v/>
      </c>
      <c r="X26" s="29" t="str" cm="1">
        <f t="array" ref="X26">IFERROR(INDEX(_xlfn.UNIQUE(TRIM(_xlfn.TEXTSPLIT(Table26789[[#This Row],[Selection Options]:[Selection Options]],","))),,X$11),"")</f>
        <v/>
      </c>
      <c r="Y26" s="30" cm="1">
        <f t="array" ref="Y26">IF(Table26789[[#This Row],[1]]="","",Table26789[[#This Row],[Weight]:[Weight]]-(Table26789[[#This Row],[Weight]:[Weight]]*((_xlfn.XMATCH(Table26789[[#This Row],[1]],Table26789[[#This Row],[1]:[11]],0))-1)/(COUNTA(Table26789[[#This Row],[1]:[11]])-COUNTBLANK(Table26789[[#This Row],[1]:[11]])-1)))</f>
        <v>4.1666666666666666E-3</v>
      </c>
      <c r="Z26" s="30" cm="1">
        <f t="array" ref="Z26">IF(Table26789[[#This Row],[2]]="","",Table26789[[#This Row],[Weight]:[Weight]]-(Table26789[[#This Row],[Weight]:[Weight]]*((_xlfn.XMATCH(Table26789[[#This Row],[2]],Table26789[[#This Row],[1]:[11]],0))-1)/(COUNTA(Table26789[[#This Row],[1]:[11]])-COUNTBLANK(Table26789[[#This Row],[1]:[11]])-1)))</f>
        <v>0</v>
      </c>
      <c r="AA26" s="30" t="str" cm="1">
        <f t="array" ref="AA26">IF(Table26789[[#This Row],[3]]="","",Table26789[[#This Row],[Weight]:[Weight]]-(Table26789[[#This Row],[Weight]:[Weight]]*((_xlfn.XMATCH(Table26789[[#This Row],[3]],Table26789[[#This Row],[1]:[11]],0))-1)/(COUNTA(Table26789[[#This Row],[1]:[11]])-COUNTBLANK(Table26789[[#This Row],[1]:[11]])-1)))</f>
        <v/>
      </c>
      <c r="AB26" s="30" t="str" cm="1">
        <f t="array" ref="AB26">IF(Table26789[[#This Row],[4]]="","",Table26789[[#This Row],[Weight]:[Weight]]-(Table26789[[#This Row],[Weight]:[Weight]]*((_xlfn.XMATCH(Table26789[[#This Row],[4]],Table26789[[#This Row],[1]:[11]],0))-1)/(COUNTA(Table26789[[#This Row],[1]:[11]])-COUNTBLANK(Table26789[[#This Row],[1]:[11]])-1)))</f>
        <v/>
      </c>
      <c r="AC26" s="30" t="str" cm="1">
        <f t="array" ref="AC26">IF(Table26789[[#This Row],[5]]="","",Table26789[[#This Row],[Weight]:[Weight]]-(Table26789[[#This Row],[Weight]:[Weight]]*((_xlfn.XMATCH(Table26789[[#This Row],[5]],Table26789[[#This Row],[1]:[11]],0))-1)/(COUNTA(Table26789[[#This Row],[1]:[11]])-COUNTBLANK(Table26789[[#This Row],[1]:[11]])-1)))</f>
        <v/>
      </c>
      <c r="AD26" s="30" t="str" cm="1">
        <f t="array" ref="AD26">IF(Table26789[[#This Row],[6]]="","",Table26789[[#This Row],[Weight]:[Weight]]-(Table26789[[#This Row],[Weight]:[Weight]]*((_xlfn.XMATCH(Table26789[[#This Row],[6]],Table26789[[#This Row],[1]:[11]],0))-1)/(COUNTA(Table26789[[#This Row],[1]:[11]])-COUNTBLANK(Table26789[[#This Row],[1]:[11]])-1)))</f>
        <v/>
      </c>
      <c r="AE26" s="30" t="str" cm="1">
        <f t="array" ref="AE26">IF(Table26789[[#This Row],[7]]="","",Table26789[[#This Row],[Weight]:[Weight]]-(Table26789[[#This Row],[Weight]:[Weight]]*((_xlfn.XMATCH(Table26789[[#This Row],[7]],Table26789[[#This Row],[1]:[11]],0))-1)/(COUNTA(Table26789[[#This Row],[1]:[11]])-COUNTBLANK(Table26789[[#This Row],[1]:[11]])-1)))</f>
        <v/>
      </c>
      <c r="AF26" s="30" t="str" cm="1">
        <f t="array" ref="AF26">IF(Table26789[[#This Row],[8]]="","",Table26789[[#This Row],[Weight]:[Weight]]-(Table26789[[#This Row],[Weight]:[Weight]]*((_xlfn.XMATCH(Table26789[[#This Row],[8]],Table26789[[#This Row],[1]:[11]],0))-1)/(COUNTA(Table26789[[#This Row],[1]:[11]])-COUNTBLANK(Table26789[[#This Row],[1]:[11]])-1)))</f>
        <v/>
      </c>
      <c r="AG26" s="30" t="str" cm="1">
        <f t="array" ref="AG26">IF(Table26789[[#This Row],[9]]="","",Table26789[[#This Row],[Weight]:[Weight]]-(Table26789[[#This Row],[Weight]:[Weight]]*((_xlfn.XMATCH(Table26789[[#This Row],[9]],Table26789[[#This Row],[1]:[11]],0))-1)/(COUNTA(Table26789[[#This Row],[1]:[11]])-COUNTBLANK(Table26789[[#This Row],[1]:[11]])-1)))</f>
        <v/>
      </c>
      <c r="AH26" s="30" t="str" cm="1">
        <f t="array" ref="AH26">IF(Table26789[[#This Row],[10]]="","",Table26789[[#This Row],[Weight]:[Weight]]-(Table26789[[#This Row],[Weight]:[Weight]]*((_xlfn.XMATCH(Table26789[[#This Row],[10]],Table26789[[#This Row],[1]:[11]],0))-1)/(COUNTA(Table26789[[#This Row],[1]:[11]])-COUNTBLANK(Table26789[[#This Row],[1]:[11]])-1)))</f>
        <v/>
      </c>
      <c r="AI26" s="30" t="str" cm="1">
        <f t="array" ref="AI26">IF(Table26789[[#This Row],[11]]="","",Table26789[[#This Row],[Weight]:[Weight]]-(Table26789[[#This Row],[Weight]:[Weight]]*((_xlfn.XMATCH(Table26789[[#This Row],[11]],Table26789[[#This Row],[1]:[11]],0))-1)/(COUNTA(Table26789[[#This Row],[1]:[11]])-COUNTBLANK(Table26789[[#This Row],[1]:[11]])-1)))</f>
        <v/>
      </c>
    </row>
    <row r="27" spans="1:35" ht="130" x14ac:dyDescent="0.25">
      <c r="A27" s="20"/>
      <c r="B27" s="176" t="s">
        <v>214</v>
      </c>
      <c r="C27" s="183" t="s">
        <v>215</v>
      </c>
      <c r="D27" s="28"/>
      <c r="E27" s="28"/>
      <c r="F27" s="22" t="s">
        <v>165</v>
      </c>
      <c r="G27" s="23" cm="1">
        <f t="array" ref="G27">_xlfn.IFS(F27="","",F27="No interest",0,F27="Nice to have",1,F27="Useful",2,F27="Important",3,F27="Very important",4,F27="Critical",5,F27="Show stopper",6)</f>
        <v>4</v>
      </c>
      <c r="H27" s="24">
        <f t="shared" si="1"/>
        <v>4.1666666666666666E-3</v>
      </c>
      <c r="I27" s="25" t="s">
        <v>135</v>
      </c>
      <c r="J27" s="25" t="str" cm="1">
        <f t="array" ref="J27">_xlfn.TEXTJOIN(","&amp;CHAR(10),,TEXT(Table26789[[#This Row],[12]:[22]],"0,00%"))</f>
        <v>0,00%,
0,00%</v>
      </c>
      <c r="K27" s="26" t="s">
        <v>120</v>
      </c>
      <c r="L27" s="27">
        <f>H27-(H27*((MATCH(Table26789[[#This Row],[Evaluators Response (SELECT)]],Table26789[[#This Row],[1]:[11]],0)-1)/(COUNTA(Table26789[[#This Row],[1]:[11]])-COUNTBLANK(Table26789[[#This Row],[1]:[11]])-1)))</f>
        <v>4.1666666666666666E-3</v>
      </c>
      <c r="M27" s="28"/>
      <c r="N27" s="41" t="str" cm="1">
        <f t="array" ref="N27">IFERROR(INDEX(_xlfn.UNIQUE(TRIM(_xlfn.TEXTSPLIT(Table26789[[#This Row],[Selection Options]:[Selection Options]],","))),,N$11),"")</f>
        <v>Yes</v>
      </c>
      <c r="O27" s="41" t="str" cm="1">
        <f t="array" ref="O27">IFERROR(INDEX(_xlfn.UNIQUE(TRIM(_xlfn.TEXTSPLIT(Table26789[[#This Row],[Selection Options]],","))),,O$11),"")</f>
        <v xml:space="preserve">
No</v>
      </c>
      <c r="P27" s="41" t="str" cm="1">
        <f t="array" ref="P27">IFERROR(INDEX(_xlfn.UNIQUE(TRIM(_xlfn.TEXTSPLIT(Table26789[[#This Row],[Selection Options]],","))),,P$11),"")</f>
        <v/>
      </c>
      <c r="Q27" s="41" t="str" cm="1">
        <f t="array" ref="Q27">IFERROR(INDEX(_xlfn.UNIQUE(TRIM(_xlfn.TEXTSPLIT(Table26789[[#This Row],[Selection Options]],","))),,Q$11),"")</f>
        <v/>
      </c>
      <c r="R27" s="42" t="str" cm="1">
        <f t="array" ref="R27">IFERROR(INDEX(_xlfn.UNIQUE(TRIM(_xlfn.TEXTSPLIT(Table26789[[#This Row],[Selection Options]],","))),,R$11),"")</f>
        <v/>
      </c>
      <c r="S27" s="41" t="str" cm="1">
        <f t="array" ref="S27">IFERROR(INDEX(_xlfn.UNIQUE(TRIM(_xlfn.TEXTSPLIT(Table26789[[#This Row],[Selection Options]],","))),,S$11),"")</f>
        <v/>
      </c>
      <c r="T27" s="41" t="str" cm="1">
        <f t="array" ref="T27">IFERROR(INDEX(_xlfn.UNIQUE(TRIM(_xlfn.TEXTSPLIT(Table26789[[#This Row],[Selection Options]],","))),,T$11),"")</f>
        <v/>
      </c>
      <c r="U27" s="41" t="str" cm="1">
        <f t="array" ref="U27">IFERROR(INDEX(_xlfn.UNIQUE(TRIM(_xlfn.TEXTSPLIT(Table26789[[#This Row],[Selection Options]],","))),,U$11),"")</f>
        <v/>
      </c>
      <c r="V27" s="41" t="str" cm="1">
        <f t="array" ref="V27">IFERROR(INDEX(_xlfn.UNIQUE(TRIM(_xlfn.TEXTSPLIT(Table26789[[#This Row],[Selection Options]],","))),,V$11),"")</f>
        <v/>
      </c>
      <c r="W27" s="41" t="str" cm="1">
        <f t="array" ref="W27">IFERROR(INDEX(_xlfn.UNIQUE(TRIM(_xlfn.TEXTSPLIT(Table26789[[#This Row],[Selection Options]],","))),,W$11),"")</f>
        <v/>
      </c>
      <c r="X27" s="41" t="str" cm="1">
        <f t="array" ref="X27">IFERROR(INDEX(_xlfn.UNIQUE(TRIM(_xlfn.TEXTSPLIT(Table26789[[#This Row],[Selection Options]],","))),,X$11),"")</f>
        <v/>
      </c>
      <c r="Y27" s="30" cm="1">
        <f t="array" ref="Y27">IF(Table26789[[#This Row],[1]]="","",Table26789[[#This Row],[Weight]:[Weight]]-(Table26789[[#This Row],[Weight]:[Weight]]*((_xlfn.XMATCH(Table26789[[#This Row],[1]],Table26789[[#This Row],[1]:[11]],0))-1)/(COUNTA(Table26789[[#This Row],[1]:[11]])-COUNTBLANK(Table26789[[#This Row],[1]:[11]])-1)))</f>
        <v>4.1666666666666666E-3</v>
      </c>
      <c r="Z27" s="30" cm="1">
        <f t="array" ref="Z27">IF(Table26789[[#This Row],[2]]="","",Table26789[[#This Row],[Weight]:[Weight]]-(Table26789[[#This Row],[Weight]:[Weight]]*((_xlfn.XMATCH(Table26789[[#This Row],[2]],Table26789[[#This Row],[1]:[11]],0))-1)/(COUNTA(Table26789[[#This Row],[1]:[11]])-COUNTBLANK(Table26789[[#This Row],[1]:[11]])-1)))</f>
        <v>0</v>
      </c>
      <c r="AA27" s="30" t="str" cm="1">
        <f t="array" ref="AA27">IF(Table26789[[#This Row],[3]]="","",Table26789[[#This Row],[Weight]:[Weight]]-(Table26789[[#This Row],[Weight]:[Weight]]*((_xlfn.XMATCH(Table26789[[#This Row],[3]],Table26789[[#This Row],[1]:[11]],0))-1)/(COUNTA(Table26789[[#This Row],[1]:[11]])-COUNTBLANK(Table26789[[#This Row],[1]:[11]])-1)))</f>
        <v/>
      </c>
      <c r="AB27" s="30" t="str" cm="1">
        <f t="array" ref="AB27">IF(Table26789[[#This Row],[4]]="","",Table26789[[#This Row],[Weight]:[Weight]]-(Table26789[[#This Row],[Weight]:[Weight]]*((_xlfn.XMATCH(Table26789[[#This Row],[4]],Table26789[[#This Row],[1]:[11]],0))-1)/(COUNTA(Table26789[[#This Row],[1]:[11]])-COUNTBLANK(Table26789[[#This Row],[1]:[11]])-1)))</f>
        <v/>
      </c>
      <c r="AC27" s="30" t="str" cm="1">
        <f t="array" ref="AC27">IF(Table26789[[#This Row],[5]]="","",Table26789[[#This Row],[Weight]:[Weight]]-(Table26789[[#This Row],[Weight]:[Weight]]*((_xlfn.XMATCH(Table26789[[#This Row],[5]],Table26789[[#This Row],[1]:[11]],0))-1)/(COUNTA(Table26789[[#This Row],[1]:[11]])-COUNTBLANK(Table26789[[#This Row],[1]:[11]])-1)))</f>
        <v/>
      </c>
      <c r="AD27" s="30" t="str" cm="1">
        <f t="array" ref="AD27">IF(Table26789[[#This Row],[6]]="","",Table26789[[#This Row],[Weight]:[Weight]]-(Table26789[[#This Row],[Weight]:[Weight]]*((_xlfn.XMATCH(Table26789[[#This Row],[6]],Table26789[[#This Row],[1]:[11]],0))-1)/(COUNTA(Table26789[[#This Row],[1]:[11]])-COUNTBLANK(Table26789[[#This Row],[1]:[11]])-1)))</f>
        <v/>
      </c>
      <c r="AE27" s="30" t="str" cm="1">
        <f t="array" ref="AE27">IF(Table26789[[#This Row],[7]]="","",Table26789[[#This Row],[Weight]:[Weight]]-(Table26789[[#This Row],[Weight]:[Weight]]*((_xlfn.XMATCH(Table26789[[#This Row],[7]],Table26789[[#This Row],[1]:[11]],0))-1)/(COUNTA(Table26789[[#This Row],[1]:[11]])-COUNTBLANK(Table26789[[#This Row],[1]:[11]])-1)))</f>
        <v/>
      </c>
      <c r="AF27" s="30" t="str" cm="1">
        <f t="array" ref="AF27">IF(Table26789[[#This Row],[8]]="","",Table26789[[#This Row],[Weight]:[Weight]]-(Table26789[[#This Row],[Weight]:[Weight]]*((_xlfn.XMATCH(Table26789[[#This Row],[8]],Table26789[[#This Row],[1]:[11]],0))-1)/(COUNTA(Table26789[[#This Row],[1]:[11]])-COUNTBLANK(Table26789[[#This Row],[1]:[11]])-1)))</f>
        <v/>
      </c>
      <c r="AG27" s="41" t="str" cm="1">
        <f t="array" ref="AG27">IF(Table26789[[#This Row],[9]]="","",Table26789[[#This Row],[Weight]:[Weight]]-(Table26789[[#This Row],[Weight]:[Weight]]*((_xlfn.XMATCH(Table26789[[#This Row],[9]],Table26789[[#This Row],[1]:[11]],0))-1)/(COUNTA(Table26789[[#This Row],[1]:[11]])-COUNTBLANK(Table26789[[#This Row],[1]:[11]])-1)))</f>
        <v/>
      </c>
      <c r="AH27" s="41" t="str" cm="1">
        <f t="array" ref="AH27">IF(Table26789[[#This Row],[10]]="","",Table26789[[#This Row],[Weight]:[Weight]]-(Table26789[[#This Row],[Weight]:[Weight]]*((_xlfn.XMATCH(Table26789[[#This Row],[10]],Table26789[[#This Row],[1]:[11]],0))-1)/(COUNTA(Table26789[[#This Row],[1]:[11]])-COUNTBLANK(Table26789[[#This Row],[1]:[11]])-1)))</f>
        <v/>
      </c>
      <c r="AI27" s="41" t="str" cm="1">
        <f t="array" ref="AI27">IF(Table26789[[#This Row],[11]]="","",Table26789[[#This Row],[Weight]:[Weight]]-(Table26789[[#This Row],[Weight]:[Weight]]*((_xlfn.XMATCH(Table26789[[#This Row],[11]],Table26789[[#This Row],[1]:[11]],0))-1)/(COUNTA(Table26789[[#This Row],[1]:[11]])-COUNTBLANK(Table26789[[#This Row],[1]:[11]])-1)))</f>
        <v/>
      </c>
    </row>
    <row r="28" spans="1:35" ht="80.5" x14ac:dyDescent="0.25">
      <c r="A28" s="32"/>
      <c r="B28" s="187" t="s">
        <v>216</v>
      </c>
      <c r="C28" s="188" t="s">
        <v>217</v>
      </c>
      <c r="D28" s="40"/>
      <c r="E28" s="40"/>
      <c r="F28" s="22" t="s">
        <v>165</v>
      </c>
      <c r="G28" s="35" cm="1">
        <f t="array" ref="G28">_xlfn.IFS(F28="","",F28="No interest",0,F28="Nice to have",1,F28="Useful",2,F28="Important",3,F28="Very important",4,F28="Critical",5,F28="Show stopper",6)</f>
        <v>4</v>
      </c>
      <c r="H28" s="36">
        <f t="shared" si="1"/>
        <v>4.1666666666666666E-3</v>
      </c>
      <c r="I28" s="25" t="s">
        <v>135</v>
      </c>
      <c r="J28" s="25" t="str" cm="1">
        <f t="array" ref="J28">_xlfn.TEXTJOIN(","&amp;CHAR(10),,TEXT(Table26789[[#This Row],[12]:[22]],"0,00%"))</f>
        <v>0,00%,
0,00%</v>
      </c>
      <c r="K28" s="26" t="s">
        <v>120</v>
      </c>
      <c r="L28" s="39">
        <f>H28-(H28*((MATCH(Table26789[[#This Row],[Evaluators Response (SELECT)]],Table26789[[#This Row],[1]:[11]],0)-1)/(COUNTA(Table26789[[#This Row],[1]:[11]])-COUNTBLANK(Table26789[[#This Row],[1]:[11]])-1)))</f>
        <v>4.1666666666666666E-3</v>
      </c>
      <c r="M28" s="40"/>
      <c r="N28" s="29" t="str" cm="1">
        <f t="array" ref="N28">IFERROR(INDEX(_xlfn.UNIQUE(TRIM(_xlfn.TEXTSPLIT(Table26789[[#This Row],[Selection Options]:[Selection Options]],","))),,N$11),"")</f>
        <v>Yes</v>
      </c>
      <c r="O28" s="29" t="str" cm="1">
        <f t="array" ref="O28">IFERROR(INDEX(_xlfn.UNIQUE(TRIM(_xlfn.TEXTSPLIT(Table26789[[#This Row],[Selection Options]:[Selection Options]],","))),,O$11),"")</f>
        <v xml:space="preserve">
No</v>
      </c>
      <c r="P28" s="29" t="str" cm="1">
        <f t="array" ref="P28">IFERROR(INDEX(_xlfn.UNIQUE(TRIM(_xlfn.TEXTSPLIT(Table26789[[#This Row],[Selection Options]:[Selection Options]],","))),,P$11),"")</f>
        <v/>
      </c>
      <c r="Q28" s="29" t="str" cm="1">
        <f t="array" ref="Q28">IFERROR(INDEX(_xlfn.UNIQUE(TRIM(_xlfn.TEXTSPLIT(Table26789[[#This Row],[Selection Options]:[Selection Options]],","))),,Q$11),"")</f>
        <v/>
      </c>
      <c r="R28" s="29" t="str" cm="1">
        <f t="array" ref="R28">IFERROR(INDEX(_xlfn.UNIQUE(TRIM(_xlfn.TEXTSPLIT(Table26789[[#This Row],[Selection Options]:[Selection Options]],","))),,R$11),"")</f>
        <v/>
      </c>
      <c r="S28" s="29" t="str" cm="1">
        <f t="array" ref="S28">IFERROR(INDEX(_xlfn.UNIQUE(TRIM(_xlfn.TEXTSPLIT(Table26789[[#This Row],[Selection Options]:[Selection Options]],","))),,S$11),"")</f>
        <v/>
      </c>
      <c r="T28" s="29" t="str" cm="1">
        <f t="array" ref="T28">IFERROR(INDEX(_xlfn.UNIQUE(TRIM(_xlfn.TEXTSPLIT(Table26789[[#This Row],[Selection Options]:[Selection Options]],","))),,T$11),"")</f>
        <v/>
      </c>
      <c r="U28" s="29" t="str" cm="1">
        <f t="array" ref="U28">IFERROR(INDEX(_xlfn.UNIQUE(TRIM(_xlfn.TEXTSPLIT(Table26789[[#This Row],[Selection Options]:[Selection Options]],","))),,U$11),"")</f>
        <v/>
      </c>
      <c r="V28" s="29" t="str" cm="1">
        <f t="array" ref="V28">IFERROR(INDEX(_xlfn.UNIQUE(TRIM(_xlfn.TEXTSPLIT(Table26789[[#This Row],[Selection Options]:[Selection Options]],","))),,V$11),"")</f>
        <v/>
      </c>
      <c r="W28" s="29" t="str" cm="1">
        <f t="array" ref="W28">IFERROR(INDEX(_xlfn.UNIQUE(TRIM(_xlfn.TEXTSPLIT(Table26789[[#This Row],[Selection Options]:[Selection Options]],","))),,W$11),"")</f>
        <v/>
      </c>
      <c r="X28" s="29" t="str" cm="1">
        <f t="array" ref="X28">IFERROR(INDEX(_xlfn.UNIQUE(TRIM(_xlfn.TEXTSPLIT(Table26789[[#This Row],[Selection Options]:[Selection Options]],","))),,X$11),"")</f>
        <v/>
      </c>
      <c r="Y28" s="30" cm="1">
        <f t="array" ref="Y28">IF(Table26789[[#This Row],[1]]="","",Table26789[[#This Row],[Weight]:[Weight]]-(Table26789[[#This Row],[Weight]:[Weight]]*((_xlfn.XMATCH(Table26789[[#This Row],[1]],Table26789[[#This Row],[1]:[11]],0))-1)/(COUNTA(Table26789[[#This Row],[1]:[11]])-COUNTBLANK(Table26789[[#This Row],[1]:[11]])-1)))</f>
        <v>4.1666666666666666E-3</v>
      </c>
      <c r="Z28" s="30" cm="1">
        <f t="array" ref="Z28">IF(Table26789[[#This Row],[2]]="","",Table26789[[#This Row],[Weight]:[Weight]]-(Table26789[[#This Row],[Weight]:[Weight]]*((_xlfn.XMATCH(Table26789[[#This Row],[2]],Table26789[[#This Row],[1]:[11]],0))-1)/(COUNTA(Table26789[[#This Row],[1]:[11]])-COUNTBLANK(Table26789[[#This Row],[1]:[11]])-1)))</f>
        <v>0</v>
      </c>
      <c r="AA28" s="30" t="str" cm="1">
        <f t="array" ref="AA28">IF(Table26789[[#This Row],[3]]="","",Table26789[[#This Row],[Weight]:[Weight]]-(Table26789[[#This Row],[Weight]:[Weight]]*((_xlfn.XMATCH(Table26789[[#This Row],[3]],Table26789[[#This Row],[1]:[11]],0))-1)/(COUNTA(Table26789[[#This Row],[1]:[11]])-COUNTBLANK(Table26789[[#This Row],[1]:[11]])-1)))</f>
        <v/>
      </c>
      <c r="AB28" s="30" t="str" cm="1">
        <f t="array" ref="AB28">IF(Table26789[[#This Row],[4]]="","",Table26789[[#This Row],[Weight]:[Weight]]-(Table26789[[#This Row],[Weight]:[Weight]]*((_xlfn.XMATCH(Table26789[[#This Row],[4]],Table26789[[#This Row],[1]:[11]],0))-1)/(COUNTA(Table26789[[#This Row],[1]:[11]])-COUNTBLANK(Table26789[[#This Row],[1]:[11]])-1)))</f>
        <v/>
      </c>
      <c r="AC28" s="30" t="str" cm="1">
        <f t="array" ref="AC28">IF(Table26789[[#This Row],[5]]="","",Table26789[[#This Row],[Weight]:[Weight]]-(Table26789[[#This Row],[Weight]:[Weight]]*((_xlfn.XMATCH(Table26789[[#This Row],[5]],Table26789[[#This Row],[1]:[11]],0))-1)/(COUNTA(Table26789[[#This Row],[1]:[11]])-COUNTBLANK(Table26789[[#This Row],[1]:[11]])-1)))</f>
        <v/>
      </c>
      <c r="AD28" s="30" t="str" cm="1">
        <f t="array" ref="AD28">IF(Table26789[[#This Row],[6]]="","",Table26789[[#This Row],[Weight]:[Weight]]-(Table26789[[#This Row],[Weight]:[Weight]]*((_xlfn.XMATCH(Table26789[[#This Row],[6]],Table26789[[#This Row],[1]:[11]],0))-1)/(COUNTA(Table26789[[#This Row],[1]:[11]])-COUNTBLANK(Table26789[[#This Row],[1]:[11]])-1)))</f>
        <v/>
      </c>
      <c r="AE28" s="30" t="str" cm="1">
        <f t="array" ref="AE28">IF(Table26789[[#This Row],[7]]="","",Table26789[[#This Row],[Weight]:[Weight]]-(Table26789[[#This Row],[Weight]:[Weight]]*((_xlfn.XMATCH(Table26789[[#This Row],[7]],Table26789[[#This Row],[1]:[11]],0))-1)/(COUNTA(Table26789[[#This Row],[1]:[11]])-COUNTBLANK(Table26789[[#This Row],[1]:[11]])-1)))</f>
        <v/>
      </c>
      <c r="AF28" s="30" t="str" cm="1">
        <f t="array" ref="AF28">IF(Table26789[[#This Row],[8]]="","",Table26789[[#This Row],[Weight]:[Weight]]-(Table26789[[#This Row],[Weight]:[Weight]]*((_xlfn.XMATCH(Table26789[[#This Row],[8]],Table26789[[#This Row],[1]:[11]],0))-1)/(COUNTA(Table26789[[#This Row],[1]:[11]])-COUNTBLANK(Table26789[[#This Row],[1]:[11]])-1)))</f>
        <v/>
      </c>
      <c r="AG28" s="30" t="str" cm="1">
        <f t="array" ref="AG28">IF(Table26789[[#This Row],[9]]="","",Table26789[[#This Row],[Weight]:[Weight]]-(Table26789[[#This Row],[Weight]:[Weight]]*((_xlfn.XMATCH(Table26789[[#This Row],[9]],Table26789[[#This Row],[1]:[11]],0))-1)/(COUNTA(Table26789[[#This Row],[1]:[11]])-COUNTBLANK(Table26789[[#This Row],[1]:[11]])-1)))</f>
        <v/>
      </c>
      <c r="AH28" s="30" t="str" cm="1">
        <f t="array" ref="AH28">IF(Table26789[[#This Row],[10]]="","",Table26789[[#This Row],[Weight]:[Weight]]-(Table26789[[#This Row],[Weight]:[Weight]]*((_xlfn.XMATCH(Table26789[[#This Row],[10]],Table26789[[#This Row],[1]:[11]],0))-1)/(COUNTA(Table26789[[#This Row],[1]:[11]])-COUNTBLANK(Table26789[[#This Row],[1]:[11]])-1)))</f>
        <v/>
      </c>
      <c r="AI28" s="30" t="str" cm="1">
        <f t="array" ref="AI28">IF(Table26789[[#This Row],[11]]="","",Table26789[[#This Row],[Weight]:[Weight]]-(Table26789[[#This Row],[Weight]:[Weight]]*((_xlfn.XMATCH(Table26789[[#This Row],[11]],Table26789[[#This Row],[1]:[11]],0))-1)/(COUNTA(Table26789[[#This Row],[1]:[11]])-COUNTBLANK(Table26789[[#This Row],[1]:[11]])-1)))</f>
        <v/>
      </c>
    </row>
    <row r="29" spans="1:35" ht="100.5" x14ac:dyDescent="0.25">
      <c r="A29" s="32"/>
      <c r="B29" s="189" t="s">
        <v>218</v>
      </c>
      <c r="C29" s="188" t="s">
        <v>219</v>
      </c>
      <c r="D29" s="40"/>
      <c r="E29" s="40"/>
      <c r="F29" s="22" t="s">
        <v>165</v>
      </c>
      <c r="G29" s="35" cm="1">
        <f t="array" ref="G29">_xlfn.IFS(F29="","",F29="No interest",0,F29="Nice to have",1,F29="Useful",2,F29="Important",3,F29="Very important",4,F29="Critical",5,F29="Show stopper",6)</f>
        <v>4</v>
      </c>
      <c r="H29" s="36">
        <f t="shared" si="1"/>
        <v>4.1666666666666666E-3</v>
      </c>
      <c r="I29" s="25" t="s">
        <v>135</v>
      </c>
      <c r="J29" s="25" t="str" cm="1">
        <f t="array" ref="J29">_xlfn.TEXTJOIN(","&amp;CHAR(10),,TEXT(Table26789[[#This Row],[12]:[22]],"0,00%"))</f>
        <v>0,00%,
0,00%</v>
      </c>
      <c r="K29" s="26" t="s">
        <v>120</v>
      </c>
      <c r="L29" s="39">
        <f>H29-(H29*((MATCH(Table26789[[#This Row],[Evaluators Response (SELECT)]],Table26789[[#This Row],[1]:[11]],0)-1)/(COUNTA(Table26789[[#This Row],[1]:[11]])-COUNTBLANK(Table26789[[#This Row],[1]:[11]])-1)))</f>
        <v>4.1666666666666666E-3</v>
      </c>
      <c r="M29" s="40"/>
      <c r="N29" s="29" t="str" cm="1">
        <f t="array" ref="N29">IFERROR(INDEX(_xlfn.UNIQUE(TRIM(_xlfn.TEXTSPLIT(Table26789[[#This Row],[Selection Options]:[Selection Options]],","))),,N$11),"")</f>
        <v>Yes</v>
      </c>
      <c r="O29" s="29" t="str" cm="1">
        <f t="array" ref="O29">IFERROR(INDEX(_xlfn.UNIQUE(TRIM(_xlfn.TEXTSPLIT(Table26789[[#This Row],[Selection Options]],","))),,O$11),"")</f>
        <v xml:space="preserve">
No</v>
      </c>
      <c r="P29" s="29" t="str" cm="1">
        <f t="array" ref="P29">IFERROR(INDEX(_xlfn.UNIQUE(TRIM(_xlfn.TEXTSPLIT(Table26789[[#This Row],[Selection Options]],","))),,P$11),"")</f>
        <v/>
      </c>
      <c r="Q29" s="29" t="str" cm="1">
        <f t="array" ref="Q29">IFERROR(INDEX(_xlfn.UNIQUE(TRIM(_xlfn.TEXTSPLIT(Table26789[[#This Row],[Selection Options]],","))),,Q$11),"")</f>
        <v/>
      </c>
      <c r="R29" s="43" t="str" cm="1">
        <f t="array" ref="R29">IFERROR(INDEX(_xlfn.UNIQUE(TRIM(_xlfn.TEXTSPLIT(Table26789[[#This Row],[Selection Options]],","))),,R$11),"")</f>
        <v/>
      </c>
      <c r="S29" s="29" t="str" cm="1">
        <f t="array" ref="S29">IFERROR(INDEX(_xlfn.UNIQUE(TRIM(_xlfn.TEXTSPLIT(Table26789[[#This Row],[Selection Options]],","))),,S$11),"")</f>
        <v/>
      </c>
      <c r="T29" s="29" t="str" cm="1">
        <f t="array" ref="T29">IFERROR(INDEX(_xlfn.UNIQUE(TRIM(_xlfn.TEXTSPLIT(Table26789[[#This Row],[Selection Options]],","))),,T$11),"")</f>
        <v/>
      </c>
      <c r="U29" s="29" t="str" cm="1">
        <f t="array" ref="U29">IFERROR(INDEX(_xlfn.UNIQUE(TRIM(_xlfn.TEXTSPLIT(Table26789[[#This Row],[Selection Options]],","))),,U$11),"")</f>
        <v/>
      </c>
      <c r="V29" s="29" t="str" cm="1">
        <f t="array" ref="V29">IFERROR(INDEX(_xlfn.UNIQUE(TRIM(_xlfn.TEXTSPLIT(Table26789[[#This Row],[Selection Options]],","))),,V$11),"")</f>
        <v/>
      </c>
      <c r="W29" s="29" t="str" cm="1">
        <f t="array" ref="W29">IFERROR(INDEX(_xlfn.UNIQUE(TRIM(_xlfn.TEXTSPLIT(Table26789[[#This Row],[Selection Options]],","))),,W$11),"")</f>
        <v/>
      </c>
      <c r="X29" s="29" t="str" cm="1">
        <f t="array" ref="X29">IFERROR(INDEX(_xlfn.UNIQUE(TRIM(_xlfn.TEXTSPLIT(Table26789[[#This Row],[Selection Options]],","))),,X$11),"")</f>
        <v/>
      </c>
      <c r="Y29" s="30" cm="1">
        <f t="array" ref="Y29">IF(Table26789[[#This Row],[1]]="","",Table26789[[#This Row],[Weight]:[Weight]]-(Table26789[[#This Row],[Weight]:[Weight]]*((_xlfn.XMATCH(Table26789[[#This Row],[1]],Table26789[[#This Row],[1]:[11]],0))-1)/(COUNTA(Table26789[[#This Row],[1]:[11]])-COUNTBLANK(Table26789[[#This Row],[1]:[11]])-1)))</f>
        <v>4.1666666666666666E-3</v>
      </c>
      <c r="Z29" s="30" cm="1">
        <f t="array" ref="Z29">IF(Table26789[[#This Row],[2]]="","",Table26789[[#This Row],[Weight]:[Weight]]-(Table26789[[#This Row],[Weight]:[Weight]]*((_xlfn.XMATCH(Table26789[[#This Row],[2]],Table26789[[#This Row],[1]:[11]],0))-1)/(COUNTA(Table26789[[#This Row],[1]:[11]])-COUNTBLANK(Table26789[[#This Row],[1]:[11]])-1)))</f>
        <v>0</v>
      </c>
      <c r="AA29" s="30" t="str" cm="1">
        <f t="array" ref="AA29">IF(Table26789[[#This Row],[3]]="","",Table26789[[#This Row],[Weight]:[Weight]]-(Table26789[[#This Row],[Weight]:[Weight]]*((_xlfn.XMATCH(Table26789[[#This Row],[3]],Table26789[[#This Row],[1]:[11]],0))-1)/(COUNTA(Table26789[[#This Row],[1]:[11]])-COUNTBLANK(Table26789[[#This Row],[1]:[11]])-1)))</f>
        <v/>
      </c>
      <c r="AB29" s="30" t="str" cm="1">
        <f t="array" ref="AB29">IF(Table26789[[#This Row],[4]]="","",Table26789[[#This Row],[Weight]:[Weight]]-(Table26789[[#This Row],[Weight]:[Weight]]*((_xlfn.XMATCH(Table26789[[#This Row],[4]],Table26789[[#This Row],[1]:[11]],0))-1)/(COUNTA(Table26789[[#This Row],[1]:[11]])-COUNTBLANK(Table26789[[#This Row],[1]:[11]])-1)))</f>
        <v/>
      </c>
      <c r="AC29" s="30" t="str" cm="1">
        <f t="array" ref="AC29">IF(Table26789[[#This Row],[5]]="","",Table26789[[#This Row],[Weight]:[Weight]]-(Table26789[[#This Row],[Weight]:[Weight]]*((_xlfn.XMATCH(Table26789[[#This Row],[5]],Table26789[[#This Row],[1]:[11]],0))-1)/(COUNTA(Table26789[[#This Row],[1]:[11]])-COUNTBLANK(Table26789[[#This Row],[1]:[11]])-1)))</f>
        <v/>
      </c>
      <c r="AD29" s="30" t="str" cm="1">
        <f t="array" ref="AD29">IF(Table26789[[#This Row],[6]]="","",Table26789[[#This Row],[Weight]:[Weight]]-(Table26789[[#This Row],[Weight]:[Weight]]*((_xlfn.XMATCH(Table26789[[#This Row],[6]],Table26789[[#This Row],[1]:[11]],0))-1)/(COUNTA(Table26789[[#This Row],[1]:[11]])-COUNTBLANK(Table26789[[#This Row],[1]:[11]])-1)))</f>
        <v/>
      </c>
      <c r="AE29" s="30" t="str" cm="1">
        <f t="array" ref="AE29">IF(Table26789[[#This Row],[7]]="","",Table26789[[#This Row],[Weight]:[Weight]]-(Table26789[[#This Row],[Weight]:[Weight]]*((_xlfn.XMATCH(Table26789[[#This Row],[7]],Table26789[[#This Row],[1]:[11]],0))-1)/(COUNTA(Table26789[[#This Row],[1]:[11]])-COUNTBLANK(Table26789[[#This Row],[1]:[11]])-1)))</f>
        <v/>
      </c>
      <c r="AF29" s="30" t="str" cm="1">
        <f t="array" ref="AF29">IF(Table26789[[#This Row],[8]]="","",Table26789[[#This Row],[Weight]:[Weight]]-(Table26789[[#This Row],[Weight]:[Weight]]*((_xlfn.XMATCH(Table26789[[#This Row],[8]],Table26789[[#This Row],[1]:[11]],0))-1)/(COUNTA(Table26789[[#This Row],[1]:[11]])-COUNTBLANK(Table26789[[#This Row],[1]:[11]])-1)))</f>
        <v/>
      </c>
      <c r="AG29" s="30" t="str" cm="1">
        <f t="array" ref="AG29">IF(Table26789[[#This Row],[9]]="","",Table26789[[#This Row],[Weight]:[Weight]]-(Table26789[[#This Row],[Weight]:[Weight]]*((_xlfn.XMATCH(Table26789[[#This Row],[9]],Table26789[[#This Row],[1]:[11]],0))-1)/(COUNTA(Table26789[[#This Row],[1]:[11]])-COUNTBLANK(Table26789[[#This Row],[1]:[11]])-1)))</f>
        <v/>
      </c>
      <c r="AH29" s="30" t="str" cm="1">
        <f t="array" ref="AH29">IF(Table26789[[#This Row],[10]]="","",Table26789[[#This Row],[Weight]:[Weight]]-(Table26789[[#This Row],[Weight]:[Weight]]*((_xlfn.XMATCH(Table26789[[#This Row],[10]],Table26789[[#This Row],[1]:[11]],0))-1)/(COUNTA(Table26789[[#This Row],[1]:[11]])-COUNTBLANK(Table26789[[#This Row],[1]:[11]])-1)))</f>
        <v/>
      </c>
      <c r="AI29" s="30" t="str" cm="1">
        <f t="array" ref="AI29">IF(Table26789[[#This Row],[11]]="","",Table26789[[#This Row],[Weight]:[Weight]]-(Table26789[[#This Row],[Weight]:[Weight]]*((_xlfn.XMATCH(Table26789[[#This Row],[11]],Table26789[[#This Row],[1]:[11]],0))-1)/(COUNTA(Table26789[[#This Row],[1]:[11]])-COUNTBLANK(Table26789[[#This Row],[1]:[11]])-1)))</f>
        <v/>
      </c>
    </row>
    <row r="30" spans="1:35" ht="40" x14ac:dyDescent="0.25">
      <c r="A30" s="32"/>
      <c r="B30" s="189" t="s">
        <v>220</v>
      </c>
      <c r="C30" s="188" t="s">
        <v>221</v>
      </c>
      <c r="D30" s="40"/>
      <c r="E30" s="40"/>
      <c r="F30" s="22" t="s">
        <v>165</v>
      </c>
      <c r="G30" s="35" cm="1">
        <f t="array" ref="G30">_xlfn.IFS(F30="","",F30="No interest",0,F30="Nice to have",1,F30="Useful",2,F30="Important",3,F30="Very important",4,F30="Critical",5,F30="Show stopper",6)</f>
        <v>4</v>
      </c>
      <c r="H30" s="36">
        <f t="shared" si="1"/>
        <v>4.1666666666666666E-3</v>
      </c>
      <c r="I30" s="25" t="s">
        <v>135</v>
      </c>
      <c r="J30" s="25" t="str" cm="1">
        <f t="array" ref="J30">_xlfn.TEXTJOIN(","&amp;CHAR(10),,TEXT(Table26789[[#This Row],[12]:[22]],"0,00%"))</f>
        <v>0,00%,
0,00%</v>
      </c>
      <c r="K30" s="26" t="s">
        <v>120</v>
      </c>
      <c r="L30" s="39">
        <f>H30-(H30*((MATCH(Table26789[[#This Row],[Evaluators Response (SELECT)]],Table26789[[#This Row],[1]:[11]],0)-1)/(COUNTA(Table26789[[#This Row],[1]:[11]])-COUNTBLANK(Table26789[[#This Row],[1]:[11]])-1)))</f>
        <v>4.1666666666666666E-3</v>
      </c>
      <c r="M30" s="40"/>
      <c r="N30" s="29" t="str" cm="1">
        <f t="array" ref="N30">IFERROR(INDEX(_xlfn.UNIQUE(TRIM(_xlfn.TEXTSPLIT(Table26789[[#This Row],[Selection Options]:[Selection Options]],","))),,N$11),"")</f>
        <v>Yes</v>
      </c>
      <c r="O30" s="29" t="str" cm="1">
        <f t="array" ref="O30">IFERROR(INDEX(_xlfn.UNIQUE(TRIM(_xlfn.TEXTSPLIT(Table26789[[#This Row],[Selection Options]],","))),,O$11),"")</f>
        <v xml:space="preserve">
No</v>
      </c>
      <c r="P30" s="29" t="str" cm="1">
        <f t="array" ref="P30">IFERROR(INDEX(_xlfn.UNIQUE(TRIM(_xlfn.TEXTSPLIT(Table26789[[#This Row],[Selection Options]],","))),,P$11),"")</f>
        <v/>
      </c>
      <c r="Q30" s="29" t="str" cm="1">
        <f t="array" ref="Q30">IFERROR(INDEX(_xlfn.UNIQUE(TRIM(_xlfn.TEXTSPLIT(Table26789[[#This Row],[Selection Options]],","))),,Q$11),"")</f>
        <v/>
      </c>
      <c r="R30" s="43" t="str" cm="1">
        <f t="array" ref="R30">IFERROR(INDEX(_xlfn.UNIQUE(TRIM(_xlfn.TEXTSPLIT(Table26789[[#This Row],[Selection Options]],","))),,R$11),"")</f>
        <v/>
      </c>
      <c r="S30" s="29" t="str" cm="1">
        <f t="array" ref="S30">IFERROR(INDEX(_xlfn.UNIQUE(TRIM(_xlfn.TEXTSPLIT(Table26789[[#This Row],[Selection Options]],","))),,S$11),"")</f>
        <v/>
      </c>
      <c r="T30" s="29" t="str" cm="1">
        <f t="array" ref="T30">IFERROR(INDEX(_xlfn.UNIQUE(TRIM(_xlfn.TEXTSPLIT(Table26789[[#This Row],[Selection Options]],","))),,T$11),"")</f>
        <v/>
      </c>
      <c r="U30" s="29" t="str" cm="1">
        <f t="array" ref="U30">IFERROR(INDEX(_xlfn.UNIQUE(TRIM(_xlfn.TEXTSPLIT(Table26789[[#This Row],[Selection Options]],","))),,U$11),"")</f>
        <v/>
      </c>
      <c r="V30" s="29" t="str" cm="1">
        <f t="array" ref="V30">IFERROR(INDEX(_xlfn.UNIQUE(TRIM(_xlfn.TEXTSPLIT(Table26789[[#This Row],[Selection Options]],","))),,V$11),"")</f>
        <v/>
      </c>
      <c r="W30" s="29" t="str" cm="1">
        <f t="array" ref="W30">IFERROR(INDEX(_xlfn.UNIQUE(TRIM(_xlfn.TEXTSPLIT(Table26789[[#This Row],[Selection Options]],","))),,W$11),"")</f>
        <v/>
      </c>
      <c r="X30" s="29" t="str" cm="1">
        <f t="array" ref="X30">IFERROR(INDEX(_xlfn.UNIQUE(TRIM(_xlfn.TEXTSPLIT(Table26789[[#This Row],[Selection Options]],","))),,X$11),"")</f>
        <v/>
      </c>
      <c r="Y30" s="44" cm="1">
        <f t="array" ref="Y30">IF(Table26789[[#This Row],[1]]="","",Table26789[[#This Row],[Weight]:[Weight]]-(Table26789[[#This Row],[Weight]:[Weight]]*((_xlfn.XMATCH(Table26789[[#This Row],[1]],Table26789[[#This Row],[1]:[11]],0))-1)/(COUNTA(Table26789[[#This Row],[1]:[11]])-COUNTBLANK(Table26789[[#This Row],[1]:[11]])-1)))</f>
        <v>4.1666666666666666E-3</v>
      </c>
      <c r="Z30" s="44" cm="1">
        <f t="array" ref="Z30">IF(Table26789[[#This Row],[2]]="","",Table26789[[#This Row],[Weight]:[Weight]]-(Table26789[[#This Row],[Weight]:[Weight]]*((_xlfn.XMATCH(Table26789[[#This Row],[2]],Table26789[[#This Row],[1]:[11]],0))-1)/(COUNTA(Table26789[[#This Row],[1]:[11]])-COUNTBLANK(Table26789[[#This Row],[1]:[11]])-1)))</f>
        <v>0</v>
      </c>
      <c r="AA30" s="44" t="str" cm="1">
        <f t="array" ref="AA30">IF(Table26789[[#This Row],[3]]="","",Table26789[[#This Row],[Weight]:[Weight]]-(Table26789[[#This Row],[Weight]:[Weight]]*((_xlfn.XMATCH(Table26789[[#This Row],[3]],Table26789[[#This Row],[1]:[11]],0))-1)/(COUNTA(Table26789[[#This Row],[1]:[11]])-COUNTBLANK(Table26789[[#This Row],[1]:[11]])-1)))</f>
        <v/>
      </c>
      <c r="AB30" s="44" t="str" cm="1">
        <f t="array" ref="AB30">IF(Table26789[[#This Row],[4]]="","",Table26789[[#This Row],[Weight]:[Weight]]-(Table26789[[#This Row],[Weight]:[Weight]]*((_xlfn.XMATCH(Table26789[[#This Row],[4]],Table26789[[#This Row],[1]:[11]],0))-1)/(COUNTA(Table26789[[#This Row],[1]:[11]])-COUNTBLANK(Table26789[[#This Row],[1]:[11]])-1)))</f>
        <v/>
      </c>
      <c r="AC30" s="44" t="str" cm="1">
        <f t="array" ref="AC30">IF(Table26789[[#This Row],[5]]="","",Table26789[[#This Row],[Weight]:[Weight]]-(Table26789[[#This Row],[Weight]:[Weight]]*((_xlfn.XMATCH(Table26789[[#This Row],[5]],Table26789[[#This Row],[1]:[11]],0))-1)/(COUNTA(Table26789[[#This Row],[1]:[11]])-COUNTBLANK(Table26789[[#This Row],[1]:[11]])-1)))</f>
        <v/>
      </c>
      <c r="AD30" s="44" t="str" cm="1">
        <f t="array" ref="AD30">IF(Table26789[[#This Row],[6]]="","",Table26789[[#This Row],[Weight]:[Weight]]-(Table26789[[#This Row],[Weight]:[Weight]]*((_xlfn.XMATCH(Table26789[[#This Row],[6]],Table26789[[#This Row],[1]:[11]],0))-1)/(COUNTA(Table26789[[#This Row],[1]:[11]])-COUNTBLANK(Table26789[[#This Row],[1]:[11]])-1)))</f>
        <v/>
      </c>
      <c r="AE30" s="44" t="str" cm="1">
        <f t="array" ref="AE30">IF(Table26789[[#This Row],[7]]="","",Table26789[[#This Row],[Weight]:[Weight]]-(Table26789[[#This Row],[Weight]:[Weight]]*((_xlfn.XMATCH(Table26789[[#This Row],[7]],Table26789[[#This Row],[1]:[11]],0))-1)/(COUNTA(Table26789[[#This Row],[1]:[11]])-COUNTBLANK(Table26789[[#This Row],[1]:[11]])-1)))</f>
        <v/>
      </c>
      <c r="AF30" s="44" t="str" cm="1">
        <f t="array" ref="AF30">IF(Table26789[[#This Row],[8]]="","",Table26789[[#This Row],[Weight]:[Weight]]-(Table26789[[#This Row],[Weight]:[Weight]]*((_xlfn.XMATCH(Table26789[[#This Row],[8]],Table26789[[#This Row],[1]:[11]],0))-1)/(COUNTA(Table26789[[#This Row],[1]:[11]])-COUNTBLANK(Table26789[[#This Row],[1]:[11]])-1)))</f>
        <v/>
      </c>
      <c r="AG30" s="29" t="str" cm="1">
        <f t="array" ref="AG30">IF(Table26789[[#This Row],[9]]="","",Table26789[[#This Row],[Weight]:[Weight]]-(Table26789[[#This Row],[Weight]:[Weight]]*((_xlfn.XMATCH(Table26789[[#This Row],[9]],Table26789[[#This Row],[1]:[11]],0))-1)/(COUNTA(Table26789[[#This Row],[1]:[11]])-COUNTBLANK(Table26789[[#This Row],[1]:[11]])-1)))</f>
        <v/>
      </c>
      <c r="AH30" s="29" t="str" cm="1">
        <f t="array" ref="AH30">IF(Table26789[[#This Row],[10]]="","",Table26789[[#This Row],[Weight]:[Weight]]-(Table26789[[#This Row],[Weight]:[Weight]]*((_xlfn.XMATCH(Table26789[[#This Row],[10]],Table26789[[#This Row],[1]:[11]],0))-1)/(COUNTA(Table26789[[#This Row],[1]:[11]])-COUNTBLANK(Table26789[[#This Row],[1]:[11]])-1)))</f>
        <v/>
      </c>
      <c r="AI30" s="29" t="str" cm="1">
        <f t="array" ref="AI30">IF(Table26789[[#This Row],[11]]="","",Table26789[[#This Row],[Weight]:[Weight]]-(Table26789[[#This Row],[Weight]:[Weight]]*((_xlfn.XMATCH(Table26789[[#This Row],[11]],Table26789[[#This Row],[1]:[11]],0))-1)/(COUNTA(Table26789[[#This Row],[1]:[11]])-COUNTBLANK(Table26789[[#This Row],[1]:[11]])-1)))</f>
        <v/>
      </c>
    </row>
    <row r="31" spans="1:35" ht="40" x14ac:dyDescent="0.25">
      <c r="A31" s="32"/>
      <c r="B31" s="189" t="s">
        <v>222</v>
      </c>
      <c r="C31" s="188" t="s">
        <v>223</v>
      </c>
      <c r="D31" s="40"/>
      <c r="E31" s="40"/>
      <c r="F31" s="22" t="s">
        <v>165</v>
      </c>
      <c r="G31" s="35" cm="1">
        <f t="array" ref="G31">_xlfn.IFS(F31="","",F31="No interest",0,F31="Nice to have",1,F31="Useful",2,F31="Important",3,F31="Very important",4,F31="Critical",5,F31="Show stopper",6)</f>
        <v>4</v>
      </c>
      <c r="H31" s="36">
        <f t="shared" si="1"/>
        <v>4.1666666666666666E-3</v>
      </c>
      <c r="I31" s="25" t="s">
        <v>135</v>
      </c>
      <c r="J31" s="25" t="str" cm="1">
        <f t="array" ref="J31">_xlfn.TEXTJOIN(","&amp;CHAR(10),,TEXT(Table26789[[#This Row],[12]:[22]],"0,00%"))</f>
        <v>0,00%,
0,00%</v>
      </c>
      <c r="K31" s="26" t="s">
        <v>120</v>
      </c>
      <c r="L31" s="39">
        <f>H31-(H31*((MATCH(Table26789[[#This Row],[Evaluators Response (SELECT)]],Table26789[[#This Row],[1]:[11]],0)-1)/(COUNTA(Table26789[[#This Row],[1]:[11]])-COUNTBLANK(Table26789[[#This Row],[1]:[11]])-1)))</f>
        <v>4.1666666666666666E-3</v>
      </c>
      <c r="M31" s="40"/>
      <c r="N31" s="29" t="str" cm="1">
        <f t="array" ref="N31">IFERROR(INDEX(_xlfn.UNIQUE(TRIM(_xlfn.TEXTSPLIT(Table26789[[#This Row],[Selection Options]:[Selection Options]],","))),,N$11),"")</f>
        <v>Yes</v>
      </c>
      <c r="O31" s="29" t="str" cm="1">
        <f t="array" ref="O31">IFERROR(INDEX(_xlfn.UNIQUE(TRIM(_xlfn.TEXTSPLIT(Table26789[[#This Row],[Selection Options]],","))),,O$11),"")</f>
        <v xml:space="preserve">
No</v>
      </c>
      <c r="P31" s="29" t="str" cm="1">
        <f t="array" ref="P31">IFERROR(INDEX(_xlfn.UNIQUE(TRIM(_xlfn.TEXTSPLIT(Table26789[[#This Row],[Selection Options]],","))),,P$11),"")</f>
        <v/>
      </c>
      <c r="Q31" s="29" t="str" cm="1">
        <f t="array" ref="Q31">IFERROR(INDEX(_xlfn.UNIQUE(TRIM(_xlfn.TEXTSPLIT(Table26789[[#This Row],[Selection Options]],","))),,Q$11),"")</f>
        <v/>
      </c>
      <c r="R31" s="43" t="str" cm="1">
        <f t="array" ref="R31">IFERROR(INDEX(_xlfn.UNIQUE(TRIM(_xlfn.TEXTSPLIT(Table26789[[#This Row],[Selection Options]],","))),,R$11),"")</f>
        <v/>
      </c>
      <c r="S31" s="29" t="str" cm="1">
        <f t="array" ref="S31">IFERROR(INDEX(_xlfn.UNIQUE(TRIM(_xlfn.TEXTSPLIT(Table26789[[#This Row],[Selection Options]],","))),,S$11),"")</f>
        <v/>
      </c>
      <c r="T31" s="29" t="str" cm="1">
        <f t="array" ref="T31">IFERROR(INDEX(_xlfn.UNIQUE(TRIM(_xlfn.TEXTSPLIT(Table26789[[#This Row],[Selection Options]],","))),,T$11),"")</f>
        <v/>
      </c>
      <c r="U31" s="29" t="str" cm="1">
        <f t="array" ref="U31">IFERROR(INDEX(_xlfn.UNIQUE(TRIM(_xlfn.TEXTSPLIT(Table26789[[#This Row],[Selection Options]],","))),,U$11),"")</f>
        <v/>
      </c>
      <c r="V31" s="29" t="str" cm="1">
        <f t="array" ref="V31">IFERROR(INDEX(_xlfn.UNIQUE(TRIM(_xlfn.TEXTSPLIT(Table26789[[#This Row],[Selection Options]],","))),,V$11),"")</f>
        <v/>
      </c>
      <c r="W31" s="29" t="str" cm="1">
        <f t="array" ref="W31">IFERROR(INDEX(_xlfn.UNIQUE(TRIM(_xlfn.TEXTSPLIT(Table26789[[#This Row],[Selection Options]],","))),,W$11),"")</f>
        <v/>
      </c>
      <c r="X31" s="29" t="str" cm="1">
        <f t="array" ref="X31">IFERROR(INDEX(_xlfn.UNIQUE(TRIM(_xlfn.TEXTSPLIT(Table26789[[#This Row],[Selection Options]],","))),,X$11),"")</f>
        <v/>
      </c>
      <c r="Y31" s="44" cm="1">
        <f t="array" ref="Y31">IF(Table26789[[#This Row],[1]]="","",Table26789[[#This Row],[Weight]:[Weight]]-(Table26789[[#This Row],[Weight]:[Weight]]*((_xlfn.XMATCH(Table26789[[#This Row],[1]],Table26789[[#This Row],[1]:[11]],0))-1)/(COUNTA(Table26789[[#This Row],[1]:[11]])-COUNTBLANK(Table26789[[#This Row],[1]:[11]])-1)))</f>
        <v>4.1666666666666666E-3</v>
      </c>
      <c r="Z31" s="44" cm="1">
        <f t="array" ref="Z31">IF(Table26789[[#This Row],[2]]="","",Table26789[[#This Row],[Weight]:[Weight]]-(Table26789[[#This Row],[Weight]:[Weight]]*((_xlfn.XMATCH(Table26789[[#This Row],[2]],Table26789[[#This Row],[1]:[11]],0))-1)/(COUNTA(Table26789[[#This Row],[1]:[11]])-COUNTBLANK(Table26789[[#This Row],[1]:[11]])-1)))</f>
        <v>0</v>
      </c>
      <c r="AA31" s="44" t="str" cm="1">
        <f t="array" ref="AA31">IF(Table26789[[#This Row],[3]]="","",Table26789[[#This Row],[Weight]:[Weight]]-(Table26789[[#This Row],[Weight]:[Weight]]*((_xlfn.XMATCH(Table26789[[#This Row],[3]],Table26789[[#This Row],[1]:[11]],0))-1)/(COUNTA(Table26789[[#This Row],[1]:[11]])-COUNTBLANK(Table26789[[#This Row],[1]:[11]])-1)))</f>
        <v/>
      </c>
      <c r="AB31" s="44" t="str" cm="1">
        <f t="array" ref="AB31">IF(Table26789[[#This Row],[4]]="","",Table26789[[#This Row],[Weight]:[Weight]]-(Table26789[[#This Row],[Weight]:[Weight]]*((_xlfn.XMATCH(Table26789[[#This Row],[4]],Table26789[[#This Row],[1]:[11]],0))-1)/(COUNTA(Table26789[[#This Row],[1]:[11]])-COUNTBLANK(Table26789[[#This Row],[1]:[11]])-1)))</f>
        <v/>
      </c>
      <c r="AC31" s="44" t="str" cm="1">
        <f t="array" ref="AC31">IF(Table26789[[#This Row],[5]]="","",Table26789[[#This Row],[Weight]:[Weight]]-(Table26789[[#This Row],[Weight]:[Weight]]*((_xlfn.XMATCH(Table26789[[#This Row],[5]],Table26789[[#This Row],[1]:[11]],0))-1)/(COUNTA(Table26789[[#This Row],[1]:[11]])-COUNTBLANK(Table26789[[#This Row],[1]:[11]])-1)))</f>
        <v/>
      </c>
      <c r="AD31" s="44" t="str" cm="1">
        <f t="array" ref="AD31">IF(Table26789[[#This Row],[6]]="","",Table26789[[#This Row],[Weight]:[Weight]]-(Table26789[[#This Row],[Weight]:[Weight]]*((_xlfn.XMATCH(Table26789[[#This Row],[6]],Table26789[[#This Row],[1]:[11]],0))-1)/(COUNTA(Table26789[[#This Row],[1]:[11]])-COUNTBLANK(Table26789[[#This Row],[1]:[11]])-1)))</f>
        <v/>
      </c>
      <c r="AE31" s="44" t="str" cm="1">
        <f t="array" ref="AE31">IF(Table26789[[#This Row],[7]]="","",Table26789[[#This Row],[Weight]:[Weight]]-(Table26789[[#This Row],[Weight]:[Weight]]*((_xlfn.XMATCH(Table26789[[#This Row],[7]],Table26789[[#This Row],[1]:[11]],0))-1)/(COUNTA(Table26789[[#This Row],[1]:[11]])-COUNTBLANK(Table26789[[#This Row],[1]:[11]])-1)))</f>
        <v/>
      </c>
      <c r="AF31" s="44" t="str" cm="1">
        <f t="array" ref="AF31">IF(Table26789[[#This Row],[8]]="","",Table26789[[#This Row],[Weight]:[Weight]]-(Table26789[[#This Row],[Weight]:[Weight]]*((_xlfn.XMATCH(Table26789[[#This Row],[8]],Table26789[[#This Row],[1]:[11]],0))-1)/(COUNTA(Table26789[[#This Row],[1]:[11]])-COUNTBLANK(Table26789[[#This Row],[1]:[11]])-1)))</f>
        <v/>
      </c>
      <c r="AG31" s="29" t="str" cm="1">
        <f t="array" ref="AG31">IF(Table26789[[#This Row],[9]]="","",Table26789[[#This Row],[Weight]:[Weight]]-(Table26789[[#This Row],[Weight]:[Weight]]*((_xlfn.XMATCH(Table26789[[#This Row],[9]],Table26789[[#This Row],[1]:[11]],0))-1)/(COUNTA(Table26789[[#This Row],[1]:[11]])-COUNTBLANK(Table26789[[#This Row],[1]:[11]])-1)))</f>
        <v/>
      </c>
      <c r="AH31" s="29" t="str" cm="1">
        <f t="array" ref="AH31">IF(Table26789[[#This Row],[10]]="","",Table26789[[#This Row],[Weight]:[Weight]]-(Table26789[[#This Row],[Weight]:[Weight]]*((_xlfn.XMATCH(Table26789[[#This Row],[10]],Table26789[[#This Row],[1]:[11]],0))-1)/(COUNTA(Table26789[[#This Row],[1]:[11]])-COUNTBLANK(Table26789[[#This Row],[1]:[11]])-1)))</f>
        <v/>
      </c>
      <c r="AI31" s="29" t="str" cm="1">
        <f t="array" ref="AI31">IF(Table26789[[#This Row],[11]]="","",Table26789[[#This Row],[Weight]:[Weight]]-(Table26789[[#This Row],[Weight]:[Weight]]*((_xlfn.XMATCH(Table26789[[#This Row],[11]],Table26789[[#This Row],[1]:[11]],0))-1)/(COUNTA(Table26789[[#This Row],[1]:[11]])-COUNTBLANK(Table26789[[#This Row],[1]:[11]])-1)))</f>
        <v/>
      </c>
    </row>
    <row r="32" spans="1:35" ht="40.5" x14ac:dyDescent="0.25">
      <c r="A32" s="20"/>
      <c r="B32" s="189" t="s">
        <v>224</v>
      </c>
      <c r="C32" s="188" t="s">
        <v>225</v>
      </c>
      <c r="D32" s="28"/>
      <c r="E32" s="28"/>
      <c r="F32" s="22" t="s">
        <v>165</v>
      </c>
      <c r="G32" s="35" cm="1">
        <f t="array" ref="G32">_xlfn.IFS(F32="","",F32="No interest",0,F32="Nice to have",1,F32="Useful",2,F32="Important",3,F32="Very important",4,F32="Critical",5,F32="Show stopper",6)</f>
        <v>4</v>
      </c>
      <c r="H32" s="36">
        <f t="shared" ref="H32:H36" si="2">(G32/$G$11)*$F$11</f>
        <v>4.1666666666666666E-3</v>
      </c>
      <c r="I32" s="25" t="s">
        <v>135</v>
      </c>
      <c r="J32" s="25" t="str" cm="1">
        <f t="array" ref="J32">_xlfn.TEXTJOIN(","&amp;CHAR(10),,TEXT(Table26789[[#This Row],[12]:[22]],"0,00%"))</f>
        <v>0,00%</v>
      </c>
      <c r="K32" s="26" t="s">
        <v>120</v>
      </c>
      <c r="L32" s="27">
        <f>H32-(H32*((MATCH(Table26789[[#This Row],[Evaluators Response (SELECT)]],Table26789[[#This Row],[1]:[11]],0)-1)/(COUNTA(Table26789[[#This Row],[1]:[11]])-COUNTBLANK(Table26789[[#This Row],[1]:[11]])-1)))</f>
        <v>4.1666666666666666E-3</v>
      </c>
      <c r="M32" s="28"/>
      <c r="N32" s="41" t="str" cm="1">
        <f t="array" ref="N32">IFERROR(INDEX(_xlfn.UNIQUE(TRIM(_xlfn.TEXTSPLIT(Table26789[[#This Row],[Selection Options]],","))),,N$11),"")</f>
        <v>Yes</v>
      </c>
      <c r="O32" s="41"/>
      <c r="P32" s="41"/>
      <c r="Q32" s="41"/>
      <c r="R32" s="42"/>
      <c r="S32" s="41"/>
      <c r="T32" s="41"/>
      <c r="U32" s="41"/>
      <c r="V32" s="41"/>
      <c r="W32" s="41"/>
      <c r="X32" s="41"/>
      <c r="Y32" s="30" cm="1">
        <f t="array" ref="Y32">IF(Table26789[[#This Row],[1]]="","",Table26789[[#This Row],[Weight]]-(Table26789[[#This Row],[Weight]]*((_xlfn.XMATCH(Table26789[[#This Row],[1]],Table26789[[#This Row],[1]:[11]],0))-1)/(COUNTA(Table26789[[#This Row],[1]:[11]])-COUNTBLANK(Table26789[[#This Row],[1]:[11]])-1)))</f>
        <v>4.1666666666666666E-3</v>
      </c>
      <c r="Z32" s="30" t="str" cm="1">
        <f t="array" ref="Z32">IF(Table26789[[#This Row],[2]]="","",Table26789[[#This Row],[Weight]]-(Table26789[[#This Row],[Weight]]*((_xlfn.XMATCH(Table26789[[#This Row],[2]],Table26789[[#This Row],[1]:[11]],0))-1)/(COUNTA(Table26789[[#This Row],[1]:[11]])-COUNTBLANK(Table26789[[#This Row],[1]:[11]])-1)))</f>
        <v/>
      </c>
      <c r="AA32" s="30" t="str" cm="1">
        <f t="array" ref="AA32">IF(Table26789[[#This Row],[3]]="","",Table26789[[#This Row],[Weight]]-(Table26789[[#This Row],[Weight]]*((_xlfn.XMATCH(Table26789[[#This Row],[3]],Table26789[[#This Row],[1]:[11]],0))-1)/(COUNTA(Table26789[[#This Row],[1]:[11]])-COUNTBLANK(Table26789[[#This Row],[1]:[11]])-1)))</f>
        <v/>
      </c>
      <c r="AB32" s="30" t="str" cm="1">
        <f t="array" ref="AB32">IF(Table26789[[#This Row],[4]]="","",Table26789[[#This Row],[Weight]]-(Table26789[[#This Row],[Weight]]*((_xlfn.XMATCH(Table26789[[#This Row],[4]],Table26789[[#This Row],[1]:[11]],0))-1)/(COUNTA(Table26789[[#This Row],[1]:[11]])-COUNTBLANK(Table26789[[#This Row],[1]:[11]])-1)))</f>
        <v/>
      </c>
      <c r="AC32" s="30" t="str" cm="1">
        <f t="array" ref="AC32">IF(Table26789[[#This Row],[5]]="","",Table26789[[#This Row],[Weight]]-(Table26789[[#This Row],[Weight]]*((_xlfn.XMATCH(Table26789[[#This Row],[5]],Table26789[[#This Row],[1]:[11]],0))-1)/(COUNTA(Table26789[[#This Row],[1]:[11]])-COUNTBLANK(Table26789[[#This Row],[1]:[11]])-1)))</f>
        <v/>
      </c>
      <c r="AD32" s="30" t="str" cm="1">
        <f t="array" ref="AD32">IF(Table26789[[#This Row],[6]]="","",Table26789[[#This Row],[Weight]]-(Table26789[[#This Row],[Weight]]*((_xlfn.XMATCH(Table26789[[#This Row],[6]],Table26789[[#This Row],[1]:[11]],0))-1)/(COUNTA(Table26789[[#This Row],[1]:[11]])-COUNTBLANK(Table26789[[#This Row],[1]:[11]])-1)))</f>
        <v/>
      </c>
      <c r="AE32" s="30" t="str" cm="1">
        <f t="array" ref="AE32">IF(Table26789[[#This Row],[7]]="","",Table26789[[#This Row],[Weight]]-(Table26789[[#This Row],[Weight]]*((_xlfn.XMATCH(Table26789[[#This Row],[7]],Table26789[[#This Row],[1]:[11]],0))-1)/(COUNTA(Table26789[[#This Row],[1]:[11]])-COUNTBLANK(Table26789[[#This Row],[1]:[11]])-1)))</f>
        <v/>
      </c>
      <c r="AF32" s="30" t="str" cm="1">
        <f t="array" ref="AF32">IF(Table26789[[#This Row],[8]]="","",Table26789[[#This Row],[Weight]]-(Table26789[[#This Row],[Weight]]*((_xlfn.XMATCH(Table26789[[#This Row],[8]],Table26789[[#This Row],[1]:[11]],0))-1)/(COUNTA(Table26789[[#This Row],[1]:[11]])-COUNTBLANK(Table26789[[#This Row],[1]:[11]])-1)))</f>
        <v/>
      </c>
      <c r="AG32" s="41" t="str" cm="1">
        <f t="array" ref="AG32">IF(Table26789[[#This Row],[9]]="","",Table26789[[#This Row],[Weight]]-(Table26789[[#This Row],[Weight]]*((_xlfn.XMATCH(Table26789[[#This Row],[9]],Table26789[[#This Row],[1]:[11]],0))-1)/(COUNTA(Table26789[[#This Row],[1]:[11]])-COUNTBLANK(Table26789[[#This Row],[1]:[11]])-1)))</f>
        <v/>
      </c>
      <c r="AH32" s="41" t="str" cm="1">
        <f t="array" ref="AH32">IF(Table26789[[#This Row],[10]]="","",Table26789[[#This Row],[Weight]]-(Table26789[[#This Row],[Weight]]*((_xlfn.XMATCH(Table26789[[#This Row],[10]],Table26789[[#This Row],[1]:[11]],0))-1)/(COUNTA(Table26789[[#This Row],[1]:[11]])-COUNTBLANK(Table26789[[#This Row],[1]:[11]])-1)))</f>
        <v/>
      </c>
      <c r="AI32" s="41" t="str" cm="1">
        <f t="array" ref="AI32">IF(Table26789[[#This Row],[11]]="","",Table26789[[#This Row],[Weight]]-(Table26789[[#This Row],[Weight]]*((_xlfn.XMATCH(Table26789[[#This Row],[11]],Table26789[[#This Row],[1]:[11]],0))-1)/(COUNTA(Table26789[[#This Row],[1]:[11]])-COUNTBLANK(Table26789[[#This Row],[1]:[11]])-1)))</f>
        <v/>
      </c>
    </row>
    <row r="33" spans="1:35" ht="50.5" x14ac:dyDescent="0.25">
      <c r="A33" s="20"/>
      <c r="B33" s="189" t="s">
        <v>226</v>
      </c>
      <c r="C33" s="188" t="s">
        <v>227</v>
      </c>
      <c r="D33" s="28"/>
      <c r="E33" s="28"/>
      <c r="F33" s="22" t="s">
        <v>165</v>
      </c>
      <c r="G33" s="35" cm="1">
        <f t="array" ref="G33">_xlfn.IFS(F33="","",F33="No interest",0,F33="Nice to have",1,F33="Useful",2,F33="Important",3,F33="Very important",4,F33="Critical",5,F33="Show stopper",6)</f>
        <v>4</v>
      </c>
      <c r="H33" s="36">
        <f t="shared" si="2"/>
        <v>4.1666666666666666E-3</v>
      </c>
      <c r="I33" s="25" t="s">
        <v>135</v>
      </c>
      <c r="J33" s="25" t="str" cm="1">
        <f t="array" ref="J33">_xlfn.TEXTJOIN(","&amp;CHAR(10),,TEXT(Table26789[[#This Row],[12]:[22]],"0,00%"))</f>
        <v>0,00%</v>
      </c>
      <c r="K33" s="26" t="s">
        <v>120</v>
      </c>
      <c r="L33" s="27">
        <f>H33-(H33*((MATCH(Table26789[[#This Row],[Evaluators Response (SELECT)]],Table26789[[#This Row],[1]:[11]],0)-1)/(COUNTA(Table26789[[#This Row],[1]:[11]])-COUNTBLANK(Table26789[[#This Row],[1]:[11]])-1)))</f>
        <v>4.1666666666666666E-3</v>
      </c>
      <c r="M33" s="28"/>
      <c r="N33" s="41" t="str" cm="1">
        <f t="array" ref="N33">IFERROR(INDEX(_xlfn.UNIQUE(TRIM(_xlfn.TEXTSPLIT(Table26789[[#This Row],[Selection Options]],","))),,N$11),"")</f>
        <v>Yes</v>
      </c>
      <c r="O33" s="41"/>
      <c r="P33" s="41"/>
      <c r="Q33" s="41"/>
      <c r="R33" s="42"/>
      <c r="S33" s="41"/>
      <c r="T33" s="41"/>
      <c r="U33" s="41"/>
      <c r="V33" s="41"/>
      <c r="W33" s="41"/>
      <c r="X33" s="41"/>
      <c r="Y33" s="30" cm="1">
        <f t="array" ref="Y33">IF(Table26789[[#This Row],[1]]="","",Table26789[[#This Row],[Weight]]-(Table26789[[#This Row],[Weight]]*((_xlfn.XMATCH(Table26789[[#This Row],[1]],Table26789[[#This Row],[1]:[11]],0))-1)/(COUNTA(Table26789[[#This Row],[1]:[11]])-COUNTBLANK(Table26789[[#This Row],[1]:[11]])-1)))</f>
        <v>4.1666666666666666E-3</v>
      </c>
      <c r="Z33" s="30" t="str" cm="1">
        <f t="array" ref="Z33">IF(Table26789[[#This Row],[2]]="","",Table26789[[#This Row],[Weight]]-(Table26789[[#This Row],[Weight]]*((_xlfn.XMATCH(Table26789[[#This Row],[2]],Table26789[[#This Row],[1]:[11]],0))-1)/(COUNTA(Table26789[[#This Row],[1]:[11]])-COUNTBLANK(Table26789[[#This Row],[1]:[11]])-1)))</f>
        <v/>
      </c>
      <c r="AA33" s="30" t="str" cm="1">
        <f t="array" ref="AA33">IF(Table26789[[#This Row],[3]]="","",Table26789[[#This Row],[Weight]]-(Table26789[[#This Row],[Weight]]*((_xlfn.XMATCH(Table26789[[#This Row],[3]],Table26789[[#This Row],[1]:[11]],0))-1)/(COUNTA(Table26789[[#This Row],[1]:[11]])-COUNTBLANK(Table26789[[#This Row],[1]:[11]])-1)))</f>
        <v/>
      </c>
      <c r="AB33" s="30" t="str" cm="1">
        <f t="array" ref="AB33">IF(Table26789[[#This Row],[4]]="","",Table26789[[#This Row],[Weight]]-(Table26789[[#This Row],[Weight]]*((_xlfn.XMATCH(Table26789[[#This Row],[4]],Table26789[[#This Row],[1]:[11]],0))-1)/(COUNTA(Table26789[[#This Row],[1]:[11]])-COUNTBLANK(Table26789[[#This Row],[1]:[11]])-1)))</f>
        <v/>
      </c>
      <c r="AC33" s="30" t="str" cm="1">
        <f t="array" ref="AC33">IF(Table26789[[#This Row],[5]]="","",Table26789[[#This Row],[Weight]]-(Table26789[[#This Row],[Weight]]*((_xlfn.XMATCH(Table26789[[#This Row],[5]],Table26789[[#This Row],[1]:[11]],0))-1)/(COUNTA(Table26789[[#This Row],[1]:[11]])-COUNTBLANK(Table26789[[#This Row],[1]:[11]])-1)))</f>
        <v/>
      </c>
      <c r="AD33" s="30" t="str" cm="1">
        <f t="array" ref="AD33">IF(Table26789[[#This Row],[6]]="","",Table26789[[#This Row],[Weight]]-(Table26789[[#This Row],[Weight]]*((_xlfn.XMATCH(Table26789[[#This Row],[6]],Table26789[[#This Row],[1]:[11]],0))-1)/(COUNTA(Table26789[[#This Row],[1]:[11]])-COUNTBLANK(Table26789[[#This Row],[1]:[11]])-1)))</f>
        <v/>
      </c>
      <c r="AE33" s="30" t="str" cm="1">
        <f t="array" ref="AE33">IF(Table26789[[#This Row],[7]]="","",Table26789[[#This Row],[Weight]]-(Table26789[[#This Row],[Weight]]*((_xlfn.XMATCH(Table26789[[#This Row],[7]],Table26789[[#This Row],[1]:[11]],0))-1)/(COUNTA(Table26789[[#This Row],[1]:[11]])-COUNTBLANK(Table26789[[#This Row],[1]:[11]])-1)))</f>
        <v/>
      </c>
      <c r="AF33" s="30" t="str" cm="1">
        <f t="array" ref="AF33">IF(Table26789[[#This Row],[8]]="","",Table26789[[#This Row],[Weight]]-(Table26789[[#This Row],[Weight]]*((_xlfn.XMATCH(Table26789[[#This Row],[8]],Table26789[[#This Row],[1]:[11]],0))-1)/(COUNTA(Table26789[[#This Row],[1]:[11]])-COUNTBLANK(Table26789[[#This Row],[1]:[11]])-1)))</f>
        <v/>
      </c>
      <c r="AG33" s="41" t="str" cm="1">
        <f t="array" ref="AG33">IF(Table26789[[#This Row],[9]]="","",Table26789[[#This Row],[Weight]]-(Table26789[[#This Row],[Weight]]*((_xlfn.XMATCH(Table26789[[#This Row],[9]],Table26789[[#This Row],[1]:[11]],0))-1)/(COUNTA(Table26789[[#This Row],[1]:[11]])-COUNTBLANK(Table26789[[#This Row],[1]:[11]])-1)))</f>
        <v/>
      </c>
      <c r="AH33" s="41" t="str" cm="1">
        <f t="array" ref="AH33">IF(Table26789[[#This Row],[10]]="","",Table26789[[#This Row],[Weight]]-(Table26789[[#This Row],[Weight]]*((_xlfn.XMATCH(Table26789[[#This Row],[10]],Table26789[[#This Row],[1]:[11]],0))-1)/(COUNTA(Table26789[[#This Row],[1]:[11]])-COUNTBLANK(Table26789[[#This Row],[1]:[11]])-1)))</f>
        <v/>
      </c>
      <c r="AI33" s="41" t="str" cm="1">
        <f t="array" ref="AI33">IF(Table26789[[#This Row],[11]]="","",Table26789[[#This Row],[Weight]]-(Table26789[[#This Row],[Weight]]*((_xlfn.XMATCH(Table26789[[#This Row],[11]],Table26789[[#This Row],[1]:[11]],0))-1)/(COUNTA(Table26789[[#This Row],[1]:[11]])-COUNTBLANK(Table26789[[#This Row],[1]:[11]])-1)))</f>
        <v/>
      </c>
    </row>
    <row r="34" spans="1:35" ht="50" x14ac:dyDescent="0.25">
      <c r="A34" s="20"/>
      <c r="B34" s="189" t="s">
        <v>228</v>
      </c>
      <c r="C34" s="188" t="s">
        <v>229</v>
      </c>
      <c r="D34" s="28"/>
      <c r="E34" s="28"/>
      <c r="F34" s="22" t="s">
        <v>165</v>
      </c>
      <c r="G34" s="35" cm="1">
        <f t="array" ref="G34">_xlfn.IFS(F34="","",F34="No interest",0,F34="Nice to have",1,F34="Useful",2,F34="Important",3,F34="Very important",4,F34="Critical",5,F34="Show stopper",6)</f>
        <v>4</v>
      </c>
      <c r="H34" s="36">
        <f t="shared" si="2"/>
        <v>4.1666666666666666E-3</v>
      </c>
      <c r="I34" s="25" t="s">
        <v>135</v>
      </c>
      <c r="J34" s="25" t="str" cm="1">
        <f t="array" ref="J34">_xlfn.TEXTJOIN(","&amp;CHAR(10),,TEXT(Table26789[[#This Row],[12]:[22]],"0,00%"))</f>
        <v>0,00%</v>
      </c>
      <c r="K34" s="26" t="s">
        <v>120</v>
      </c>
      <c r="L34" s="27">
        <f>H34-(H34*((MATCH(Table26789[[#This Row],[Evaluators Response (SELECT)]],Table26789[[#This Row],[1]:[11]],0)-1)/(COUNTA(Table26789[[#This Row],[1]:[11]])-COUNTBLANK(Table26789[[#This Row],[1]:[11]])-1)))</f>
        <v>4.1666666666666666E-3</v>
      </c>
      <c r="M34" s="28"/>
      <c r="N34" s="41" t="str" cm="1">
        <f t="array" ref="N34">IFERROR(INDEX(_xlfn.UNIQUE(TRIM(_xlfn.TEXTSPLIT(Table26789[[#This Row],[Selection Options]],","))),,N$11),"")</f>
        <v>Yes</v>
      </c>
      <c r="O34" s="41"/>
      <c r="P34" s="41"/>
      <c r="Q34" s="41"/>
      <c r="R34" s="42"/>
      <c r="S34" s="41"/>
      <c r="T34" s="41"/>
      <c r="U34" s="41"/>
      <c r="V34" s="41"/>
      <c r="W34" s="41"/>
      <c r="X34" s="41"/>
      <c r="Y34" s="30" cm="1">
        <f t="array" ref="Y34">IF(Table26789[[#This Row],[1]]="","",Table26789[[#This Row],[Weight]]-(Table26789[[#This Row],[Weight]]*((_xlfn.XMATCH(Table26789[[#This Row],[1]],Table26789[[#This Row],[1]:[11]],0))-1)/(COUNTA(Table26789[[#This Row],[1]:[11]])-COUNTBLANK(Table26789[[#This Row],[1]:[11]])-1)))</f>
        <v>4.1666666666666666E-3</v>
      </c>
      <c r="Z34" s="30" t="str" cm="1">
        <f t="array" ref="Z34">IF(Table26789[[#This Row],[2]]="","",Table26789[[#This Row],[Weight]]-(Table26789[[#This Row],[Weight]]*((_xlfn.XMATCH(Table26789[[#This Row],[2]],Table26789[[#This Row],[1]:[11]],0))-1)/(COUNTA(Table26789[[#This Row],[1]:[11]])-COUNTBLANK(Table26789[[#This Row],[1]:[11]])-1)))</f>
        <v/>
      </c>
      <c r="AA34" s="30" t="str" cm="1">
        <f t="array" ref="AA34">IF(Table26789[[#This Row],[3]]="","",Table26789[[#This Row],[Weight]]-(Table26789[[#This Row],[Weight]]*((_xlfn.XMATCH(Table26789[[#This Row],[3]],Table26789[[#This Row],[1]:[11]],0))-1)/(COUNTA(Table26789[[#This Row],[1]:[11]])-COUNTBLANK(Table26789[[#This Row],[1]:[11]])-1)))</f>
        <v/>
      </c>
      <c r="AB34" s="30" t="str" cm="1">
        <f t="array" ref="AB34">IF(Table26789[[#This Row],[4]]="","",Table26789[[#This Row],[Weight]]-(Table26789[[#This Row],[Weight]]*((_xlfn.XMATCH(Table26789[[#This Row],[4]],Table26789[[#This Row],[1]:[11]],0))-1)/(COUNTA(Table26789[[#This Row],[1]:[11]])-COUNTBLANK(Table26789[[#This Row],[1]:[11]])-1)))</f>
        <v/>
      </c>
      <c r="AC34" s="30" t="str" cm="1">
        <f t="array" ref="AC34">IF(Table26789[[#This Row],[5]]="","",Table26789[[#This Row],[Weight]]-(Table26789[[#This Row],[Weight]]*((_xlfn.XMATCH(Table26789[[#This Row],[5]],Table26789[[#This Row],[1]:[11]],0))-1)/(COUNTA(Table26789[[#This Row],[1]:[11]])-COUNTBLANK(Table26789[[#This Row],[1]:[11]])-1)))</f>
        <v/>
      </c>
      <c r="AD34" s="30" t="str" cm="1">
        <f t="array" ref="AD34">IF(Table26789[[#This Row],[6]]="","",Table26789[[#This Row],[Weight]]-(Table26789[[#This Row],[Weight]]*((_xlfn.XMATCH(Table26789[[#This Row],[6]],Table26789[[#This Row],[1]:[11]],0))-1)/(COUNTA(Table26789[[#This Row],[1]:[11]])-COUNTBLANK(Table26789[[#This Row],[1]:[11]])-1)))</f>
        <v/>
      </c>
      <c r="AE34" s="30" t="str" cm="1">
        <f t="array" ref="AE34">IF(Table26789[[#This Row],[7]]="","",Table26789[[#This Row],[Weight]]-(Table26789[[#This Row],[Weight]]*((_xlfn.XMATCH(Table26789[[#This Row],[7]],Table26789[[#This Row],[1]:[11]],0))-1)/(COUNTA(Table26789[[#This Row],[1]:[11]])-COUNTBLANK(Table26789[[#This Row],[1]:[11]])-1)))</f>
        <v/>
      </c>
      <c r="AF34" s="30" t="str" cm="1">
        <f t="array" ref="AF34">IF(Table26789[[#This Row],[8]]="","",Table26789[[#This Row],[Weight]]-(Table26789[[#This Row],[Weight]]*((_xlfn.XMATCH(Table26789[[#This Row],[8]],Table26789[[#This Row],[1]:[11]],0))-1)/(COUNTA(Table26789[[#This Row],[1]:[11]])-COUNTBLANK(Table26789[[#This Row],[1]:[11]])-1)))</f>
        <v/>
      </c>
      <c r="AG34" s="41" t="str" cm="1">
        <f t="array" ref="AG34">IF(Table26789[[#This Row],[9]]="","",Table26789[[#This Row],[Weight]]-(Table26789[[#This Row],[Weight]]*((_xlfn.XMATCH(Table26789[[#This Row],[9]],Table26789[[#This Row],[1]:[11]],0))-1)/(COUNTA(Table26789[[#This Row],[1]:[11]])-COUNTBLANK(Table26789[[#This Row],[1]:[11]])-1)))</f>
        <v/>
      </c>
      <c r="AH34" s="41" t="str" cm="1">
        <f t="array" ref="AH34">IF(Table26789[[#This Row],[10]]="","",Table26789[[#This Row],[Weight]]-(Table26789[[#This Row],[Weight]]*((_xlfn.XMATCH(Table26789[[#This Row],[10]],Table26789[[#This Row],[1]:[11]],0))-1)/(COUNTA(Table26789[[#This Row],[1]:[11]])-COUNTBLANK(Table26789[[#This Row],[1]:[11]])-1)))</f>
        <v/>
      </c>
      <c r="AI34" s="41" t="str" cm="1">
        <f t="array" ref="AI34">IF(Table26789[[#This Row],[11]]="","",Table26789[[#This Row],[Weight]]-(Table26789[[#This Row],[Weight]]*((_xlfn.XMATCH(Table26789[[#This Row],[11]],Table26789[[#This Row],[1]:[11]],0))-1)/(COUNTA(Table26789[[#This Row],[1]:[11]])-COUNTBLANK(Table26789[[#This Row],[1]:[11]])-1)))</f>
        <v/>
      </c>
    </row>
    <row r="35" spans="1:35" ht="90.5" x14ac:dyDescent="0.25">
      <c r="A35" s="20"/>
      <c r="B35" s="189" t="s">
        <v>230</v>
      </c>
      <c r="C35" s="188" t="s">
        <v>231</v>
      </c>
      <c r="D35" s="28"/>
      <c r="E35" s="28"/>
      <c r="F35" s="22" t="s">
        <v>165</v>
      </c>
      <c r="G35" s="35" cm="1">
        <f t="array" ref="G35">_xlfn.IFS(F35="","",F35="No interest",0,F35="Nice to have",1,F35="Useful",2,F35="Important",3,F35="Very important",4,F35="Critical",5,F35="Show stopper",6)</f>
        <v>4</v>
      </c>
      <c r="H35" s="36">
        <f t="shared" si="2"/>
        <v>4.1666666666666666E-3</v>
      </c>
      <c r="I35" s="25" t="s">
        <v>135</v>
      </c>
      <c r="J35" s="25" t="str" cm="1">
        <f t="array" ref="J35">_xlfn.TEXTJOIN(","&amp;CHAR(10),,TEXT(Table26789[[#This Row],[12]:[22]],"0,00%"))</f>
        <v>0,00%</v>
      </c>
      <c r="K35" s="26" t="s">
        <v>120</v>
      </c>
      <c r="L35" s="27">
        <f>H35-(H35*((MATCH(Table26789[[#This Row],[Evaluators Response (SELECT)]],Table26789[[#This Row],[1]:[11]],0)-1)/(COUNTA(Table26789[[#This Row],[1]:[11]])-COUNTBLANK(Table26789[[#This Row],[1]:[11]])-1)))</f>
        <v>4.1666666666666666E-3</v>
      </c>
      <c r="M35" s="28"/>
      <c r="N35" s="41" t="str" cm="1">
        <f t="array" ref="N35">IFERROR(INDEX(_xlfn.UNIQUE(TRIM(_xlfn.TEXTSPLIT(Table26789[[#This Row],[Selection Options]],","))),,N$11),"")</f>
        <v>Yes</v>
      </c>
      <c r="O35" s="41"/>
      <c r="P35" s="41"/>
      <c r="Q35" s="41"/>
      <c r="R35" s="42"/>
      <c r="S35" s="41"/>
      <c r="T35" s="41"/>
      <c r="U35" s="41"/>
      <c r="V35" s="41"/>
      <c r="W35" s="41"/>
      <c r="X35" s="41"/>
      <c r="Y35" s="30" cm="1">
        <f t="array" ref="Y35">IF(Table26789[[#This Row],[1]]="","",Table26789[[#This Row],[Weight]]-(Table26789[[#This Row],[Weight]]*((_xlfn.XMATCH(Table26789[[#This Row],[1]],Table26789[[#This Row],[1]:[11]],0))-1)/(COUNTA(Table26789[[#This Row],[1]:[11]])-COUNTBLANK(Table26789[[#This Row],[1]:[11]])-1)))</f>
        <v>4.1666666666666666E-3</v>
      </c>
      <c r="Z35" s="30" t="str" cm="1">
        <f t="array" ref="Z35">IF(Table26789[[#This Row],[2]]="","",Table26789[[#This Row],[Weight]]-(Table26789[[#This Row],[Weight]]*((_xlfn.XMATCH(Table26789[[#This Row],[2]],Table26789[[#This Row],[1]:[11]],0))-1)/(COUNTA(Table26789[[#This Row],[1]:[11]])-COUNTBLANK(Table26789[[#This Row],[1]:[11]])-1)))</f>
        <v/>
      </c>
      <c r="AA35" s="30" t="str" cm="1">
        <f t="array" ref="AA35">IF(Table26789[[#This Row],[3]]="","",Table26789[[#This Row],[Weight]]-(Table26789[[#This Row],[Weight]]*((_xlfn.XMATCH(Table26789[[#This Row],[3]],Table26789[[#This Row],[1]:[11]],0))-1)/(COUNTA(Table26789[[#This Row],[1]:[11]])-COUNTBLANK(Table26789[[#This Row],[1]:[11]])-1)))</f>
        <v/>
      </c>
      <c r="AB35" s="30" t="str" cm="1">
        <f t="array" ref="AB35">IF(Table26789[[#This Row],[4]]="","",Table26789[[#This Row],[Weight]]-(Table26789[[#This Row],[Weight]]*((_xlfn.XMATCH(Table26789[[#This Row],[4]],Table26789[[#This Row],[1]:[11]],0))-1)/(COUNTA(Table26789[[#This Row],[1]:[11]])-COUNTBLANK(Table26789[[#This Row],[1]:[11]])-1)))</f>
        <v/>
      </c>
      <c r="AC35" s="30" t="str" cm="1">
        <f t="array" ref="AC35">IF(Table26789[[#This Row],[5]]="","",Table26789[[#This Row],[Weight]]-(Table26789[[#This Row],[Weight]]*((_xlfn.XMATCH(Table26789[[#This Row],[5]],Table26789[[#This Row],[1]:[11]],0))-1)/(COUNTA(Table26789[[#This Row],[1]:[11]])-COUNTBLANK(Table26789[[#This Row],[1]:[11]])-1)))</f>
        <v/>
      </c>
      <c r="AD35" s="30" t="str" cm="1">
        <f t="array" ref="AD35">IF(Table26789[[#This Row],[6]]="","",Table26789[[#This Row],[Weight]]-(Table26789[[#This Row],[Weight]]*((_xlfn.XMATCH(Table26789[[#This Row],[6]],Table26789[[#This Row],[1]:[11]],0))-1)/(COUNTA(Table26789[[#This Row],[1]:[11]])-COUNTBLANK(Table26789[[#This Row],[1]:[11]])-1)))</f>
        <v/>
      </c>
      <c r="AE35" s="30" t="str" cm="1">
        <f t="array" ref="AE35">IF(Table26789[[#This Row],[7]]="","",Table26789[[#This Row],[Weight]]-(Table26789[[#This Row],[Weight]]*((_xlfn.XMATCH(Table26789[[#This Row],[7]],Table26789[[#This Row],[1]:[11]],0))-1)/(COUNTA(Table26789[[#This Row],[1]:[11]])-COUNTBLANK(Table26789[[#This Row],[1]:[11]])-1)))</f>
        <v/>
      </c>
      <c r="AF35" s="30" t="str" cm="1">
        <f t="array" ref="AF35">IF(Table26789[[#This Row],[8]]="","",Table26789[[#This Row],[Weight]]-(Table26789[[#This Row],[Weight]]*((_xlfn.XMATCH(Table26789[[#This Row],[8]],Table26789[[#This Row],[1]:[11]],0))-1)/(COUNTA(Table26789[[#This Row],[1]:[11]])-COUNTBLANK(Table26789[[#This Row],[1]:[11]])-1)))</f>
        <v/>
      </c>
      <c r="AG35" s="41" t="str" cm="1">
        <f t="array" ref="AG35">IF(Table26789[[#This Row],[9]]="","",Table26789[[#This Row],[Weight]]-(Table26789[[#This Row],[Weight]]*((_xlfn.XMATCH(Table26789[[#This Row],[9]],Table26789[[#This Row],[1]:[11]],0))-1)/(COUNTA(Table26789[[#This Row],[1]:[11]])-COUNTBLANK(Table26789[[#This Row],[1]:[11]])-1)))</f>
        <v/>
      </c>
      <c r="AH35" s="41" t="str" cm="1">
        <f t="array" ref="AH35">IF(Table26789[[#This Row],[10]]="","",Table26789[[#This Row],[Weight]]-(Table26789[[#This Row],[Weight]]*((_xlfn.XMATCH(Table26789[[#This Row],[10]],Table26789[[#This Row],[1]:[11]],0))-1)/(COUNTA(Table26789[[#This Row],[1]:[11]])-COUNTBLANK(Table26789[[#This Row],[1]:[11]])-1)))</f>
        <v/>
      </c>
      <c r="AI35" s="41" t="str" cm="1">
        <f t="array" ref="AI35">IF(Table26789[[#This Row],[11]]="","",Table26789[[#This Row],[Weight]]-(Table26789[[#This Row],[Weight]]*((_xlfn.XMATCH(Table26789[[#This Row],[11]],Table26789[[#This Row],[1]:[11]],0))-1)/(COUNTA(Table26789[[#This Row],[1]:[11]])-COUNTBLANK(Table26789[[#This Row],[1]:[11]])-1)))</f>
        <v/>
      </c>
    </row>
    <row r="36" spans="1:35" ht="91" x14ac:dyDescent="0.25">
      <c r="A36" s="20"/>
      <c r="B36" s="175" t="s">
        <v>232</v>
      </c>
      <c r="C36" s="196" t="s">
        <v>255</v>
      </c>
      <c r="D36" s="28"/>
      <c r="E36" s="28"/>
      <c r="F36" s="22" t="s">
        <v>165</v>
      </c>
      <c r="G36" s="35" cm="1">
        <f t="array" ref="G36">_xlfn.IFS(F36="","",F36="No interest",0,F36="Nice to have",1,F36="Useful",2,F36="Important",3,F36="Very important",4,F36="Critical",5,F36="Show stopper",6)</f>
        <v>4</v>
      </c>
      <c r="H36" s="36">
        <f t="shared" si="2"/>
        <v>4.1666666666666666E-3</v>
      </c>
      <c r="I36" s="25" t="s">
        <v>135</v>
      </c>
      <c r="J36" s="25" t="str" cm="1">
        <f t="array" ref="J36">_xlfn.TEXTJOIN(","&amp;CHAR(10),,TEXT(Table26789[[#This Row],[12]:[22]],"0,00%"))</f>
        <v>0,00%</v>
      </c>
      <c r="K36" s="26" t="s">
        <v>120</v>
      </c>
      <c r="L36" s="27">
        <f>H36-(H36*((MATCH(Table26789[[#This Row],[Evaluators Response (SELECT)]],Table26789[[#This Row],[1]:[11]],0)-1)/(COUNTA(Table26789[[#This Row],[1]:[11]])-COUNTBLANK(Table26789[[#This Row],[1]:[11]])-1)))</f>
        <v>4.1666666666666666E-3</v>
      </c>
      <c r="M36" s="28"/>
      <c r="N36" s="41" t="str" cm="1">
        <f t="array" ref="N36">IFERROR(INDEX(_xlfn.UNIQUE(TRIM(_xlfn.TEXTSPLIT(Table26789[[#This Row],[Selection Options]],","))),,N$11),"")</f>
        <v>Yes</v>
      </c>
      <c r="O36" s="41"/>
      <c r="P36" s="41"/>
      <c r="Q36" s="41"/>
      <c r="R36" s="42"/>
      <c r="S36" s="41"/>
      <c r="T36" s="41"/>
      <c r="U36" s="41"/>
      <c r="V36" s="41"/>
      <c r="W36" s="41"/>
      <c r="X36" s="41"/>
      <c r="Y36" s="30" cm="1">
        <f t="array" ref="Y36">IF(Table26789[[#This Row],[1]]="","",Table26789[[#This Row],[Weight]]-(Table26789[[#This Row],[Weight]]*((_xlfn.XMATCH(Table26789[[#This Row],[1]],Table26789[[#This Row],[1]:[11]],0))-1)/(COUNTA(Table26789[[#This Row],[1]:[11]])-COUNTBLANK(Table26789[[#This Row],[1]:[11]])-1)))</f>
        <v>4.1666666666666666E-3</v>
      </c>
      <c r="Z36" s="30" t="str" cm="1">
        <f t="array" ref="Z36">IF(Table26789[[#This Row],[2]]="","",Table26789[[#This Row],[Weight]]-(Table26789[[#This Row],[Weight]]*((_xlfn.XMATCH(Table26789[[#This Row],[2]],Table26789[[#This Row],[1]:[11]],0))-1)/(COUNTA(Table26789[[#This Row],[1]:[11]])-COUNTBLANK(Table26789[[#This Row],[1]:[11]])-1)))</f>
        <v/>
      </c>
      <c r="AA36" s="30" t="str" cm="1">
        <f t="array" ref="AA36">IF(Table26789[[#This Row],[3]]="","",Table26789[[#This Row],[Weight]]-(Table26789[[#This Row],[Weight]]*((_xlfn.XMATCH(Table26789[[#This Row],[3]],Table26789[[#This Row],[1]:[11]],0))-1)/(COUNTA(Table26789[[#This Row],[1]:[11]])-COUNTBLANK(Table26789[[#This Row],[1]:[11]])-1)))</f>
        <v/>
      </c>
      <c r="AB36" s="30" t="str" cm="1">
        <f t="array" ref="AB36">IF(Table26789[[#This Row],[4]]="","",Table26789[[#This Row],[Weight]]-(Table26789[[#This Row],[Weight]]*((_xlfn.XMATCH(Table26789[[#This Row],[4]],Table26789[[#This Row],[1]:[11]],0))-1)/(COUNTA(Table26789[[#This Row],[1]:[11]])-COUNTBLANK(Table26789[[#This Row],[1]:[11]])-1)))</f>
        <v/>
      </c>
      <c r="AC36" s="30" t="str" cm="1">
        <f t="array" ref="AC36">IF(Table26789[[#This Row],[5]]="","",Table26789[[#This Row],[Weight]]-(Table26789[[#This Row],[Weight]]*((_xlfn.XMATCH(Table26789[[#This Row],[5]],Table26789[[#This Row],[1]:[11]],0))-1)/(COUNTA(Table26789[[#This Row],[1]:[11]])-COUNTBLANK(Table26789[[#This Row],[1]:[11]])-1)))</f>
        <v/>
      </c>
      <c r="AD36" s="30" t="str" cm="1">
        <f t="array" ref="AD36">IF(Table26789[[#This Row],[6]]="","",Table26789[[#This Row],[Weight]]-(Table26789[[#This Row],[Weight]]*((_xlfn.XMATCH(Table26789[[#This Row],[6]],Table26789[[#This Row],[1]:[11]],0))-1)/(COUNTA(Table26789[[#This Row],[1]:[11]])-COUNTBLANK(Table26789[[#This Row],[1]:[11]])-1)))</f>
        <v/>
      </c>
      <c r="AE36" s="30" t="str" cm="1">
        <f t="array" ref="AE36">IF(Table26789[[#This Row],[7]]="","",Table26789[[#This Row],[Weight]]-(Table26789[[#This Row],[Weight]]*((_xlfn.XMATCH(Table26789[[#This Row],[7]],Table26789[[#This Row],[1]:[11]],0))-1)/(COUNTA(Table26789[[#This Row],[1]:[11]])-COUNTBLANK(Table26789[[#This Row],[1]:[11]])-1)))</f>
        <v/>
      </c>
      <c r="AF36" s="30" t="str" cm="1">
        <f t="array" ref="AF36">IF(Table26789[[#This Row],[8]]="","",Table26789[[#This Row],[Weight]]-(Table26789[[#This Row],[Weight]]*((_xlfn.XMATCH(Table26789[[#This Row],[8]],Table26789[[#This Row],[1]:[11]],0))-1)/(COUNTA(Table26789[[#This Row],[1]:[11]])-COUNTBLANK(Table26789[[#This Row],[1]:[11]])-1)))</f>
        <v/>
      </c>
      <c r="AG36" s="41" t="str" cm="1">
        <f t="array" ref="AG36">IF(Table26789[[#This Row],[9]]="","",Table26789[[#This Row],[Weight]]-(Table26789[[#This Row],[Weight]]*((_xlfn.XMATCH(Table26789[[#This Row],[9]],Table26789[[#This Row],[1]:[11]],0))-1)/(COUNTA(Table26789[[#This Row],[1]:[11]])-COUNTBLANK(Table26789[[#This Row],[1]:[11]])-1)))</f>
        <v/>
      </c>
      <c r="AH36" s="41" t="str" cm="1">
        <f t="array" ref="AH36">IF(Table26789[[#This Row],[10]]="","",Table26789[[#This Row],[Weight]]-(Table26789[[#This Row],[Weight]]*((_xlfn.XMATCH(Table26789[[#This Row],[10]],Table26789[[#This Row],[1]:[11]],0))-1)/(COUNTA(Table26789[[#This Row],[1]:[11]])-COUNTBLANK(Table26789[[#This Row],[1]:[11]])-1)))</f>
        <v/>
      </c>
      <c r="AI36" s="41" t="str" cm="1">
        <f t="array" ref="AI36">IF(Table26789[[#This Row],[11]]="","",Table26789[[#This Row],[Weight]]-(Table26789[[#This Row],[Weight]]*((_xlfn.XMATCH(Table26789[[#This Row],[11]],Table26789[[#This Row],[1]:[11]],0))-1)/(COUNTA(Table26789[[#This Row],[1]:[11]])-COUNTBLANK(Table26789[[#This Row],[1]:[11]])-1)))</f>
        <v/>
      </c>
    </row>
  </sheetData>
  <sheetProtection insertRows="0" insertHyperlinks="0" deleteRows="0" autoFilter="0"/>
  <mergeCells count="4">
    <mergeCell ref="A10:A11"/>
    <mergeCell ref="B10:C11"/>
    <mergeCell ref="D10:E11"/>
    <mergeCell ref="E2:F3"/>
  </mergeCells>
  <conditionalFormatting sqref="K13:K36">
    <cfRule type="expression" dxfId="1" priority="1">
      <formula>COUNTIF(N13:X13,K13)&lt;&gt;1</formula>
    </cfRule>
  </conditionalFormatting>
  <dataValidations count="4">
    <dataValidation type="list" allowBlank="1" showInputMessage="1" showErrorMessage="1" sqref="M14" xr:uid="{C1593775-33E5-483C-A933-E38605BB65CA}">
      <formula1>_xlfn.UNIQUE(TRIM(_xlfn.TEXTSPLIT(#REF!,",")))</formula1>
    </dataValidation>
    <dataValidation type="list" allowBlank="1" showInputMessage="1" showErrorMessage="1" sqref="F13:F36" xr:uid="{EB430E20-A27C-4C9C-84A3-6E5F8DE79026}">
      <formula1>"No interest,Nice to have,Useful,Important,Very important,Critical,Show stopper"</formula1>
    </dataValidation>
    <dataValidation type="list" allowBlank="1" showInputMessage="1" showErrorMessage="1" sqref="H13:H36" xr:uid="{DAE94B02-EAC4-414F-9B81-9B824C67E36F}">
      <formula1>N13:R13</formula1>
    </dataValidation>
    <dataValidation type="list" allowBlank="1" showInputMessage="1" showErrorMessage="1" sqref="K13:K36" xr:uid="{3DC84AA8-C270-4A32-A2DB-8AF9CE57B6A5}">
      <formula1>$N13:$X13</formula1>
    </dataValidation>
  </dataValidations>
  <pageMargins left="0.7" right="0.7" top="0.75" bottom="0.75" header="0.3" footer="0.3"/>
  <pageSetup paperSize="9" scale="50" fitToHeight="0"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B6D08-6F33-454A-A585-7E8169CA54DC}">
  <sheetPr>
    <pageSetUpPr fitToPage="1"/>
  </sheetPr>
  <dimension ref="A2:AG18"/>
  <sheetViews>
    <sheetView topLeftCell="A9" zoomScale="81" zoomScaleNormal="100" workbookViewId="0">
      <selection activeCell="B14" sqref="B14"/>
    </sheetView>
  </sheetViews>
  <sheetFormatPr defaultColWidth="5.54296875" defaultRowHeight="11.5" x14ac:dyDescent="0.25"/>
  <cols>
    <col min="1" max="1" width="3" style="6" bestFit="1" customWidth="1"/>
    <col min="2" max="2" width="34.7265625" style="6" customWidth="1"/>
    <col min="3" max="3" width="38.81640625" style="6" customWidth="1"/>
    <col min="4" max="4" width="18.54296875" style="6" bestFit="1" customWidth="1"/>
    <col min="5" max="6" width="19" style="6" customWidth="1"/>
    <col min="7" max="7" width="19.453125" style="6" bestFit="1" customWidth="1"/>
    <col min="8" max="8" width="13.7265625" style="6" bestFit="1" customWidth="1"/>
    <col min="9" max="9" width="15.81640625" style="6" customWidth="1"/>
    <col min="10" max="10" width="7.81640625" style="45" bestFit="1" customWidth="1"/>
    <col min="11" max="11" width="19.7265625" style="6" bestFit="1" customWidth="1"/>
    <col min="12" max="12" width="6.54296875" style="46" hidden="1" customWidth="1"/>
    <col min="13" max="22" width="6.453125" style="46" hidden="1" customWidth="1"/>
    <col min="23" max="23" width="8" style="6" hidden="1" customWidth="1"/>
    <col min="24" max="24" width="6.453125" style="6" hidden="1" customWidth="1"/>
    <col min="25" max="30" width="6.1796875" style="6" hidden="1" customWidth="1"/>
    <col min="31" max="33" width="5.54296875" style="6" hidden="1" customWidth="1"/>
    <col min="34" max="16384" width="5.54296875" style="6"/>
  </cols>
  <sheetData>
    <row r="2" spans="1:33" ht="14" x14ac:dyDescent="0.3">
      <c r="B2" s="90" t="s">
        <v>82</v>
      </c>
      <c r="C2" s="91" t="s">
        <v>83</v>
      </c>
      <c r="E2" s="221" t="s">
        <v>141</v>
      </c>
      <c r="F2" s="222"/>
      <c r="G2" s="116"/>
    </row>
    <row r="3" spans="1:33" ht="14" x14ac:dyDescent="0.3">
      <c r="B3" s="90" t="s">
        <v>84</v>
      </c>
      <c r="C3" s="91" t="s">
        <v>83</v>
      </c>
      <c r="E3" s="223"/>
      <c r="F3" s="224"/>
      <c r="G3" s="116"/>
    </row>
    <row r="4" spans="1:33" ht="28" x14ac:dyDescent="0.35">
      <c r="B4" s="90" t="s">
        <v>86</v>
      </c>
      <c r="C4" s="93" t="s">
        <v>87</v>
      </c>
      <c r="D4" s="55"/>
      <c r="E4" s="163" t="s">
        <v>77</v>
      </c>
      <c r="F4" s="169"/>
    </row>
    <row r="5" spans="1:33" ht="14" x14ac:dyDescent="0.3">
      <c r="B5" s="90" t="s">
        <v>88</v>
      </c>
      <c r="C5" s="93" t="s">
        <v>87</v>
      </c>
      <c r="E5" s="112"/>
      <c r="F5" s="168"/>
    </row>
    <row r="6" spans="1:33" ht="14" x14ac:dyDescent="0.3">
      <c r="B6" s="90" t="s">
        <v>90</v>
      </c>
      <c r="C6" s="93" t="s">
        <v>87</v>
      </c>
    </row>
    <row r="7" spans="1:33" ht="42.75" customHeight="1" x14ac:dyDescent="0.3">
      <c r="B7" s="90" t="s">
        <v>91</v>
      </c>
      <c r="C7" s="93"/>
    </row>
    <row r="9" spans="1:33" ht="166.5" customHeight="1" x14ac:dyDescent="0.25"/>
    <row r="11" spans="1:33" ht="15" customHeight="1" x14ac:dyDescent="0.25">
      <c r="A11" s="227"/>
      <c r="B11" s="201" t="s">
        <v>14</v>
      </c>
      <c r="C11" s="201"/>
      <c r="D11" s="122" t="s">
        <v>16</v>
      </c>
      <c r="E11" s="123"/>
      <c r="F11" s="122"/>
      <c r="G11" s="122"/>
      <c r="H11" s="122"/>
      <c r="I11" s="122"/>
      <c r="J11" s="124"/>
      <c r="K11" s="125"/>
      <c r="L11" s="4"/>
      <c r="M11" s="4"/>
      <c r="N11" s="4"/>
      <c r="O11" s="4"/>
      <c r="P11" s="4"/>
      <c r="Q11" s="4"/>
      <c r="R11" s="4"/>
      <c r="S11" s="4"/>
      <c r="T11" s="4"/>
      <c r="U11" s="4"/>
      <c r="V11" s="4"/>
      <c r="W11" s="4"/>
      <c r="X11" s="4"/>
      <c r="Y11" s="4"/>
      <c r="Z11" s="4"/>
      <c r="AA11" s="4"/>
      <c r="AB11" s="4"/>
      <c r="AC11" s="4"/>
      <c r="AD11" s="4"/>
      <c r="AE11" s="4"/>
      <c r="AF11" s="4"/>
      <c r="AG11" s="4"/>
    </row>
    <row r="12" spans="1:33" x14ac:dyDescent="0.25">
      <c r="A12" s="227"/>
      <c r="B12" s="201"/>
      <c r="C12" s="201"/>
      <c r="D12" s="171" t="e">
        <f>'Scoring Summary'!#REF!</f>
        <v>#REF!</v>
      </c>
      <c r="E12" s="126">
        <f>SUM(Table2511[Priority])</f>
        <v>21</v>
      </c>
      <c r="F12" s="127" t="e">
        <f>SUM(Table2511[Weight])</f>
        <v>#REF!</v>
      </c>
      <c r="G12" s="128"/>
      <c r="H12" s="128"/>
      <c r="I12" s="129" t="s">
        <v>17</v>
      </c>
      <c r="J12" s="127" t="e">
        <f>SUM(Table2511[Score])</f>
        <v>#REF!</v>
      </c>
      <c r="K12" s="128"/>
      <c r="L12" s="120">
        <v>1</v>
      </c>
      <c r="M12" s="10">
        <v>2</v>
      </c>
      <c r="N12" s="10">
        <v>3</v>
      </c>
      <c r="O12" s="10">
        <v>4</v>
      </c>
      <c r="P12" s="10">
        <v>5</v>
      </c>
      <c r="Q12" s="10">
        <v>6</v>
      </c>
      <c r="R12" s="10">
        <v>7</v>
      </c>
      <c r="S12" s="10">
        <v>8</v>
      </c>
      <c r="T12" s="10">
        <v>9</v>
      </c>
      <c r="U12" s="10">
        <v>10</v>
      </c>
      <c r="V12" s="10">
        <v>11</v>
      </c>
      <c r="W12" s="10">
        <v>12</v>
      </c>
      <c r="X12" s="10">
        <v>13</v>
      </c>
      <c r="Y12" s="10">
        <v>14</v>
      </c>
      <c r="Z12" s="10">
        <v>15</v>
      </c>
      <c r="AA12" s="10">
        <v>16</v>
      </c>
      <c r="AB12" s="10">
        <v>17</v>
      </c>
      <c r="AC12" s="10">
        <v>18</v>
      </c>
      <c r="AD12" s="10">
        <v>19</v>
      </c>
      <c r="AE12" s="10">
        <v>20</v>
      </c>
      <c r="AF12" s="10">
        <v>21</v>
      </c>
      <c r="AG12" s="10">
        <v>22</v>
      </c>
    </row>
    <row r="13" spans="1:33" ht="34.5" x14ac:dyDescent="0.25">
      <c r="A13" s="130" t="s">
        <v>18</v>
      </c>
      <c r="B13" s="131" t="s">
        <v>19</v>
      </c>
      <c r="C13" s="132" t="s">
        <v>233</v>
      </c>
      <c r="D13" s="133" t="s">
        <v>23</v>
      </c>
      <c r="E13" s="134" t="s">
        <v>24</v>
      </c>
      <c r="F13" s="134" t="s">
        <v>25</v>
      </c>
      <c r="G13" s="133" t="s">
        <v>26</v>
      </c>
      <c r="H13" s="134" t="s">
        <v>27</v>
      </c>
      <c r="I13" s="133" t="s">
        <v>28</v>
      </c>
      <c r="J13" s="135" t="s">
        <v>29</v>
      </c>
      <c r="K13" s="133" t="s">
        <v>30</v>
      </c>
      <c r="L13" s="119" t="s">
        <v>31</v>
      </c>
      <c r="M13" s="18" t="s">
        <v>32</v>
      </c>
      <c r="N13" s="18" t="s">
        <v>33</v>
      </c>
      <c r="O13" s="18" t="s">
        <v>34</v>
      </c>
      <c r="P13" s="18" t="s">
        <v>35</v>
      </c>
      <c r="Q13" s="18" t="s">
        <v>36</v>
      </c>
      <c r="R13" s="18" t="s">
        <v>37</v>
      </c>
      <c r="S13" s="18" t="s">
        <v>38</v>
      </c>
      <c r="T13" s="18" t="s">
        <v>39</v>
      </c>
      <c r="U13" s="18" t="s">
        <v>40</v>
      </c>
      <c r="V13" s="18" t="s">
        <v>41</v>
      </c>
      <c r="W13" s="19" t="s">
        <v>42</v>
      </c>
      <c r="X13" s="19" t="s">
        <v>43</v>
      </c>
      <c r="Y13" s="19" t="s">
        <v>44</v>
      </c>
      <c r="Z13" s="19" t="s">
        <v>45</v>
      </c>
      <c r="AA13" s="19" t="s">
        <v>46</v>
      </c>
      <c r="AB13" s="19" t="s">
        <v>47</v>
      </c>
      <c r="AC13" s="19" t="s">
        <v>48</v>
      </c>
      <c r="AD13" s="19" t="s">
        <v>49</v>
      </c>
      <c r="AE13" s="19" t="s">
        <v>50</v>
      </c>
      <c r="AF13" s="19" t="s">
        <v>51</v>
      </c>
      <c r="AG13" s="19" t="s">
        <v>52</v>
      </c>
    </row>
    <row r="14" spans="1:33" ht="90" x14ac:dyDescent="0.25">
      <c r="A14" s="113">
        <v>1</v>
      </c>
      <c r="B14" s="115" t="s">
        <v>234</v>
      </c>
      <c r="C14" s="136" t="s">
        <v>235</v>
      </c>
      <c r="D14" s="22" t="s">
        <v>114</v>
      </c>
      <c r="E14" s="23" cm="1">
        <f t="array" ref="E14">_xlfn.IFS(D14="","",D14="No interest",0,D14="Nice to have",1,D14="Useful",2,D14="Important",3,D14="Very important",4,D14="Critical",5,D14="Show stopper",6)</f>
        <v>5</v>
      </c>
      <c r="F14" s="24" t="e">
        <f t="shared" ref="F14:F18" si="0">(E14/$E$12)*$D$12</f>
        <v>#REF!</v>
      </c>
      <c r="G14" s="25" t="s">
        <v>156</v>
      </c>
      <c r="H14" s="25" t="e" cm="1">
        <f t="array" ref="H14">_xlfn.TEXTJOIN(","&amp;CHAR(10),,TEXT(Table2511[[#This Row],[12]:[22]],"0,00%"))</f>
        <v>#REF!</v>
      </c>
      <c r="I14" s="26" t="s">
        <v>157</v>
      </c>
      <c r="J14" s="27" t="e">
        <f>F14-(F14*((MATCH(Table2511[[#This Row],[Evaluators Response (SELECT)]],Table2511[[#This Row],[1]:[11]],0)-1)/(COUNTA(Table2511[[#This Row],[1]:[11]])-COUNTBLANK(Table2511[[#This Row],[1]:[11]])-1)))</f>
        <v>#REF!</v>
      </c>
      <c r="K14" s="28"/>
      <c r="L14" s="121" t="str" cm="1">
        <f t="array" ref="L14">IFERROR(INDEX(_xlfn.UNIQUE(TRIM(_xlfn.TEXTSPLIT(Table2511[[#This Row],[Selection Option]:[Selection Option]],","))),,L$12),"")</f>
        <v>Compatible</v>
      </c>
      <c r="M14" s="41" t="str" cm="1">
        <f t="array" ref="M14">IFERROR(INDEX(_xlfn.UNIQUE(TRIM(_xlfn.TEXTSPLIT(Table2511[[#This Row],[Selection Option]:[Selection Option]],","))),,M$12),"")</f>
        <v xml:space="preserve">
Incompatible</v>
      </c>
      <c r="N14" s="41" t="str" cm="1">
        <f t="array" ref="N14">IFERROR(INDEX(_xlfn.UNIQUE(TRIM(_xlfn.TEXTSPLIT(Table2511[[#This Row],[Selection Option]:[Selection Option]],","))),,N$12),"")</f>
        <v/>
      </c>
      <c r="O14" s="41" t="str" cm="1">
        <f t="array" ref="O14">IFERROR(INDEX(_xlfn.UNIQUE(TRIM(_xlfn.TEXTSPLIT(Table2511[[#This Row],[Selection Option]:[Selection Option]],","))),,O$12),"")</f>
        <v/>
      </c>
      <c r="P14" s="41" t="str" cm="1">
        <f t="array" ref="P14">IFERROR(INDEX(_xlfn.UNIQUE(TRIM(_xlfn.TEXTSPLIT(Table2511[[#This Row],[Selection Option]:[Selection Option]],","))),,P$12),"")</f>
        <v/>
      </c>
      <c r="Q14" s="41" t="str" cm="1">
        <f t="array" ref="Q14">IFERROR(INDEX(_xlfn.UNIQUE(TRIM(_xlfn.TEXTSPLIT(Table2511[[#This Row],[Selection Option]:[Selection Option]],","))),,Q$12),"")</f>
        <v/>
      </c>
      <c r="R14" s="41" t="str" cm="1">
        <f t="array" ref="R14">IFERROR(INDEX(_xlfn.UNIQUE(TRIM(_xlfn.TEXTSPLIT(Table2511[[#This Row],[Selection Option]:[Selection Option]],","))),,R$12),"")</f>
        <v/>
      </c>
      <c r="S14" s="41" t="str" cm="1">
        <f t="array" ref="S14">IFERROR(INDEX(_xlfn.UNIQUE(TRIM(_xlfn.TEXTSPLIT(Table2511[[#This Row],[Selection Option]:[Selection Option]],","))),,S$12),"")</f>
        <v/>
      </c>
      <c r="T14" s="41" t="str" cm="1">
        <f t="array" ref="T14">IFERROR(INDEX(_xlfn.UNIQUE(TRIM(_xlfn.TEXTSPLIT(Table2511[[#This Row],[Selection Option]:[Selection Option]],","))),,T$12),"")</f>
        <v/>
      </c>
      <c r="U14" s="41" t="str" cm="1">
        <f t="array" ref="U14">IFERROR(INDEX(_xlfn.UNIQUE(TRIM(_xlfn.TEXTSPLIT(Table2511[[#This Row],[Selection Option]:[Selection Option]],","))),,U$12),"")</f>
        <v/>
      </c>
      <c r="V14" s="41" t="str" cm="1">
        <f t="array" ref="V14">IFERROR(INDEX(_xlfn.UNIQUE(TRIM(_xlfn.TEXTSPLIT(Table2511[[#This Row],[Selection Option]:[Selection Option]],","))),,V$12),"")</f>
        <v/>
      </c>
      <c r="W14" s="30" t="e" cm="1">
        <f t="array" ref="W14">IF(Table2511[[#This Row],[1]]="","",Table2511[[#This Row],[Weight]:[Weight]]-(Table2511[[#This Row],[Weight]:[Weight]]*((_xlfn.XMATCH(Table2511[[#This Row],[1]],Table2511[[#This Row],[1]:[11]],0))-1)/(COUNTA(Table2511[[#This Row],[1]:[11]])-COUNTBLANK(Table2511[[#This Row],[1]:[11]])-1)))</f>
        <v>#REF!</v>
      </c>
      <c r="X14" s="30" t="e" cm="1">
        <f t="array" ref="X14">IF(Table2511[[#This Row],[2]]="","",Table2511[[#This Row],[Weight]:[Weight]]-(Table2511[[#This Row],[Weight]:[Weight]]*((_xlfn.XMATCH(Table2511[[#This Row],[2]],Table2511[[#This Row],[1]:[11]],0))-1)/(COUNTA(Table2511[[#This Row],[1]:[11]])-COUNTBLANK(Table2511[[#This Row],[1]:[11]])-1)))</f>
        <v>#REF!</v>
      </c>
      <c r="Y14" s="30" t="str" cm="1">
        <f t="array" ref="Y14">IF(Table2511[[#This Row],[3]]="","",Table2511[[#This Row],[Weight]:[Weight]]-(Table2511[[#This Row],[Weight]:[Weight]]*((_xlfn.XMATCH(Table2511[[#This Row],[3]],Table2511[[#This Row],[1]:[11]],0))-1)/(COUNTA(Table2511[[#This Row],[1]:[11]])-COUNTBLANK(Table2511[[#This Row],[1]:[11]])-1)))</f>
        <v/>
      </c>
      <c r="Z14" s="30" t="str" cm="1">
        <f t="array" ref="Z14">IF(Table2511[[#This Row],[4]]="","",Table2511[[#This Row],[Weight]:[Weight]]-(Table2511[[#This Row],[Weight]:[Weight]]*((_xlfn.XMATCH(Table2511[[#This Row],[4]],Table2511[[#This Row],[1]:[11]],0))-1)/(COUNTA(Table2511[[#This Row],[1]:[11]])-COUNTBLANK(Table2511[[#This Row],[1]:[11]])-1)))</f>
        <v/>
      </c>
      <c r="AA14" s="30" t="str" cm="1">
        <f t="array" ref="AA14">IF(Table2511[[#This Row],[5]]="","",Table2511[[#This Row],[Weight]:[Weight]]-(Table2511[[#This Row],[Weight]:[Weight]]*((_xlfn.XMATCH(Table2511[[#This Row],[5]],Table2511[[#This Row],[1]:[11]],0))-1)/(COUNTA(Table2511[[#This Row],[1]:[11]])-COUNTBLANK(Table2511[[#This Row],[1]:[11]])-1)))</f>
        <v/>
      </c>
      <c r="AB14" s="30" t="str" cm="1">
        <f t="array" ref="AB14">IF(Table2511[[#This Row],[6]]="","",Table2511[[#This Row],[Weight]:[Weight]]-(Table2511[[#This Row],[Weight]:[Weight]]*((_xlfn.XMATCH(Table2511[[#This Row],[6]],Table2511[[#This Row],[1]:[11]],0))-1)/(COUNTA(Table2511[[#This Row],[1]:[11]])-COUNTBLANK(Table2511[[#This Row],[1]:[11]])-1)))</f>
        <v/>
      </c>
      <c r="AC14" s="30" t="str" cm="1">
        <f t="array" ref="AC14">IF(Table2511[[#This Row],[7]]="","",Table2511[[#This Row],[Weight]:[Weight]]-(Table2511[[#This Row],[Weight]:[Weight]]*((_xlfn.XMATCH(Table2511[[#This Row],[7]],Table2511[[#This Row],[1]:[11]],0))-1)/(COUNTA(Table2511[[#This Row],[1]:[11]])-COUNTBLANK(Table2511[[#This Row],[1]:[11]])-1)))</f>
        <v/>
      </c>
      <c r="AD14" s="30" t="str" cm="1">
        <f t="array" ref="AD14">IF(Table2511[[#This Row],[8]]="","",Table2511[[#This Row],[Weight]:[Weight]]-(Table2511[[#This Row],[Weight]:[Weight]]*((_xlfn.XMATCH(Table2511[[#This Row],[8]],Table2511[[#This Row],[1]:[11]],0))-1)/(COUNTA(Table2511[[#This Row],[1]:[11]])-COUNTBLANK(Table2511[[#This Row],[1]:[11]])-1)))</f>
        <v/>
      </c>
      <c r="AE14" s="30" t="str" cm="1">
        <f t="array" ref="AE14">IF(Table2511[[#This Row],[9]]="","",Table2511[[#This Row],[Weight]:[Weight]]-(Table2511[[#This Row],[Weight]:[Weight]]*((_xlfn.XMATCH(Table2511[[#This Row],[9]],Table2511[[#This Row],[1]:[11]],0))-1)/(COUNTA(Table2511[[#This Row],[1]:[11]])-COUNTBLANK(Table2511[[#This Row],[1]:[11]])-1)))</f>
        <v/>
      </c>
      <c r="AF14" s="30" t="str" cm="1">
        <f t="array" ref="AF14">IF(Table2511[[#This Row],[10]]="","",Table2511[[#This Row],[Weight]:[Weight]]-(Table2511[[#This Row],[Weight]:[Weight]]*((_xlfn.XMATCH(Table2511[[#This Row],[10]],Table2511[[#This Row],[1]:[11]],0))-1)/(COUNTA(Table2511[[#This Row],[1]:[11]])-COUNTBLANK(Table2511[[#This Row],[1]:[11]])-1)))</f>
        <v/>
      </c>
      <c r="AG14" s="30" t="str" cm="1">
        <f t="array" ref="AG14">IF(Table2511[[#This Row],[11]]="","",Table2511[[#This Row],[Weight]:[Weight]]-(Table2511[[#This Row],[Weight]:[Weight]]*((_xlfn.XMATCH(Table2511[[#This Row],[11]],Table2511[[#This Row],[1]:[11]],0))-1)/(COUNTA(Table2511[[#This Row],[1]:[11]])-COUNTBLANK(Table2511[[#This Row],[1]:[11]])-1)))</f>
        <v/>
      </c>
    </row>
    <row r="15" spans="1:33" ht="33" customHeight="1" x14ac:dyDescent="0.25">
      <c r="A15" s="113">
        <v>2</v>
      </c>
      <c r="B15" s="115"/>
      <c r="C15" s="66" t="s">
        <v>236</v>
      </c>
      <c r="D15" s="22" t="s">
        <v>165</v>
      </c>
      <c r="E15" s="23" cm="1">
        <f t="array" ref="E15">_xlfn.IFS(D15="","",D15="No interest",0,D15="Nice to have",1,D15="Useful",2,D15="Important",3,D15="Very important",4,D15="Critical",5,D15="Show stopper",6)</f>
        <v>4</v>
      </c>
      <c r="F15" s="24" t="e">
        <f t="shared" si="0"/>
        <v>#REF!</v>
      </c>
      <c r="G15" s="25" t="s">
        <v>237</v>
      </c>
      <c r="H15" s="25" t="e" cm="1">
        <f t="array" ref="H15">_xlfn.TEXTJOIN(","&amp;CHAR(10),,TEXT(Table2511[[#This Row],[12]:[22]],"0,00%"))</f>
        <v>#REF!</v>
      </c>
      <c r="I15" s="26" t="s">
        <v>120</v>
      </c>
      <c r="J15" s="27" t="e">
        <f>F15-(F15*((MATCH(Table2511[[#This Row],[Evaluators Response (SELECT)]],Table2511[[#This Row],[1]:[11]],0)-1)/(COUNTA(Table2511[[#This Row],[1]:[11]])-COUNTBLANK(Table2511[[#This Row],[1]:[11]])-1)))</f>
        <v>#REF!</v>
      </c>
      <c r="K15" s="28"/>
      <c r="L15" s="121" t="str" cm="1">
        <f t="array" ref="L15">IFERROR(INDEX(_xlfn.UNIQUE(TRIM(_xlfn.TEXTSPLIT(Table2511[[#This Row],[Selection Option]:[Selection Option]],","))),,L$12),"")</f>
        <v>Yes</v>
      </c>
      <c r="M15" s="41" t="str" cm="1">
        <f t="array" ref="M15">IFERROR(INDEX(_xlfn.UNIQUE(TRIM(_xlfn.TEXTSPLIT(Table2511[[#This Row],[Selection Option]:[Selection Option]],","))),,M$12),"")</f>
        <v>No</v>
      </c>
      <c r="N15" s="41" t="str" cm="1">
        <f t="array" ref="N15">IFERROR(INDEX(_xlfn.UNIQUE(TRIM(_xlfn.TEXTSPLIT(Table2511[[#This Row],[Selection Option]:[Selection Option]],","))),,N$12),"")</f>
        <v/>
      </c>
      <c r="O15" s="41" t="str" cm="1">
        <f t="array" ref="O15">IFERROR(INDEX(_xlfn.UNIQUE(TRIM(_xlfn.TEXTSPLIT(Table2511[[#This Row],[Selection Option]:[Selection Option]],","))),,O$12),"")</f>
        <v/>
      </c>
      <c r="P15" s="41" t="str" cm="1">
        <f t="array" ref="P15">IFERROR(INDEX(_xlfn.UNIQUE(TRIM(_xlfn.TEXTSPLIT(Table2511[[#This Row],[Selection Option]:[Selection Option]],","))),,P$12),"")</f>
        <v/>
      </c>
      <c r="Q15" s="41" t="str" cm="1">
        <f t="array" ref="Q15">IFERROR(INDEX(_xlfn.UNIQUE(TRIM(_xlfn.TEXTSPLIT(Table2511[[#This Row],[Selection Option]:[Selection Option]],","))),,Q$12),"")</f>
        <v/>
      </c>
      <c r="R15" s="41" t="str" cm="1">
        <f t="array" ref="R15">IFERROR(INDEX(_xlfn.UNIQUE(TRIM(_xlfn.TEXTSPLIT(Table2511[[#This Row],[Selection Option]:[Selection Option]],","))),,R$12),"")</f>
        <v/>
      </c>
      <c r="S15" s="41" t="str" cm="1">
        <f t="array" ref="S15">IFERROR(INDEX(_xlfn.UNIQUE(TRIM(_xlfn.TEXTSPLIT(Table2511[[#This Row],[Selection Option]:[Selection Option]],","))),,S$12),"")</f>
        <v/>
      </c>
      <c r="T15" s="41" t="str" cm="1">
        <f t="array" ref="T15">IFERROR(INDEX(_xlfn.UNIQUE(TRIM(_xlfn.TEXTSPLIT(Table2511[[#This Row],[Selection Option]:[Selection Option]],","))),,T$12),"")</f>
        <v/>
      </c>
      <c r="U15" s="41" t="str" cm="1">
        <f t="array" ref="U15">IFERROR(INDEX(_xlfn.UNIQUE(TRIM(_xlfn.TEXTSPLIT(Table2511[[#This Row],[Selection Option]:[Selection Option]],","))),,U$12),"")</f>
        <v/>
      </c>
      <c r="V15" s="41" t="str" cm="1">
        <f t="array" ref="V15">IFERROR(INDEX(_xlfn.UNIQUE(TRIM(_xlfn.TEXTSPLIT(Table2511[[#This Row],[Selection Option]:[Selection Option]],","))),,V$12),"")</f>
        <v/>
      </c>
      <c r="W15" s="30" t="e" cm="1">
        <f t="array" ref="W15">IF(Table2511[[#This Row],[1]]="","",Table2511[[#This Row],[Weight]:[Weight]]-(Table2511[[#This Row],[Weight]:[Weight]]*((_xlfn.XMATCH(Table2511[[#This Row],[1]],Table2511[[#This Row],[1]:[11]],0))-1)/(COUNTA(Table2511[[#This Row],[1]:[11]])-COUNTBLANK(Table2511[[#This Row],[1]:[11]])-1)))</f>
        <v>#REF!</v>
      </c>
      <c r="X15" s="30" t="e" cm="1">
        <f t="array" ref="X15">IF(Table2511[[#This Row],[2]]="","",Table2511[[#This Row],[Weight]:[Weight]]-(Table2511[[#This Row],[Weight]:[Weight]]*((_xlfn.XMATCH(Table2511[[#This Row],[2]],Table2511[[#This Row],[1]:[11]],0))-1)/(COUNTA(Table2511[[#This Row],[1]:[11]])-COUNTBLANK(Table2511[[#This Row],[1]:[11]])-1)))</f>
        <v>#REF!</v>
      </c>
      <c r="Y15" s="30" t="str" cm="1">
        <f t="array" ref="Y15">IF(Table2511[[#This Row],[3]]="","",Table2511[[#This Row],[Weight]:[Weight]]-(Table2511[[#This Row],[Weight]:[Weight]]*((_xlfn.XMATCH(Table2511[[#This Row],[3]],Table2511[[#This Row],[1]:[11]],0))-1)/(COUNTA(Table2511[[#This Row],[1]:[11]])-COUNTBLANK(Table2511[[#This Row],[1]:[11]])-1)))</f>
        <v/>
      </c>
      <c r="Z15" s="30" t="str" cm="1">
        <f t="array" ref="Z15">IF(Table2511[[#This Row],[4]]="","",Table2511[[#This Row],[Weight]:[Weight]]-(Table2511[[#This Row],[Weight]:[Weight]]*((_xlfn.XMATCH(Table2511[[#This Row],[4]],Table2511[[#This Row],[1]:[11]],0))-1)/(COUNTA(Table2511[[#This Row],[1]:[11]])-COUNTBLANK(Table2511[[#This Row],[1]:[11]])-1)))</f>
        <v/>
      </c>
      <c r="AA15" s="30" t="str" cm="1">
        <f t="array" ref="AA15">IF(Table2511[[#This Row],[5]]="","",Table2511[[#This Row],[Weight]:[Weight]]-(Table2511[[#This Row],[Weight]:[Weight]]*((_xlfn.XMATCH(Table2511[[#This Row],[5]],Table2511[[#This Row],[1]:[11]],0))-1)/(COUNTA(Table2511[[#This Row],[1]:[11]])-COUNTBLANK(Table2511[[#This Row],[1]:[11]])-1)))</f>
        <v/>
      </c>
      <c r="AB15" s="30" t="str" cm="1">
        <f t="array" ref="AB15">IF(Table2511[[#This Row],[6]]="","",Table2511[[#This Row],[Weight]:[Weight]]-(Table2511[[#This Row],[Weight]:[Weight]]*((_xlfn.XMATCH(Table2511[[#This Row],[6]],Table2511[[#This Row],[1]:[11]],0))-1)/(COUNTA(Table2511[[#This Row],[1]:[11]])-COUNTBLANK(Table2511[[#This Row],[1]:[11]])-1)))</f>
        <v/>
      </c>
      <c r="AC15" s="30" t="str" cm="1">
        <f t="array" ref="AC15">IF(Table2511[[#This Row],[7]]="","",Table2511[[#This Row],[Weight]:[Weight]]-(Table2511[[#This Row],[Weight]:[Weight]]*((_xlfn.XMATCH(Table2511[[#This Row],[7]],Table2511[[#This Row],[1]:[11]],0))-1)/(COUNTA(Table2511[[#This Row],[1]:[11]])-COUNTBLANK(Table2511[[#This Row],[1]:[11]])-1)))</f>
        <v/>
      </c>
      <c r="AD15" s="30" t="str" cm="1">
        <f t="array" ref="AD15">IF(Table2511[[#This Row],[8]]="","",Table2511[[#This Row],[Weight]:[Weight]]-(Table2511[[#This Row],[Weight]:[Weight]]*((_xlfn.XMATCH(Table2511[[#This Row],[8]],Table2511[[#This Row],[1]:[11]],0))-1)/(COUNTA(Table2511[[#This Row],[1]:[11]])-COUNTBLANK(Table2511[[#This Row],[1]:[11]])-1)))</f>
        <v/>
      </c>
      <c r="AE15" s="30" t="str" cm="1">
        <f t="array" ref="AE15">IF(Table2511[[#This Row],[9]]="","",Table2511[[#This Row],[Weight]:[Weight]]-(Table2511[[#This Row],[Weight]:[Weight]]*((_xlfn.XMATCH(Table2511[[#This Row],[9]],Table2511[[#This Row],[1]:[11]],0))-1)/(COUNTA(Table2511[[#This Row],[1]:[11]])-COUNTBLANK(Table2511[[#This Row],[1]:[11]])-1)))</f>
        <v/>
      </c>
      <c r="AF15" s="30" t="str" cm="1">
        <f t="array" ref="AF15">IF(Table2511[[#This Row],[10]]="","",Table2511[[#This Row],[Weight]:[Weight]]-(Table2511[[#This Row],[Weight]:[Weight]]*((_xlfn.XMATCH(Table2511[[#This Row],[10]],Table2511[[#This Row],[1]:[11]],0))-1)/(COUNTA(Table2511[[#This Row],[1]:[11]])-COUNTBLANK(Table2511[[#This Row],[1]:[11]])-1)))</f>
        <v/>
      </c>
      <c r="AG15" s="30" t="str" cm="1">
        <f t="array" ref="AG15">IF(Table2511[[#This Row],[11]]="","",Table2511[[#This Row],[Weight]:[Weight]]-(Table2511[[#This Row],[Weight]:[Weight]]*((_xlfn.XMATCH(Table2511[[#This Row],[11]],Table2511[[#This Row],[1]:[11]],0))-1)/(COUNTA(Table2511[[#This Row],[1]:[11]])-COUNTBLANK(Table2511[[#This Row],[1]:[11]])-1)))</f>
        <v/>
      </c>
    </row>
    <row r="16" spans="1:33" ht="33" customHeight="1" x14ac:dyDescent="0.25">
      <c r="A16" s="113">
        <v>3</v>
      </c>
      <c r="B16" s="115"/>
      <c r="C16" s="66" t="s">
        <v>238</v>
      </c>
      <c r="D16" s="22" t="s">
        <v>165</v>
      </c>
      <c r="E16" s="23" cm="1">
        <f t="array" ref="E16">_xlfn.IFS(D16="","",D16="No interest",0,D16="Nice to have",1,D16="Useful",2,D16="Important",3,D16="Very important",4,D16="Critical",5,D16="Show stopper",6)</f>
        <v>4</v>
      </c>
      <c r="F16" s="24" t="e">
        <f t="shared" si="0"/>
        <v>#REF!</v>
      </c>
      <c r="G16" s="25" t="s">
        <v>237</v>
      </c>
      <c r="H16" s="25" t="e" cm="1">
        <f t="array" ref="H16">_xlfn.TEXTJOIN(","&amp;CHAR(10),,TEXT(Table2511[[#This Row],[12]:[22]],"0,00%"))</f>
        <v>#REF!</v>
      </c>
      <c r="I16" s="26" t="s">
        <v>120</v>
      </c>
      <c r="J16" s="27" t="e">
        <f>F16-(F16*((MATCH(Table2511[[#This Row],[Evaluators Response (SELECT)]],Table2511[[#This Row],[1]:[11]],0)-1)/(COUNTA(Table2511[[#This Row],[1]:[11]])-COUNTBLANK(Table2511[[#This Row],[1]:[11]])-1)))</f>
        <v>#REF!</v>
      </c>
      <c r="K16" s="28"/>
      <c r="L16" s="121" t="str" cm="1">
        <f t="array" ref="L16">IFERROR(INDEX(_xlfn.UNIQUE(TRIM(_xlfn.TEXTSPLIT(Table2511[[#This Row],[Selection Option]:[Selection Option]],","))),,L$12),"")</f>
        <v>Yes</v>
      </c>
      <c r="M16" s="41" t="str" cm="1">
        <f t="array" ref="M16">IFERROR(INDEX(_xlfn.UNIQUE(TRIM(_xlfn.TEXTSPLIT(Table2511[[#This Row],[Selection Option]:[Selection Option]],","))),,M$12),"")</f>
        <v>No</v>
      </c>
      <c r="N16" s="41" t="str" cm="1">
        <f t="array" ref="N16">IFERROR(INDEX(_xlfn.UNIQUE(TRIM(_xlfn.TEXTSPLIT(Table2511[[#This Row],[Selection Option]:[Selection Option]],","))),,N$12),"")</f>
        <v/>
      </c>
      <c r="O16" s="41" t="str" cm="1">
        <f t="array" ref="O16">IFERROR(INDEX(_xlfn.UNIQUE(TRIM(_xlfn.TEXTSPLIT(Table2511[[#This Row],[Selection Option]:[Selection Option]],","))),,O$12),"")</f>
        <v/>
      </c>
      <c r="P16" s="41" t="str" cm="1">
        <f t="array" ref="P16">IFERROR(INDEX(_xlfn.UNIQUE(TRIM(_xlfn.TEXTSPLIT(Table2511[[#This Row],[Selection Option]:[Selection Option]],","))),,P$12),"")</f>
        <v/>
      </c>
      <c r="Q16" s="41" t="str" cm="1">
        <f t="array" ref="Q16">IFERROR(INDEX(_xlfn.UNIQUE(TRIM(_xlfn.TEXTSPLIT(Table2511[[#This Row],[Selection Option]:[Selection Option]],","))),,Q$12),"")</f>
        <v/>
      </c>
      <c r="R16" s="41" t="str" cm="1">
        <f t="array" ref="R16">IFERROR(INDEX(_xlfn.UNIQUE(TRIM(_xlfn.TEXTSPLIT(Table2511[[#This Row],[Selection Option]:[Selection Option]],","))),,R$12),"")</f>
        <v/>
      </c>
      <c r="S16" s="41" t="str" cm="1">
        <f t="array" ref="S16">IFERROR(INDEX(_xlfn.UNIQUE(TRIM(_xlfn.TEXTSPLIT(Table2511[[#This Row],[Selection Option]:[Selection Option]],","))),,S$12),"")</f>
        <v/>
      </c>
      <c r="T16" s="41" t="str" cm="1">
        <f t="array" ref="T16">IFERROR(INDEX(_xlfn.UNIQUE(TRIM(_xlfn.TEXTSPLIT(Table2511[[#This Row],[Selection Option]:[Selection Option]],","))),,T$12),"")</f>
        <v/>
      </c>
      <c r="U16" s="41" t="str" cm="1">
        <f t="array" ref="U16">IFERROR(INDEX(_xlfn.UNIQUE(TRIM(_xlfn.TEXTSPLIT(Table2511[[#This Row],[Selection Option]:[Selection Option]],","))),,U$12),"")</f>
        <v/>
      </c>
      <c r="V16" s="41" t="str" cm="1">
        <f t="array" ref="V16">IFERROR(INDEX(_xlfn.UNIQUE(TRIM(_xlfn.TEXTSPLIT(Table2511[[#This Row],[Selection Option]:[Selection Option]],","))),,V$12),"")</f>
        <v/>
      </c>
      <c r="W16" s="30" t="e" cm="1">
        <f t="array" ref="W16">IF(Table2511[[#This Row],[1]]="","",Table2511[[#This Row],[Weight]:[Weight]]-(Table2511[[#This Row],[Weight]:[Weight]]*((_xlfn.XMATCH(Table2511[[#This Row],[1]],Table2511[[#This Row],[1]:[11]],0))-1)/(COUNTA(Table2511[[#This Row],[1]:[11]])-COUNTBLANK(Table2511[[#This Row],[1]:[11]])-1)))</f>
        <v>#REF!</v>
      </c>
      <c r="X16" s="30" t="e" cm="1">
        <f t="array" ref="X16">IF(Table2511[[#This Row],[2]]="","",Table2511[[#This Row],[Weight]:[Weight]]-(Table2511[[#This Row],[Weight]:[Weight]]*((_xlfn.XMATCH(Table2511[[#This Row],[2]],Table2511[[#This Row],[1]:[11]],0))-1)/(COUNTA(Table2511[[#This Row],[1]:[11]])-COUNTBLANK(Table2511[[#This Row],[1]:[11]])-1)))</f>
        <v>#REF!</v>
      </c>
      <c r="Y16" s="30" t="str" cm="1">
        <f t="array" ref="Y16">IF(Table2511[[#This Row],[3]]="","",Table2511[[#This Row],[Weight]:[Weight]]-(Table2511[[#This Row],[Weight]:[Weight]]*((_xlfn.XMATCH(Table2511[[#This Row],[3]],Table2511[[#This Row],[1]:[11]],0))-1)/(COUNTA(Table2511[[#This Row],[1]:[11]])-COUNTBLANK(Table2511[[#This Row],[1]:[11]])-1)))</f>
        <v/>
      </c>
      <c r="Z16" s="30" t="str" cm="1">
        <f t="array" ref="Z16">IF(Table2511[[#This Row],[4]]="","",Table2511[[#This Row],[Weight]:[Weight]]-(Table2511[[#This Row],[Weight]:[Weight]]*((_xlfn.XMATCH(Table2511[[#This Row],[4]],Table2511[[#This Row],[1]:[11]],0))-1)/(COUNTA(Table2511[[#This Row],[1]:[11]])-COUNTBLANK(Table2511[[#This Row],[1]:[11]])-1)))</f>
        <v/>
      </c>
      <c r="AA16" s="30" t="str" cm="1">
        <f t="array" ref="AA16">IF(Table2511[[#This Row],[5]]="","",Table2511[[#This Row],[Weight]:[Weight]]-(Table2511[[#This Row],[Weight]:[Weight]]*((_xlfn.XMATCH(Table2511[[#This Row],[5]],Table2511[[#This Row],[1]:[11]],0))-1)/(COUNTA(Table2511[[#This Row],[1]:[11]])-COUNTBLANK(Table2511[[#This Row],[1]:[11]])-1)))</f>
        <v/>
      </c>
      <c r="AB16" s="30" t="str" cm="1">
        <f t="array" ref="AB16">IF(Table2511[[#This Row],[6]]="","",Table2511[[#This Row],[Weight]:[Weight]]-(Table2511[[#This Row],[Weight]:[Weight]]*((_xlfn.XMATCH(Table2511[[#This Row],[6]],Table2511[[#This Row],[1]:[11]],0))-1)/(COUNTA(Table2511[[#This Row],[1]:[11]])-COUNTBLANK(Table2511[[#This Row],[1]:[11]])-1)))</f>
        <v/>
      </c>
      <c r="AC16" s="30" t="str" cm="1">
        <f t="array" ref="AC16">IF(Table2511[[#This Row],[7]]="","",Table2511[[#This Row],[Weight]:[Weight]]-(Table2511[[#This Row],[Weight]:[Weight]]*((_xlfn.XMATCH(Table2511[[#This Row],[7]],Table2511[[#This Row],[1]:[11]],0))-1)/(COUNTA(Table2511[[#This Row],[1]:[11]])-COUNTBLANK(Table2511[[#This Row],[1]:[11]])-1)))</f>
        <v/>
      </c>
      <c r="AD16" s="30" t="str" cm="1">
        <f t="array" ref="AD16">IF(Table2511[[#This Row],[8]]="","",Table2511[[#This Row],[Weight]:[Weight]]-(Table2511[[#This Row],[Weight]:[Weight]]*((_xlfn.XMATCH(Table2511[[#This Row],[8]],Table2511[[#This Row],[1]:[11]],0))-1)/(COUNTA(Table2511[[#This Row],[1]:[11]])-COUNTBLANK(Table2511[[#This Row],[1]:[11]])-1)))</f>
        <v/>
      </c>
      <c r="AE16" s="30" t="str" cm="1">
        <f t="array" ref="AE16">IF(Table2511[[#This Row],[9]]="","",Table2511[[#This Row],[Weight]:[Weight]]-(Table2511[[#This Row],[Weight]:[Weight]]*((_xlfn.XMATCH(Table2511[[#This Row],[9]],Table2511[[#This Row],[1]:[11]],0))-1)/(COUNTA(Table2511[[#This Row],[1]:[11]])-COUNTBLANK(Table2511[[#This Row],[1]:[11]])-1)))</f>
        <v/>
      </c>
      <c r="AF16" s="30" t="str" cm="1">
        <f t="array" ref="AF16">IF(Table2511[[#This Row],[10]]="","",Table2511[[#This Row],[Weight]:[Weight]]-(Table2511[[#This Row],[Weight]:[Weight]]*((_xlfn.XMATCH(Table2511[[#This Row],[10]],Table2511[[#This Row],[1]:[11]],0))-1)/(COUNTA(Table2511[[#This Row],[1]:[11]])-COUNTBLANK(Table2511[[#This Row],[1]:[11]])-1)))</f>
        <v/>
      </c>
      <c r="AG16" s="30" t="str" cm="1">
        <f t="array" ref="AG16">IF(Table2511[[#This Row],[11]]="","",Table2511[[#This Row],[Weight]:[Weight]]-(Table2511[[#This Row],[Weight]:[Weight]]*((_xlfn.XMATCH(Table2511[[#This Row],[11]],Table2511[[#This Row],[1]:[11]],0))-1)/(COUNTA(Table2511[[#This Row],[1]:[11]])-COUNTBLANK(Table2511[[#This Row],[1]:[11]])-1)))</f>
        <v/>
      </c>
    </row>
    <row r="17" spans="1:33" ht="33" customHeight="1" x14ac:dyDescent="0.25">
      <c r="A17" s="113"/>
      <c r="B17" s="118"/>
      <c r="C17" s="117" t="s">
        <v>239</v>
      </c>
      <c r="D17" s="22" t="s">
        <v>165</v>
      </c>
      <c r="E17" s="23" cm="1">
        <f t="array" ref="E17">_xlfn.IFS(D17="","",D17="No interest",0,D17="Nice to have",1,D17="Useful",2,D17="Important",3,D17="Very important",4,D17="Critical",5,D17="Show stopper",6)</f>
        <v>4</v>
      </c>
      <c r="F17" s="24" t="e">
        <f>(E17/$E$12)*$D$12</f>
        <v>#REF!</v>
      </c>
      <c r="G17" s="25" t="s">
        <v>237</v>
      </c>
      <c r="H17" s="25" t="e" cm="1">
        <f t="array" ref="H17">_xlfn.TEXTJOIN(","&amp;CHAR(10),,TEXT(Table2511[[#This Row],[12]:[22]],"0,00%"))</f>
        <v>#REF!</v>
      </c>
      <c r="I17" s="26" t="s">
        <v>240</v>
      </c>
      <c r="J17" s="27" t="e">
        <f>F17-(F17*((MATCH(Table2511[[#This Row],[Evaluators Response (SELECT)]],Table2511[[#This Row],[1]:[11]],0)-1)/(COUNTA(Table2511[[#This Row],[1]:[11]])-COUNTBLANK(Table2511[[#This Row],[1]:[11]])-1)))</f>
        <v>#REF!</v>
      </c>
      <c r="K17" s="28"/>
      <c r="L17" s="121" t="str" cm="1">
        <f t="array" ref="L17">IFERROR(INDEX(_xlfn.UNIQUE(TRIM(_xlfn.TEXTSPLIT(Table2511[[#This Row],[Selection Option]:[Selection Option]],","))),,L$12),"")</f>
        <v>Yes</v>
      </c>
      <c r="M17" s="41" t="str" cm="1">
        <f t="array" ref="M17">IFERROR(INDEX(_xlfn.UNIQUE(TRIM(_xlfn.TEXTSPLIT(Table2511[[#This Row],[Selection Option]:[Selection Option]],","))),,M$12),"")</f>
        <v>No</v>
      </c>
      <c r="N17" s="41" t="str" cm="1">
        <f t="array" ref="N17">IFERROR(INDEX(_xlfn.UNIQUE(TRIM(_xlfn.TEXTSPLIT(Table2511[[#This Row],[Selection Option]:[Selection Option]],","))),,N$12),"")</f>
        <v/>
      </c>
      <c r="O17" s="41" t="str" cm="1">
        <f t="array" ref="O17">IFERROR(INDEX(_xlfn.UNIQUE(TRIM(_xlfn.TEXTSPLIT(Table2511[[#This Row],[Selection Option]:[Selection Option]],","))),,O$12),"")</f>
        <v/>
      </c>
      <c r="P17" s="41" t="str" cm="1">
        <f t="array" ref="P17">IFERROR(INDEX(_xlfn.UNIQUE(TRIM(_xlfn.TEXTSPLIT(Table2511[[#This Row],[Selection Option]:[Selection Option]],","))),,P$12),"")</f>
        <v/>
      </c>
      <c r="Q17" s="41" t="str" cm="1">
        <f t="array" ref="Q17">IFERROR(INDEX(_xlfn.UNIQUE(TRIM(_xlfn.TEXTSPLIT(Table2511[[#This Row],[Selection Option]:[Selection Option]],","))),,Q$12),"")</f>
        <v/>
      </c>
      <c r="R17" s="41" t="str" cm="1">
        <f t="array" ref="R17">IFERROR(INDEX(_xlfn.UNIQUE(TRIM(_xlfn.TEXTSPLIT(Table2511[[#This Row],[Selection Option]:[Selection Option]],","))),,R$12),"")</f>
        <v/>
      </c>
      <c r="S17" s="41" t="str" cm="1">
        <f t="array" ref="S17">IFERROR(INDEX(_xlfn.UNIQUE(TRIM(_xlfn.TEXTSPLIT(Table2511[[#This Row],[Selection Option]:[Selection Option]],","))),,S$12),"")</f>
        <v/>
      </c>
      <c r="T17" s="41" t="str" cm="1">
        <f t="array" ref="T17">IFERROR(INDEX(_xlfn.UNIQUE(TRIM(_xlfn.TEXTSPLIT(Table2511[[#This Row],[Selection Option]:[Selection Option]],","))),,T$12),"")</f>
        <v/>
      </c>
      <c r="U17" s="41" t="str" cm="1">
        <f t="array" ref="U17">IFERROR(INDEX(_xlfn.UNIQUE(TRIM(_xlfn.TEXTSPLIT(Table2511[[#This Row],[Selection Option]:[Selection Option]],","))),,U$12),"")</f>
        <v/>
      </c>
      <c r="V17" s="41" t="str" cm="1">
        <f t="array" ref="V17">IFERROR(INDEX(_xlfn.UNIQUE(TRIM(_xlfn.TEXTSPLIT(Table2511[[#This Row],[Selection Option]:[Selection Option]],","))),,V$12),"")</f>
        <v/>
      </c>
      <c r="W17" s="30" t="e" cm="1">
        <f t="array" ref="W17">IF(Table2511[[#This Row],[1]]="","",Table2511[[#This Row],[Weight]:[Weight]]-(Table2511[[#This Row],[Weight]:[Weight]]*((_xlfn.XMATCH(Table2511[[#This Row],[1]],Table2511[[#This Row],[1]:[11]],0))-1)/(COUNTA(Table2511[[#This Row],[1]:[11]])-COUNTBLANK(Table2511[[#This Row],[1]:[11]])-1)))</f>
        <v>#REF!</v>
      </c>
      <c r="X17" s="30" t="e" cm="1">
        <f t="array" ref="X17">IF(Table2511[[#This Row],[2]]="","",Table2511[[#This Row],[Weight]:[Weight]]-(Table2511[[#This Row],[Weight]:[Weight]]*((_xlfn.XMATCH(Table2511[[#This Row],[2]],Table2511[[#This Row],[1]:[11]],0))-1)/(COUNTA(Table2511[[#This Row],[1]:[11]])-COUNTBLANK(Table2511[[#This Row],[1]:[11]])-1)))</f>
        <v>#REF!</v>
      </c>
      <c r="Y17" s="30" t="str" cm="1">
        <f t="array" ref="Y17">IF(Table2511[[#This Row],[3]]="","",Table2511[[#This Row],[Weight]:[Weight]]-(Table2511[[#This Row],[Weight]:[Weight]]*((_xlfn.XMATCH(Table2511[[#This Row],[3]],Table2511[[#This Row],[1]:[11]],0))-1)/(COUNTA(Table2511[[#This Row],[1]:[11]])-COUNTBLANK(Table2511[[#This Row],[1]:[11]])-1)))</f>
        <v/>
      </c>
      <c r="Z17" s="30" t="str" cm="1">
        <f t="array" ref="Z17">IF(Table2511[[#This Row],[4]]="","",Table2511[[#This Row],[Weight]:[Weight]]-(Table2511[[#This Row],[Weight]:[Weight]]*((_xlfn.XMATCH(Table2511[[#This Row],[4]],Table2511[[#This Row],[1]:[11]],0))-1)/(COUNTA(Table2511[[#This Row],[1]:[11]])-COUNTBLANK(Table2511[[#This Row],[1]:[11]])-1)))</f>
        <v/>
      </c>
      <c r="AA17" s="30" t="str" cm="1">
        <f t="array" ref="AA17">IF(Table2511[[#This Row],[5]]="","",Table2511[[#This Row],[Weight]:[Weight]]-(Table2511[[#This Row],[Weight]:[Weight]]*((_xlfn.XMATCH(Table2511[[#This Row],[5]],Table2511[[#This Row],[1]:[11]],0))-1)/(COUNTA(Table2511[[#This Row],[1]:[11]])-COUNTBLANK(Table2511[[#This Row],[1]:[11]])-1)))</f>
        <v/>
      </c>
      <c r="AB17" s="30" t="str" cm="1">
        <f t="array" ref="AB17">IF(Table2511[[#This Row],[6]]="","",Table2511[[#This Row],[Weight]:[Weight]]-(Table2511[[#This Row],[Weight]:[Weight]]*((_xlfn.XMATCH(Table2511[[#This Row],[6]],Table2511[[#This Row],[1]:[11]],0))-1)/(COUNTA(Table2511[[#This Row],[1]:[11]])-COUNTBLANK(Table2511[[#This Row],[1]:[11]])-1)))</f>
        <v/>
      </c>
      <c r="AC17" s="30" t="str" cm="1">
        <f t="array" ref="AC17">IF(Table2511[[#This Row],[7]]="","",Table2511[[#This Row],[Weight]:[Weight]]-(Table2511[[#This Row],[Weight]:[Weight]]*((_xlfn.XMATCH(Table2511[[#This Row],[7]],Table2511[[#This Row],[1]:[11]],0))-1)/(COUNTA(Table2511[[#This Row],[1]:[11]])-COUNTBLANK(Table2511[[#This Row],[1]:[11]])-1)))</f>
        <v/>
      </c>
      <c r="AD17" s="30" t="str" cm="1">
        <f t="array" ref="AD17">IF(Table2511[[#This Row],[8]]="","",Table2511[[#This Row],[Weight]:[Weight]]-(Table2511[[#This Row],[Weight]:[Weight]]*((_xlfn.XMATCH(Table2511[[#This Row],[8]],Table2511[[#This Row],[1]:[11]],0))-1)/(COUNTA(Table2511[[#This Row],[1]:[11]])-COUNTBLANK(Table2511[[#This Row],[1]:[11]])-1)))</f>
        <v/>
      </c>
      <c r="AE17" s="30" t="str" cm="1">
        <f t="array" ref="AE17">IF(Table2511[[#This Row],[9]]="","",Table2511[[#This Row],[Weight]:[Weight]]-(Table2511[[#This Row],[Weight]:[Weight]]*((_xlfn.XMATCH(Table2511[[#This Row],[9]],Table2511[[#This Row],[1]:[11]],0))-1)/(COUNTA(Table2511[[#This Row],[1]:[11]])-COUNTBLANK(Table2511[[#This Row],[1]:[11]])-1)))</f>
        <v/>
      </c>
      <c r="AF17" s="30" t="str" cm="1">
        <f t="array" ref="AF17">IF(Table2511[[#This Row],[10]]="","",Table2511[[#This Row],[Weight]:[Weight]]-(Table2511[[#This Row],[Weight]:[Weight]]*((_xlfn.XMATCH(Table2511[[#This Row],[10]],Table2511[[#This Row],[1]:[11]],0))-1)/(COUNTA(Table2511[[#This Row],[1]:[11]])-COUNTBLANK(Table2511[[#This Row],[1]:[11]])-1)))</f>
        <v/>
      </c>
      <c r="AG17" s="30" t="str" cm="1">
        <f t="array" ref="AG17">IF(Table2511[[#This Row],[11]]="","",Table2511[[#This Row],[Weight]:[Weight]]-(Table2511[[#This Row],[Weight]:[Weight]]*((_xlfn.XMATCH(Table2511[[#This Row],[11]],Table2511[[#This Row],[1]:[11]],0))-1)/(COUNTA(Table2511[[#This Row],[1]:[11]])-COUNTBLANK(Table2511[[#This Row],[1]:[11]])-1)))</f>
        <v/>
      </c>
    </row>
    <row r="18" spans="1:33" ht="23" x14ac:dyDescent="0.25">
      <c r="A18" s="113">
        <v>4</v>
      </c>
      <c r="B18" s="115"/>
      <c r="C18" s="66" t="s">
        <v>241</v>
      </c>
      <c r="D18" s="22" t="s">
        <v>165</v>
      </c>
      <c r="E18" s="23" cm="1">
        <f t="array" ref="E18">_xlfn.IFS(D18="","",D18="No interest",0,D18="Nice to have",1,D18="Useful",2,D18="Important",3,D18="Very important",4,D18="Critical",5,D18="Show stopper",6)</f>
        <v>4</v>
      </c>
      <c r="F18" s="24" t="e">
        <f t="shared" si="0"/>
        <v>#REF!</v>
      </c>
      <c r="G18" s="25" t="s">
        <v>135</v>
      </c>
      <c r="H18" s="25" t="e" cm="1">
        <f t="array" ref="H18">_xlfn.TEXTJOIN(","&amp;CHAR(10),,TEXT(Table2511[[#This Row],[12]:[22]],"0,00%"))</f>
        <v>#REF!</v>
      </c>
      <c r="I18" s="26" t="s">
        <v>120</v>
      </c>
      <c r="J18" s="27" t="e">
        <f>F18-(F18*((MATCH(Table2511[[#This Row],[Evaluators Response (SELECT)]],Table2511[[#This Row],[1]:[11]],0)-1)/(COUNTA(Table2511[[#This Row],[1]:[11]])-COUNTBLANK(Table2511[[#This Row],[1]:[11]])-1)))</f>
        <v>#REF!</v>
      </c>
      <c r="K18" s="28"/>
      <c r="L18" s="121" t="str" cm="1">
        <f t="array" ref="L18">IFERROR(INDEX(_xlfn.UNIQUE(TRIM(_xlfn.TEXTSPLIT(Table2511[[#This Row],[Selection Option]:[Selection Option]],","))),,L$12),"")</f>
        <v>Yes</v>
      </c>
      <c r="M18" s="41" t="str" cm="1">
        <f t="array" ref="M18">IFERROR(INDEX(_xlfn.UNIQUE(TRIM(_xlfn.TEXTSPLIT(Table2511[[#This Row],[Selection Option]:[Selection Option]],","))),,M$12),"")</f>
        <v xml:space="preserve">
No</v>
      </c>
      <c r="N18" s="41" t="str" cm="1">
        <f t="array" ref="N18">IFERROR(INDEX(_xlfn.UNIQUE(TRIM(_xlfn.TEXTSPLIT(Table2511[[#This Row],[Selection Option]:[Selection Option]],","))),,N$12),"")</f>
        <v/>
      </c>
      <c r="O18" s="41" t="str" cm="1">
        <f t="array" ref="O18">IFERROR(INDEX(_xlfn.UNIQUE(TRIM(_xlfn.TEXTSPLIT(Table2511[[#This Row],[Selection Option]:[Selection Option]],","))),,O$12),"")</f>
        <v/>
      </c>
      <c r="P18" s="41" t="str" cm="1">
        <f t="array" ref="P18">IFERROR(INDEX(_xlfn.UNIQUE(TRIM(_xlfn.TEXTSPLIT(Table2511[[#This Row],[Selection Option]:[Selection Option]],","))),,P$12),"")</f>
        <v/>
      </c>
      <c r="Q18" s="41" t="str" cm="1">
        <f t="array" ref="Q18">IFERROR(INDEX(_xlfn.UNIQUE(TRIM(_xlfn.TEXTSPLIT(Table2511[[#This Row],[Selection Option]:[Selection Option]],","))),,Q$12),"")</f>
        <v/>
      </c>
      <c r="R18" s="41" t="str" cm="1">
        <f t="array" ref="R18">IFERROR(INDEX(_xlfn.UNIQUE(TRIM(_xlfn.TEXTSPLIT(Table2511[[#This Row],[Selection Option]:[Selection Option]],","))),,R$12),"")</f>
        <v/>
      </c>
      <c r="S18" s="41" t="str" cm="1">
        <f t="array" ref="S18">IFERROR(INDEX(_xlfn.UNIQUE(TRIM(_xlfn.TEXTSPLIT(Table2511[[#This Row],[Selection Option]:[Selection Option]],","))),,S$12),"")</f>
        <v/>
      </c>
      <c r="T18" s="41" t="str" cm="1">
        <f t="array" ref="T18">IFERROR(INDEX(_xlfn.UNIQUE(TRIM(_xlfn.TEXTSPLIT(Table2511[[#This Row],[Selection Option]:[Selection Option]],","))),,T$12),"")</f>
        <v/>
      </c>
      <c r="U18" s="41" t="str" cm="1">
        <f t="array" ref="U18">IFERROR(INDEX(_xlfn.UNIQUE(TRIM(_xlfn.TEXTSPLIT(Table2511[[#This Row],[Selection Option]:[Selection Option]],","))),,U$12),"")</f>
        <v/>
      </c>
      <c r="V18" s="41" t="str" cm="1">
        <f t="array" ref="V18">IFERROR(INDEX(_xlfn.UNIQUE(TRIM(_xlfn.TEXTSPLIT(Table2511[[#This Row],[Selection Option]:[Selection Option]],","))),,V$12),"")</f>
        <v/>
      </c>
      <c r="W18" s="30" t="e" cm="1">
        <f t="array" ref="W18">IF(Table2511[[#This Row],[1]]="","",Table2511[[#This Row],[Weight]:[Weight]]-(Table2511[[#This Row],[Weight]:[Weight]]*((_xlfn.XMATCH(Table2511[[#This Row],[1]],Table2511[[#This Row],[1]:[11]],0))-1)/(COUNTA(Table2511[[#This Row],[1]:[11]])-COUNTBLANK(Table2511[[#This Row],[1]:[11]])-1)))</f>
        <v>#REF!</v>
      </c>
      <c r="X18" s="30" t="e" cm="1">
        <f t="array" ref="X18">IF(Table2511[[#This Row],[2]]="","",Table2511[[#This Row],[Weight]:[Weight]]-(Table2511[[#This Row],[Weight]:[Weight]]*((_xlfn.XMATCH(Table2511[[#This Row],[2]],Table2511[[#This Row],[1]:[11]],0))-1)/(COUNTA(Table2511[[#This Row],[1]:[11]])-COUNTBLANK(Table2511[[#This Row],[1]:[11]])-1)))</f>
        <v>#REF!</v>
      </c>
      <c r="Y18" s="30" t="str" cm="1">
        <f t="array" ref="Y18">IF(Table2511[[#This Row],[3]]="","",Table2511[[#This Row],[Weight]:[Weight]]-(Table2511[[#This Row],[Weight]:[Weight]]*((_xlfn.XMATCH(Table2511[[#This Row],[3]],Table2511[[#This Row],[1]:[11]],0))-1)/(COUNTA(Table2511[[#This Row],[1]:[11]])-COUNTBLANK(Table2511[[#This Row],[1]:[11]])-1)))</f>
        <v/>
      </c>
      <c r="Z18" s="30" t="str" cm="1">
        <f t="array" ref="Z18">IF(Table2511[[#This Row],[4]]="","",Table2511[[#This Row],[Weight]:[Weight]]-(Table2511[[#This Row],[Weight]:[Weight]]*((_xlfn.XMATCH(Table2511[[#This Row],[4]],Table2511[[#This Row],[1]:[11]],0))-1)/(COUNTA(Table2511[[#This Row],[1]:[11]])-COUNTBLANK(Table2511[[#This Row],[1]:[11]])-1)))</f>
        <v/>
      </c>
      <c r="AA18" s="30" t="str" cm="1">
        <f t="array" ref="AA18">IF(Table2511[[#This Row],[5]]="","",Table2511[[#This Row],[Weight]:[Weight]]-(Table2511[[#This Row],[Weight]:[Weight]]*((_xlfn.XMATCH(Table2511[[#This Row],[5]],Table2511[[#This Row],[1]:[11]],0))-1)/(COUNTA(Table2511[[#This Row],[1]:[11]])-COUNTBLANK(Table2511[[#This Row],[1]:[11]])-1)))</f>
        <v/>
      </c>
      <c r="AB18" s="30" t="str" cm="1">
        <f t="array" ref="AB18">IF(Table2511[[#This Row],[6]]="","",Table2511[[#This Row],[Weight]:[Weight]]-(Table2511[[#This Row],[Weight]:[Weight]]*((_xlfn.XMATCH(Table2511[[#This Row],[6]],Table2511[[#This Row],[1]:[11]],0))-1)/(COUNTA(Table2511[[#This Row],[1]:[11]])-COUNTBLANK(Table2511[[#This Row],[1]:[11]])-1)))</f>
        <v/>
      </c>
      <c r="AC18" s="30" t="str" cm="1">
        <f t="array" ref="AC18">IF(Table2511[[#This Row],[7]]="","",Table2511[[#This Row],[Weight]:[Weight]]-(Table2511[[#This Row],[Weight]:[Weight]]*((_xlfn.XMATCH(Table2511[[#This Row],[7]],Table2511[[#This Row],[1]:[11]],0))-1)/(COUNTA(Table2511[[#This Row],[1]:[11]])-COUNTBLANK(Table2511[[#This Row],[1]:[11]])-1)))</f>
        <v/>
      </c>
      <c r="AD18" s="30" t="str" cm="1">
        <f t="array" ref="AD18">IF(Table2511[[#This Row],[8]]="","",Table2511[[#This Row],[Weight]:[Weight]]-(Table2511[[#This Row],[Weight]:[Weight]]*((_xlfn.XMATCH(Table2511[[#This Row],[8]],Table2511[[#This Row],[1]:[11]],0))-1)/(COUNTA(Table2511[[#This Row],[1]:[11]])-COUNTBLANK(Table2511[[#This Row],[1]:[11]])-1)))</f>
        <v/>
      </c>
      <c r="AE18" s="30" t="str" cm="1">
        <f t="array" ref="AE18">IF(Table2511[[#This Row],[9]]="","",Table2511[[#This Row],[Weight]:[Weight]]-(Table2511[[#This Row],[Weight]:[Weight]]*((_xlfn.XMATCH(Table2511[[#This Row],[9]],Table2511[[#This Row],[1]:[11]],0))-1)/(COUNTA(Table2511[[#This Row],[1]:[11]])-COUNTBLANK(Table2511[[#This Row],[1]:[11]])-1)))</f>
        <v/>
      </c>
      <c r="AF18" s="30" t="str" cm="1">
        <f t="array" ref="AF18">IF(Table2511[[#This Row],[10]]="","",Table2511[[#This Row],[Weight]:[Weight]]-(Table2511[[#This Row],[Weight]:[Weight]]*((_xlfn.XMATCH(Table2511[[#This Row],[10]],Table2511[[#This Row],[1]:[11]],0))-1)/(COUNTA(Table2511[[#This Row],[1]:[11]])-COUNTBLANK(Table2511[[#This Row],[1]:[11]])-1)))</f>
        <v/>
      </c>
      <c r="AG18" s="30" t="str" cm="1">
        <f t="array" ref="AG18">IF(Table2511[[#This Row],[11]]="","",Table2511[[#This Row],[Weight]:[Weight]]-(Table2511[[#This Row],[Weight]:[Weight]]*((_xlfn.XMATCH(Table2511[[#This Row],[11]],Table2511[[#This Row],[1]:[11]],0))-1)/(COUNTA(Table2511[[#This Row],[1]:[11]])-COUNTBLANK(Table2511[[#This Row],[1]:[11]])-1)))</f>
        <v/>
      </c>
    </row>
  </sheetData>
  <sheetProtection insertRows="0" insertHyperlinks="0" deleteRows="0" autoFilter="0"/>
  <mergeCells count="3">
    <mergeCell ref="A11:A12"/>
    <mergeCell ref="B11:C12"/>
    <mergeCell ref="E2:F3"/>
  </mergeCells>
  <conditionalFormatting sqref="I14:I18">
    <cfRule type="expression" dxfId="0" priority="1">
      <formula>COUNTIF(L14:V14,I14)&lt;&gt;1</formula>
    </cfRule>
  </conditionalFormatting>
  <dataValidations count="4">
    <dataValidation type="list" allowBlank="1" showInputMessage="1" showErrorMessage="1" sqref="K15" xr:uid="{4D82EFB0-36E7-47BC-89F2-C3B5954591B8}">
      <formula1>_xlfn.UNIQUE(TRIM(_xlfn.TEXTSPLIT(#REF!,",")))</formula1>
    </dataValidation>
    <dataValidation type="list" allowBlank="1" showInputMessage="1" showErrorMessage="1" sqref="D14:D18" xr:uid="{94284A65-7B96-4C2E-A66C-A90EAE7715E6}">
      <formula1>"No interest,Nice to have,Useful,Important,Very important,Critical,Show stopper"</formula1>
    </dataValidation>
    <dataValidation type="list" allowBlank="1" showInputMessage="1" showErrorMessage="1" sqref="F14:F18" xr:uid="{A0B70EB4-23FA-4637-BCEA-7CB6BBFCFBD4}">
      <formula1>L14:P14</formula1>
    </dataValidation>
    <dataValidation type="list" allowBlank="1" showInputMessage="1" showErrorMessage="1" sqref="I14:I18" xr:uid="{8357B687-31D4-40FF-8811-2CB5E64DBD92}">
      <formula1>$L14:$V14</formula1>
    </dataValidation>
  </dataValidations>
  <pageMargins left="0.7" right="0.7" top="0.75" bottom="0.75" header="0.3" footer="0.3"/>
  <pageSetup paperSize="9" scale="60" fitToHeight="0" orientation="landscape" r:id="rId1"/>
  <drawing r:id="rId2"/>
  <legacyDrawing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4353D-6957-4E2A-A4FC-49C898AA2366}">
  <sheetPr>
    <pageSetUpPr fitToPage="1"/>
  </sheetPr>
  <dimension ref="B1:C29"/>
  <sheetViews>
    <sheetView workbookViewId="0">
      <selection activeCell="C13" sqref="C13"/>
    </sheetView>
  </sheetViews>
  <sheetFormatPr defaultRowHeight="14.5" x14ac:dyDescent="0.35"/>
  <cols>
    <col min="2" max="2" width="14.81640625" customWidth="1"/>
    <col min="3" max="3" width="79.1796875" customWidth="1"/>
  </cols>
  <sheetData>
    <row r="1" spans="2:3" ht="15" thickBot="1" x14ac:dyDescent="0.4"/>
    <row r="2" spans="2:3" ht="16.5" thickBot="1" x14ac:dyDescent="0.45">
      <c r="B2" s="228" t="s">
        <v>242</v>
      </c>
      <c r="C2" s="229"/>
    </row>
    <row r="3" spans="2:3" x14ac:dyDescent="0.35">
      <c r="B3" s="105" t="s">
        <v>246</v>
      </c>
      <c r="C3" s="106" t="s">
        <v>247</v>
      </c>
    </row>
    <row r="4" spans="2:3" x14ac:dyDescent="0.35">
      <c r="B4" s="107" t="s">
        <v>248</v>
      </c>
      <c r="C4" s="108" t="s">
        <v>254</v>
      </c>
    </row>
    <row r="5" spans="2:3" x14ac:dyDescent="0.35">
      <c r="B5" s="107" t="s">
        <v>249</v>
      </c>
      <c r="C5" s="108" t="s">
        <v>250</v>
      </c>
    </row>
    <row r="6" spans="2:3" x14ac:dyDescent="0.35">
      <c r="B6" s="107" t="s">
        <v>251</v>
      </c>
      <c r="C6" s="108" t="s">
        <v>85</v>
      </c>
    </row>
    <row r="7" spans="2:3" x14ac:dyDescent="0.35">
      <c r="B7" s="107" t="s">
        <v>252</v>
      </c>
      <c r="C7" s="108" t="s">
        <v>253</v>
      </c>
    </row>
    <row r="8" spans="2:3" x14ac:dyDescent="0.35">
      <c r="B8" s="107"/>
      <c r="C8" s="108"/>
    </row>
    <row r="9" spans="2:3" x14ac:dyDescent="0.35">
      <c r="B9" s="107"/>
      <c r="C9" s="108"/>
    </row>
    <row r="10" spans="2:3" x14ac:dyDescent="0.35">
      <c r="B10" s="107"/>
      <c r="C10" s="108"/>
    </row>
    <row r="11" spans="2:3" x14ac:dyDescent="0.35">
      <c r="B11" s="107"/>
      <c r="C11" s="108"/>
    </row>
    <row r="12" spans="2:3" x14ac:dyDescent="0.35">
      <c r="B12" s="107"/>
      <c r="C12" s="108"/>
    </row>
    <row r="13" spans="2:3" x14ac:dyDescent="0.35">
      <c r="B13" s="107"/>
      <c r="C13" s="108"/>
    </row>
    <row r="14" spans="2:3" ht="15" thickBot="1" x14ac:dyDescent="0.4">
      <c r="B14" s="109"/>
      <c r="C14" s="110"/>
    </row>
    <row r="16" spans="2:3" ht="15" thickBot="1" x14ac:dyDescent="0.4"/>
    <row r="17" spans="2:3" ht="16.5" thickBot="1" x14ac:dyDescent="0.45">
      <c r="B17" s="228" t="s">
        <v>243</v>
      </c>
      <c r="C17" s="229"/>
    </row>
    <row r="18" spans="2:3" x14ac:dyDescent="0.35">
      <c r="B18" s="105"/>
      <c r="C18" s="106"/>
    </row>
    <row r="19" spans="2:3" x14ac:dyDescent="0.35">
      <c r="B19" s="107"/>
      <c r="C19" s="108"/>
    </row>
    <row r="20" spans="2:3" x14ac:dyDescent="0.35">
      <c r="B20" s="107"/>
      <c r="C20" s="108"/>
    </row>
    <row r="21" spans="2:3" x14ac:dyDescent="0.35">
      <c r="B21" s="107"/>
      <c r="C21" s="108"/>
    </row>
    <row r="22" spans="2:3" x14ac:dyDescent="0.35">
      <c r="B22" s="107"/>
      <c r="C22" s="108"/>
    </row>
    <row r="23" spans="2:3" x14ac:dyDescent="0.35">
      <c r="B23" s="107"/>
      <c r="C23" s="108"/>
    </row>
    <row r="24" spans="2:3" x14ac:dyDescent="0.35">
      <c r="B24" s="107"/>
      <c r="C24" s="108"/>
    </row>
    <row r="25" spans="2:3" x14ac:dyDescent="0.35">
      <c r="B25" s="107"/>
      <c r="C25" s="108"/>
    </row>
    <row r="26" spans="2:3" x14ac:dyDescent="0.35">
      <c r="B26" s="107"/>
      <c r="C26" s="108"/>
    </row>
    <row r="27" spans="2:3" x14ac:dyDescent="0.35">
      <c r="B27" s="107"/>
      <c r="C27" s="108"/>
    </row>
    <row r="28" spans="2:3" x14ac:dyDescent="0.35">
      <c r="B28" s="107"/>
      <c r="C28" s="108"/>
    </row>
    <row r="29" spans="2:3" ht="15" thickBot="1" x14ac:dyDescent="0.4">
      <c r="B29" s="109"/>
      <c r="C29" s="110"/>
    </row>
  </sheetData>
  <mergeCells count="2">
    <mergeCell ref="B2:C2"/>
    <mergeCell ref="B17:C17"/>
  </mergeCells>
  <pageMargins left="0.7" right="0.7" top="0.75" bottom="0.75" header="0.3" footer="0.3"/>
  <pageSetup paperSize="9" scale="77" fitToHeight="0"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3B9A2-BD9A-426C-9BE9-B1356A814700}">
  <sheetPr>
    <pageSetUpPr fitToPage="1"/>
  </sheetPr>
  <dimension ref="A1:R25"/>
  <sheetViews>
    <sheetView showFormulas="1" topLeftCell="A18" zoomScale="80" zoomScaleNormal="150" workbookViewId="0">
      <selection activeCell="N41" sqref="N41"/>
    </sheetView>
  </sheetViews>
  <sheetFormatPr defaultColWidth="9.1796875" defaultRowHeight="14" x14ac:dyDescent="0.35"/>
  <cols>
    <col min="1" max="1" width="1.54296875" style="68" customWidth="1"/>
    <col min="2" max="2" width="3.54296875" style="68" customWidth="1"/>
    <col min="3" max="3" width="9.54296875" style="69" customWidth="1"/>
    <col min="4" max="4" width="11" style="69" customWidth="1"/>
    <col min="5" max="5" width="11.453125" style="68" customWidth="1"/>
    <col min="6" max="16384" width="9.1796875" style="68"/>
  </cols>
  <sheetData>
    <row r="1" spans="1:11" x14ac:dyDescent="0.35">
      <c r="A1" s="67"/>
    </row>
    <row r="2" spans="1:11" ht="21" customHeight="1" x14ac:dyDescent="0.35">
      <c r="A2" s="67"/>
      <c r="B2" s="214" t="s">
        <v>65</v>
      </c>
      <c r="C2" s="214"/>
      <c r="D2" s="214"/>
      <c r="E2" s="214"/>
      <c r="F2" s="214"/>
      <c r="G2" s="214"/>
      <c r="H2" s="214"/>
      <c r="I2" s="214"/>
      <c r="J2" s="214"/>
      <c r="K2" s="214"/>
    </row>
    <row r="3" spans="1:11" ht="14.5" x14ac:dyDescent="0.35">
      <c r="A3" s="67"/>
      <c r="B3" s="69"/>
      <c r="C3" s="211"/>
      <c r="D3" s="215"/>
    </row>
    <row r="4" spans="1:11" ht="7.4" customHeight="1" x14ac:dyDescent="0.35">
      <c r="A4" s="67"/>
      <c r="B4" s="211"/>
      <c r="C4" s="211"/>
    </row>
    <row r="5" spans="1:11" s="71" customFormat="1" ht="24" customHeight="1" x14ac:dyDescent="0.35">
      <c r="A5" s="70"/>
      <c r="B5" s="212" t="s">
        <v>66</v>
      </c>
      <c r="C5" s="213"/>
      <c r="D5" s="213"/>
      <c r="E5" s="213"/>
      <c r="F5" s="213"/>
      <c r="G5" s="213"/>
      <c r="H5" s="213"/>
      <c r="I5" s="213"/>
      <c r="J5" s="213"/>
      <c r="K5" s="213"/>
    </row>
    <row r="6" spans="1:11" ht="8.25" customHeight="1" x14ac:dyDescent="0.35">
      <c r="A6" s="67"/>
      <c r="B6" s="72"/>
      <c r="E6" s="73"/>
    </row>
    <row r="7" spans="1:11" ht="14.15" customHeight="1" x14ac:dyDescent="0.35">
      <c r="A7" s="67"/>
      <c r="B7" s="74" t="s">
        <v>67</v>
      </c>
      <c r="C7" s="216" t="s">
        <v>68</v>
      </c>
      <c r="D7" s="216"/>
      <c r="E7" s="216"/>
      <c r="F7" s="216"/>
      <c r="G7" s="216"/>
      <c r="H7" s="216"/>
      <c r="I7" s="216"/>
      <c r="J7" s="216"/>
      <c r="K7" s="216"/>
    </row>
    <row r="8" spans="1:11" ht="14.15" customHeight="1" x14ac:dyDescent="0.35">
      <c r="A8" s="67"/>
      <c r="B8" s="76"/>
      <c r="C8" s="216" t="s">
        <v>69</v>
      </c>
      <c r="D8" s="216"/>
      <c r="E8" s="216"/>
      <c r="F8" s="216"/>
      <c r="G8" s="216"/>
      <c r="H8" s="216"/>
      <c r="I8" s="216"/>
      <c r="J8" s="216"/>
      <c r="K8" s="216"/>
    </row>
    <row r="9" spans="1:11" ht="14.15" customHeight="1" x14ac:dyDescent="0.35">
      <c r="A9" s="67"/>
      <c r="B9" s="77"/>
      <c r="C9" s="75" t="s">
        <v>70</v>
      </c>
      <c r="D9" s="75"/>
      <c r="E9" s="75"/>
      <c r="F9" s="75"/>
      <c r="G9" s="75"/>
      <c r="H9" s="75"/>
      <c r="I9" s="75"/>
      <c r="J9" s="75"/>
      <c r="K9" s="75"/>
    </row>
    <row r="10" spans="1:11" ht="15.75" customHeight="1" x14ac:dyDescent="0.35">
      <c r="A10" s="67"/>
      <c r="B10" s="78"/>
      <c r="C10" s="209" t="s">
        <v>71</v>
      </c>
      <c r="D10" s="210"/>
      <c r="E10" s="210"/>
      <c r="F10" s="210"/>
      <c r="G10" s="210"/>
      <c r="H10" s="210"/>
      <c r="I10" s="210"/>
      <c r="J10" s="210"/>
      <c r="K10" s="210"/>
    </row>
    <row r="11" spans="1:11" ht="15.75" customHeight="1" x14ac:dyDescent="0.35">
      <c r="A11" s="67"/>
      <c r="B11" s="79"/>
      <c r="C11" s="209" t="s">
        <v>72</v>
      </c>
      <c r="D11" s="210"/>
      <c r="E11" s="210"/>
      <c r="F11" s="210"/>
      <c r="G11" s="210"/>
      <c r="H11" s="210"/>
      <c r="I11" s="210"/>
      <c r="J11" s="210"/>
      <c r="K11" s="210"/>
    </row>
    <row r="12" spans="1:11" ht="15.75" customHeight="1" x14ac:dyDescent="0.35">
      <c r="A12" s="67"/>
      <c r="B12" s="80"/>
      <c r="C12" s="209" t="s">
        <v>73</v>
      </c>
      <c r="D12" s="210"/>
      <c r="E12" s="210"/>
      <c r="F12" s="210"/>
      <c r="G12" s="210"/>
      <c r="H12" s="210"/>
      <c r="I12" s="210"/>
      <c r="J12" s="210"/>
      <c r="K12" s="210"/>
    </row>
    <row r="13" spans="1:11" ht="15.75" customHeight="1" x14ac:dyDescent="0.35">
      <c r="A13" s="67"/>
      <c r="B13" s="81"/>
      <c r="C13" s="209" t="s">
        <v>74</v>
      </c>
      <c r="D13" s="210"/>
      <c r="E13" s="210"/>
      <c r="F13" s="210"/>
      <c r="G13" s="210"/>
      <c r="H13" s="210"/>
      <c r="I13" s="210"/>
      <c r="J13" s="210"/>
      <c r="K13" s="210"/>
    </row>
    <row r="14" spans="1:11" ht="15.75" customHeight="1" x14ac:dyDescent="0.35">
      <c r="A14" s="67"/>
      <c r="B14" s="82"/>
      <c r="C14" s="81" t="s">
        <v>75</v>
      </c>
      <c r="D14" s="81"/>
      <c r="E14" s="81"/>
      <c r="F14" s="81"/>
      <c r="G14" s="81"/>
      <c r="H14" s="81"/>
      <c r="I14" s="81"/>
      <c r="J14" s="81"/>
      <c r="K14" s="81"/>
    </row>
    <row r="15" spans="1:11" ht="15.75" customHeight="1" x14ac:dyDescent="0.35">
      <c r="A15" s="67"/>
      <c r="B15" s="83"/>
      <c r="C15" s="209" t="s">
        <v>76</v>
      </c>
      <c r="D15" s="210"/>
      <c r="E15" s="210"/>
      <c r="F15" s="210"/>
      <c r="G15" s="210"/>
      <c r="H15" s="210"/>
      <c r="I15" s="210"/>
      <c r="J15" s="210"/>
      <c r="K15" s="210"/>
    </row>
    <row r="16" spans="1:11" ht="15.75" customHeight="1" x14ac:dyDescent="0.35">
      <c r="A16" s="67"/>
      <c r="B16" s="84"/>
      <c r="C16" s="209" t="s">
        <v>77</v>
      </c>
      <c r="D16" s="210"/>
      <c r="E16" s="210"/>
      <c r="F16" s="210"/>
      <c r="G16" s="210"/>
      <c r="H16" s="210"/>
      <c r="I16" s="210"/>
      <c r="J16" s="210"/>
      <c r="K16" s="210"/>
    </row>
    <row r="17" spans="1:18" ht="7.5" customHeight="1" x14ac:dyDescent="0.35">
      <c r="A17" s="67"/>
      <c r="B17" s="211"/>
      <c r="C17" s="211"/>
    </row>
    <row r="18" spans="1:18" ht="202.4" customHeight="1" x14ac:dyDescent="0.35">
      <c r="A18" s="67"/>
      <c r="B18" s="74" t="s">
        <v>67</v>
      </c>
      <c r="C18" s="211" t="s">
        <v>78</v>
      </c>
      <c r="D18" s="211"/>
      <c r="E18" s="211"/>
      <c r="F18" s="211"/>
      <c r="G18" s="211"/>
      <c r="H18" s="211"/>
      <c r="I18" s="211"/>
      <c r="J18" s="211"/>
      <c r="K18" s="211"/>
    </row>
    <row r="19" spans="1:18" ht="47.15" customHeight="1" x14ac:dyDescent="0.35">
      <c r="A19" s="67"/>
      <c r="B19" s="211"/>
      <c r="C19" s="211"/>
    </row>
    <row r="20" spans="1:18" ht="7.5" customHeight="1" x14ac:dyDescent="0.35">
      <c r="A20" s="67"/>
      <c r="B20" s="211"/>
      <c r="C20" s="211"/>
    </row>
    <row r="21" spans="1:18" s="85" customFormat="1" x14ac:dyDescent="0.35">
      <c r="A21" s="67"/>
      <c r="B21" s="69"/>
      <c r="C21" s="69"/>
      <c r="D21" s="69"/>
      <c r="E21" s="68"/>
      <c r="F21" s="68"/>
      <c r="G21" s="68"/>
      <c r="H21" s="68"/>
      <c r="I21" s="68"/>
      <c r="J21" s="68"/>
      <c r="K21" s="68"/>
      <c r="L21" s="68"/>
      <c r="M21" s="68"/>
      <c r="N21" s="68"/>
      <c r="O21" s="68"/>
      <c r="P21" s="68"/>
      <c r="Q21" s="68"/>
      <c r="R21" s="68"/>
    </row>
    <row r="22" spans="1:18" s="86" customFormat="1" ht="24" customHeight="1" x14ac:dyDescent="0.35">
      <c r="A22" s="70"/>
      <c r="B22" s="212" t="s">
        <v>79</v>
      </c>
      <c r="C22" s="213"/>
      <c r="D22" s="213"/>
      <c r="E22" s="213"/>
      <c r="F22" s="213"/>
      <c r="G22" s="213"/>
      <c r="H22" s="213"/>
      <c r="I22" s="213"/>
      <c r="J22" s="213"/>
      <c r="K22" s="213"/>
      <c r="L22" s="71"/>
      <c r="M22" s="71"/>
      <c r="N22" s="71"/>
      <c r="O22" s="71"/>
      <c r="P22" s="71"/>
      <c r="Q22" s="71"/>
      <c r="R22" s="71"/>
    </row>
    <row r="23" spans="1:18" s="85" customFormat="1" ht="8.25" customHeight="1" x14ac:dyDescent="0.35">
      <c r="A23" s="67"/>
      <c r="B23" s="68"/>
      <c r="C23" s="87"/>
      <c r="D23" s="87"/>
      <c r="E23" s="68"/>
      <c r="F23" s="68"/>
      <c r="G23" s="68"/>
      <c r="H23" s="68"/>
      <c r="I23" s="68"/>
      <c r="J23" s="68"/>
      <c r="K23" s="68"/>
      <c r="L23" s="68"/>
      <c r="M23" s="68"/>
      <c r="N23" s="68"/>
      <c r="O23" s="68"/>
      <c r="P23" s="68"/>
      <c r="Q23" s="68"/>
      <c r="R23" s="68"/>
    </row>
    <row r="24" spans="1:18" s="85" customFormat="1" ht="28.4" customHeight="1" x14ac:dyDescent="0.35">
      <c r="A24" s="67"/>
      <c r="B24" s="88" t="s">
        <v>67</v>
      </c>
      <c r="C24" s="89" t="s">
        <v>80</v>
      </c>
      <c r="D24" s="208" t="s">
        <v>81</v>
      </c>
      <c r="E24" s="208"/>
      <c r="F24" s="208"/>
      <c r="G24" s="208"/>
      <c r="H24" s="208"/>
      <c r="I24" s="208"/>
      <c r="J24" s="208"/>
      <c r="K24" s="208"/>
      <c r="L24" s="68"/>
      <c r="M24" s="68"/>
      <c r="N24" s="68"/>
      <c r="O24" s="68"/>
      <c r="P24" s="68"/>
      <c r="Q24" s="68"/>
      <c r="R24" s="68"/>
    </row>
    <row r="25" spans="1:18" x14ac:dyDescent="0.35">
      <c r="C25" s="87"/>
      <c r="D25" s="87"/>
    </row>
  </sheetData>
  <sheetProtection formatCells="0" formatColumns="0" formatRows="0" insertColumns="0" insertRows="0" insertHyperlinks="0" deleteColumns="0" deleteRows="0" selectLockedCells="1" sort="0" autoFilter="0" pivotTables="0"/>
  <mergeCells count="18">
    <mergeCell ref="C15:K15"/>
    <mergeCell ref="B2:K2"/>
    <mergeCell ref="C3:D3"/>
    <mergeCell ref="B4:C4"/>
    <mergeCell ref="B5:K5"/>
    <mergeCell ref="C7:K7"/>
    <mergeCell ref="C8:K8"/>
    <mergeCell ref="C10:K10"/>
    <mergeCell ref="C11:K11"/>
    <mergeCell ref="C12:K12"/>
    <mergeCell ref="C13:K13"/>
    <mergeCell ref="D24:K24"/>
    <mergeCell ref="C16:K16"/>
    <mergeCell ref="B17:C17"/>
    <mergeCell ref="C18:K18"/>
    <mergeCell ref="B19:C19"/>
    <mergeCell ref="B20:C20"/>
    <mergeCell ref="B22:K22"/>
  </mergeCells>
  <pageMargins left="0.7" right="0.7" top="0.75" bottom="0.75" header="0.3" footer="0.3"/>
  <pageSetup scale="60"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04470-CE60-494E-B8A6-F49826D29521}">
  <sheetPr>
    <tabColor rgb="FF96330F"/>
    <pageSetUpPr fitToPage="1"/>
  </sheetPr>
  <dimension ref="A1:H21"/>
  <sheetViews>
    <sheetView showGridLines="0" topLeftCell="A3" zoomScaleNormal="100" workbookViewId="0">
      <selection activeCell="E20" sqref="B12:E20"/>
    </sheetView>
  </sheetViews>
  <sheetFormatPr defaultColWidth="13.1796875" defaultRowHeight="10.5" x14ac:dyDescent="0.25"/>
  <cols>
    <col min="1" max="1" width="4.26953125" style="49" customWidth="1"/>
    <col min="2" max="2" width="32" style="57" customWidth="1"/>
    <col min="3" max="3" width="33.26953125" style="57" customWidth="1"/>
    <col min="4" max="4" width="35.7265625" style="57" customWidth="1"/>
    <col min="5" max="5" width="32" style="57" customWidth="1"/>
    <col min="6" max="6" width="4.54296875" style="57" customWidth="1"/>
    <col min="7" max="7" width="13.1796875" style="52"/>
    <col min="8" max="8" width="13.1796875" style="53"/>
    <col min="9" max="16384" width="13.1796875" style="52"/>
  </cols>
  <sheetData>
    <row r="1" spans="2:8" ht="14.5" customHeight="1" x14ac:dyDescent="0.35">
      <c r="B1" s="55"/>
      <c r="C1" s="55"/>
      <c r="D1" s="55"/>
      <c r="E1" s="55"/>
      <c r="F1" s="55"/>
      <c r="G1" s="55"/>
      <c r="H1" s="55"/>
    </row>
    <row r="2" spans="2:8" ht="15.65" customHeight="1" x14ac:dyDescent="0.35">
      <c r="B2" s="90" t="s">
        <v>82</v>
      </c>
      <c r="C2" s="91" t="s">
        <v>83</v>
      </c>
      <c r="G2" s="55"/>
      <c r="H2" s="55"/>
    </row>
    <row r="3" spans="2:8" ht="15.65" customHeight="1" x14ac:dyDescent="0.35">
      <c r="B3" s="90" t="s">
        <v>84</v>
      </c>
      <c r="C3" s="173" t="s">
        <v>85</v>
      </c>
      <c r="G3" s="55"/>
      <c r="H3" s="55"/>
    </row>
    <row r="4" spans="2:8" ht="14.5" customHeight="1" x14ac:dyDescent="0.35">
      <c r="B4" s="90" t="s">
        <v>86</v>
      </c>
      <c r="C4" s="93" t="s">
        <v>87</v>
      </c>
      <c r="F4" s="55"/>
      <c r="G4" s="55"/>
      <c r="H4" s="55"/>
    </row>
    <row r="5" spans="2:8" ht="14.5" customHeight="1" x14ac:dyDescent="0.35">
      <c r="B5" s="90" t="s">
        <v>88</v>
      </c>
      <c r="C5" s="93" t="s">
        <v>87</v>
      </c>
      <c r="D5" s="92" t="s">
        <v>89</v>
      </c>
      <c r="E5" s="92"/>
      <c r="F5" s="55"/>
      <c r="G5" s="55"/>
      <c r="H5" s="55"/>
    </row>
    <row r="6" spans="2:8" ht="14.5" customHeight="1" x14ac:dyDescent="0.35">
      <c r="B6" s="90" t="s">
        <v>90</v>
      </c>
      <c r="C6" s="93" t="s">
        <v>87</v>
      </c>
      <c r="D6" s="92" t="s">
        <v>3</v>
      </c>
      <c r="E6" s="92"/>
      <c r="F6" s="55"/>
      <c r="G6" s="55"/>
      <c r="H6" s="55"/>
    </row>
    <row r="7" spans="2:8" ht="32.5" customHeight="1" x14ac:dyDescent="0.35">
      <c r="B7" s="90" t="s">
        <v>91</v>
      </c>
      <c r="C7" s="93"/>
      <c r="D7" s="92" t="s">
        <v>92</v>
      </c>
      <c r="E7" s="111"/>
      <c r="F7" s="55"/>
      <c r="G7" s="55"/>
      <c r="H7" s="55"/>
    </row>
    <row r="8" spans="2:8" ht="12" customHeight="1" thickBot="1" x14ac:dyDescent="0.3"/>
    <row r="9" spans="2:8" ht="14.5" x14ac:dyDescent="0.25">
      <c r="B9" s="217" t="s">
        <v>93</v>
      </c>
      <c r="C9" s="219" t="s">
        <v>94</v>
      </c>
      <c r="D9" s="220"/>
      <c r="E9" s="172" t="b">
        <v>1</v>
      </c>
    </row>
    <row r="10" spans="2:8" ht="12" customHeight="1" thickBot="1" x14ac:dyDescent="0.3">
      <c r="B10" s="218"/>
      <c r="C10" s="94" t="str">
        <f>IF(AND(E9,Gatekeepers!F8=1),"Pass","")</f>
        <v>Pass</v>
      </c>
      <c r="D10" s="94" t="str">
        <f>IF(AND(E9,Gatekeepers!F8&lt;&gt;1),"Fail ("&amp;TEXT(Gatekeepers!F8,"0,0%")&amp;")","")</f>
        <v/>
      </c>
      <c r="E10" s="162" t="str">
        <f>IF(AND(E9,SUM(COUNTIF(Table1[Scoring],"Pass"),COUNTIF(Table1[Scoring],"Fail"))&lt;&gt;(COUNTA(Table1[Scoring])+COUNTBLANK(Table1[Scoring]))),"Incomplete response","")</f>
        <v/>
      </c>
    </row>
    <row r="11" spans="2:8" ht="12" customHeight="1" thickBot="1" x14ac:dyDescent="0.3"/>
    <row r="12" spans="2:8" ht="16" thickBot="1" x14ac:dyDescent="0.3">
      <c r="B12" s="95" t="s">
        <v>95</v>
      </c>
      <c r="C12" s="96"/>
      <c r="D12" s="96"/>
      <c r="E12" s="97"/>
    </row>
    <row r="13" spans="2:8" ht="16" thickBot="1" x14ac:dyDescent="0.3">
      <c r="B13" s="145" t="s">
        <v>96</v>
      </c>
      <c r="C13" s="146" t="s">
        <v>25</v>
      </c>
      <c r="D13" s="157" t="s">
        <v>97</v>
      </c>
      <c r="E13" s="147" t="s">
        <v>29</v>
      </c>
    </row>
    <row r="14" spans="2:8" ht="15.5" x14ac:dyDescent="0.25">
      <c r="B14" s="137" t="s">
        <v>71</v>
      </c>
      <c r="C14" s="154">
        <v>0.35</v>
      </c>
      <c r="D14" s="158">
        <v>0.9</v>
      </c>
      <c r="E14" s="152">
        <f>'Key Requirements'!L11</f>
        <v>0.35</v>
      </c>
    </row>
    <row r="15" spans="2:8" ht="15.5" x14ac:dyDescent="0.25">
      <c r="B15" s="98" t="s">
        <v>72</v>
      </c>
      <c r="C15" s="155">
        <v>0.4</v>
      </c>
      <c r="D15" s="159"/>
      <c r="E15" s="148">
        <f>Functional!L11</f>
        <v>0.39999999999999997</v>
      </c>
    </row>
    <row r="16" spans="2:8" ht="15.5" x14ac:dyDescent="0.25">
      <c r="B16" s="98" t="s">
        <v>73</v>
      </c>
      <c r="C16" s="155">
        <v>0.15</v>
      </c>
      <c r="D16" s="159"/>
      <c r="E16" s="148">
        <f>'Non-Functional'!L11</f>
        <v>0.15</v>
      </c>
    </row>
    <row r="17" spans="2:5" ht="15.5" hidden="1" x14ac:dyDescent="0.25">
      <c r="B17" s="99" t="s">
        <v>74</v>
      </c>
      <c r="C17" s="155">
        <v>0</v>
      </c>
      <c r="D17" s="159"/>
      <c r="E17" s="148">
        <f>Integration!L11</f>
        <v>0</v>
      </c>
    </row>
    <row r="18" spans="2:5" ht="15.5" hidden="1" x14ac:dyDescent="0.25">
      <c r="B18" s="99" t="s">
        <v>75</v>
      </c>
      <c r="C18" s="155">
        <v>0</v>
      </c>
      <c r="D18" s="159"/>
      <c r="E18" s="148">
        <f>Testing!L11</f>
        <v>0</v>
      </c>
    </row>
    <row r="19" spans="2:5" ht="16" thickBot="1" x14ac:dyDescent="0.3">
      <c r="B19" s="138" t="s">
        <v>76</v>
      </c>
      <c r="C19" s="156">
        <v>0.1</v>
      </c>
      <c r="D19" s="160"/>
      <c r="E19" s="153">
        <f>Security!L11</f>
        <v>9.9999999999999992E-2</v>
      </c>
    </row>
    <row r="20" spans="2:5" ht="16" thickBot="1" x14ac:dyDescent="0.4">
      <c r="B20" s="149" t="s">
        <v>98</v>
      </c>
      <c r="C20" s="150">
        <f>SUM(C14:C19)</f>
        <v>1</v>
      </c>
      <c r="D20" s="161">
        <v>0.9</v>
      </c>
      <c r="E20" s="151">
        <f>SUM(E14:E19)</f>
        <v>1</v>
      </c>
    </row>
    <row r="21" spans="2:5" ht="11" thickTop="1" x14ac:dyDescent="0.25"/>
  </sheetData>
  <mergeCells count="2">
    <mergeCell ref="B9:B10"/>
    <mergeCell ref="C9:D9"/>
  </mergeCells>
  <conditionalFormatting sqref="C10">
    <cfRule type="cellIs" dxfId="11" priority="11" operator="equal">
      <formula>"Pass"</formula>
    </cfRule>
  </conditionalFormatting>
  <conditionalFormatting sqref="C20">
    <cfRule type="cellIs" dxfId="10" priority="6" operator="notEqual">
      <formula>1</formula>
    </cfRule>
  </conditionalFormatting>
  <conditionalFormatting sqref="D10">
    <cfRule type="containsText" dxfId="9" priority="10" operator="containsText" text="Fail">
      <formula>NOT(ISERROR(SEARCH("Fail",D10)))</formula>
    </cfRule>
  </conditionalFormatting>
  <conditionalFormatting sqref="E10">
    <cfRule type="expression" dxfId="8" priority="2">
      <formula>E10="Incomplete response"</formula>
    </cfRule>
  </conditionalFormatting>
  <conditionalFormatting sqref="E14:E20">
    <cfRule type="expression" dxfId="7" priority="3">
      <formula>AND(ISNUMBER(D14),(E14/C14)&lt;D14)</formula>
    </cfRule>
  </conditionalFormatting>
  <pageMargins left="0.25" right="0.25" top="0.75" bottom="0.75" header="0.3" footer="0.3"/>
  <pageSetup paperSize="9" scale="97"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6935-F804-479F-8976-4A5A70307688}">
  <sheetPr>
    <tabColor rgb="FFFFFF00"/>
    <pageSetUpPr fitToPage="1"/>
  </sheetPr>
  <dimension ref="A1:I12"/>
  <sheetViews>
    <sheetView topLeftCell="A3" zoomScale="115" zoomScaleNormal="115" workbookViewId="0">
      <selection activeCell="B9" sqref="B9:C11"/>
    </sheetView>
  </sheetViews>
  <sheetFormatPr defaultRowHeight="14.5" x14ac:dyDescent="0.35"/>
  <cols>
    <col min="1" max="1" width="1.81640625" bestFit="1" customWidth="1"/>
    <col min="2" max="2" width="35" customWidth="1"/>
    <col min="3" max="3" width="36.81640625" customWidth="1"/>
    <col min="4" max="4" width="35.54296875" customWidth="1"/>
    <col min="5" max="5" width="32" customWidth="1"/>
    <col min="6" max="7" width="26.453125" customWidth="1"/>
    <col min="8" max="8" width="3.54296875" customWidth="1"/>
  </cols>
  <sheetData>
    <row r="1" spans="1:9" s="52" customFormat="1" ht="14.5" customHeight="1" x14ac:dyDescent="0.35">
      <c r="A1" s="49"/>
      <c r="B1" s="55"/>
      <c r="C1" s="55"/>
      <c r="D1" s="55"/>
      <c r="E1" s="55"/>
      <c r="F1" s="55"/>
      <c r="G1" s="55"/>
      <c r="H1" s="55"/>
    </row>
    <row r="2" spans="1:9" s="52" customFormat="1" ht="15.65" customHeight="1" x14ac:dyDescent="0.35">
      <c r="A2" s="49"/>
      <c r="B2" s="90" t="s">
        <v>82</v>
      </c>
      <c r="C2" s="91" t="str">
        <f>'Scoring Summary'!C2</f>
        <v>&lt;insert before tender publication&gt;</v>
      </c>
      <c r="D2" s="55"/>
      <c r="E2" s="221" t="s">
        <v>99</v>
      </c>
      <c r="F2" s="222"/>
      <c r="G2" s="55"/>
      <c r="H2" s="55"/>
    </row>
    <row r="3" spans="1:9" s="52" customFormat="1" ht="15.65" customHeight="1" x14ac:dyDescent="0.35">
      <c r="A3" s="49"/>
      <c r="B3" s="90" t="s">
        <v>84</v>
      </c>
      <c r="C3" s="173" t="str">
        <f>'Scoring Summary'!C3</f>
        <v>Enterprise Historian</v>
      </c>
      <c r="D3" s="55"/>
      <c r="E3" s="223"/>
      <c r="F3" s="224"/>
      <c r="G3" s="55"/>
      <c r="H3" s="55"/>
    </row>
    <row r="4" spans="1:9" s="52" customFormat="1" ht="14.5" customHeight="1" x14ac:dyDescent="0.35">
      <c r="A4" s="49"/>
      <c r="B4" s="90" t="s">
        <v>86</v>
      </c>
      <c r="C4" s="93" t="str">
        <f>'Scoring Summary'!C4</f>
        <v>&lt;Evaluator to complete&gt;</v>
      </c>
      <c r="D4" s="55"/>
      <c r="E4" s="167" t="s">
        <v>70</v>
      </c>
      <c r="F4" s="164"/>
      <c r="G4" s="55"/>
      <c r="H4" s="55"/>
    </row>
    <row r="5" spans="1:9" s="52" customFormat="1" ht="14.5" customHeight="1" x14ac:dyDescent="0.35">
      <c r="A5" s="49"/>
      <c r="B5" s="90" t="s">
        <v>88</v>
      </c>
      <c r="C5" s="93" t="str">
        <f>'Scoring Summary'!C5</f>
        <v>&lt;Evaluator to complete&gt;</v>
      </c>
      <c r="D5" s="55"/>
      <c r="E5" s="165"/>
      <c r="F5" s="166"/>
      <c r="G5" s="55"/>
      <c r="H5" s="55"/>
      <c r="I5"/>
    </row>
    <row r="6" spans="1:9" s="52" customFormat="1" ht="14.5" customHeight="1" x14ac:dyDescent="0.35">
      <c r="A6" s="49"/>
      <c r="B6" s="90" t="s">
        <v>90</v>
      </c>
      <c r="C6" s="93" t="str">
        <f>'Scoring Summary'!C6</f>
        <v>&lt;Evaluator to complete&gt;</v>
      </c>
      <c r="D6" s="55"/>
      <c r="E6" s="55"/>
      <c r="F6" s="55"/>
      <c r="G6" s="55"/>
      <c r="H6" s="55"/>
      <c r="I6"/>
    </row>
    <row r="7" spans="1:9" s="52" customFormat="1" ht="32.5" customHeight="1" x14ac:dyDescent="0.35">
      <c r="A7" s="49"/>
      <c r="B7" s="90" t="s">
        <v>91</v>
      </c>
      <c r="C7" s="93"/>
      <c r="D7" s="55"/>
      <c r="E7" s="55"/>
      <c r="F7" s="55"/>
      <c r="G7" s="55"/>
      <c r="H7" s="55"/>
      <c r="I7"/>
    </row>
    <row r="8" spans="1:9" s="52" customFormat="1" ht="12" customHeight="1" thickBot="1" x14ac:dyDescent="0.3">
      <c r="A8" s="49"/>
      <c r="B8" s="57"/>
      <c r="C8" s="57"/>
      <c r="D8" s="57"/>
      <c r="E8" s="100"/>
      <c r="F8" s="114">
        <f>COUNTIF(Table1[Scoring],"Pass")/(COUNTA(Table1[Scoring])+COUNTBLANK(Table1[Scoring]))</f>
        <v>1</v>
      </c>
      <c r="H8" s="53"/>
    </row>
    <row r="9" spans="1:9" s="53" customFormat="1" ht="57" customHeight="1" x14ac:dyDescent="0.25">
      <c r="A9" s="101"/>
      <c r="B9" s="139" t="s">
        <v>100</v>
      </c>
      <c r="C9" s="140" t="s">
        <v>101</v>
      </c>
      <c r="D9" s="141" t="s">
        <v>102</v>
      </c>
      <c r="E9" s="142" t="s">
        <v>103</v>
      </c>
      <c r="F9" s="143" t="s">
        <v>104</v>
      </c>
      <c r="G9" s="144" t="s">
        <v>30</v>
      </c>
    </row>
    <row r="10" spans="1:9" s="53" customFormat="1" ht="34.5" x14ac:dyDescent="0.25">
      <c r="A10" s="21">
        <v>1</v>
      </c>
      <c r="B10" s="21" t="s">
        <v>105</v>
      </c>
      <c r="C10" s="21" t="s">
        <v>256</v>
      </c>
      <c r="D10" s="102"/>
      <c r="E10" s="102"/>
      <c r="F10" s="103" t="s">
        <v>106</v>
      </c>
      <c r="G10" s="104"/>
    </row>
    <row r="11" spans="1:9" s="53" customFormat="1" ht="34.5" x14ac:dyDescent="0.25">
      <c r="A11" s="21">
        <v>2</v>
      </c>
      <c r="B11" s="21" t="s">
        <v>107</v>
      </c>
      <c r="C11" s="21" t="s">
        <v>108</v>
      </c>
      <c r="D11" s="102"/>
      <c r="E11" s="102"/>
      <c r="F11" s="103" t="s">
        <v>106</v>
      </c>
      <c r="G11" s="104"/>
    </row>
    <row r="12" spans="1:9" ht="23" x14ac:dyDescent="0.35">
      <c r="A12">
        <v>3</v>
      </c>
      <c r="B12" s="21" t="s">
        <v>109</v>
      </c>
      <c r="C12" s="195" t="s">
        <v>110</v>
      </c>
      <c r="D12" s="192"/>
      <c r="E12" s="192"/>
      <c r="F12" s="193" t="s">
        <v>106</v>
      </c>
      <c r="G12" s="194"/>
    </row>
  </sheetData>
  <mergeCells count="1">
    <mergeCell ref="E2:F3"/>
  </mergeCells>
  <dataValidations count="1">
    <dataValidation type="list" allowBlank="1" showInputMessage="1" showErrorMessage="1" sqref="F10:F12" xr:uid="{21DF8596-6E9B-4AA7-A91A-7FD7C37A206D}">
      <formula1>"Pass,Fail"</formula1>
    </dataValidation>
  </dataValidations>
  <pageMargins left="0.7" right="0.7" top="0.75" bottom="0.75" header="0.3" footer="0.3"/>
  <pageSetup paperSize="9" scale="66" fitToHeight="0" orientation="landscape" r:id="rId1"/>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BEAB8-52A3-4C4E-9E20-C573E6D7816A}">
  <sheetPr>
    <tabColor rgb="FF6666FF"/>
    <pageSetUpPr fitToPage="1"/>
  </sheetPr>
  <dimension ref="A2:AI17"/>
  <sheetViews>
    <sheetView zoomScale="110" zoomScaleNormal="110" workbookViewId="0">
      <pane xSplit="1" ySplit="11" topLeftCell="B17" activePane="bottomRight" state="frozen"/>
      <selection pane="topRight" activeCell="C7" sqref="C7"/>
      <selection pane="bottomLeft" activeCell="C7" sqref="C7"/>
      <selection pane="bottomRight" activeCell="B10" sqref="B10:C17"/>
    </sheetView>
  </sheetViews>
  <sheetFormatPr defaultColWidth="5.54296875" defaultRowHeight="11.5" x14ac:dyDescent="0.25"/>
  <cols>
    <col min="1" max="1" width="3" style="6" bestFit="1" customWidth="1"/>
    <col min="2" max="2" width="28.7265625" style="6" customWidth="1"/>
    <col min="3" max="3" width="38.81640625" style="6" customWidth="1"/>
    <col min="4" max="4" width="28.54296875" style="6" bestFit="1" customWidth="1"/>
    <col min="5" max="5" width="31.26953125" style="6" bestFit="1" customWidth="1"/>
    <col min="6" max="6" width="18.54296875" style="6" bestFit="1" customWidth="1"/>
    <col min="7" max="7" width="11.26953125" style="6" bestFit="1" customWidth="1"/>
    <col min="8" max="8" width="13.7265625" style="6" bestFit="1" customWidth="1"/>
    <col min="9" max="9" width="19.453125" style="6" bestFit="1" customWidth="1"/>
    <col min="10" max="10" width="8" style="6" customWidth="1"/>
    <col min="11" max="11" width="15.81640625" style="6" customWidth="1"/>
    <col min="12" max="12" width="7.81640625" style="45" bestFit="1" customWidth="1"/>
    <col min="13" max="13" width="19.7265625" style="6" bestFit="1" customWidth="1"/>
    <col min="14" max="14" width="6.54296875" style="46" hidden="1" customWidth="1"/>
    <col min="15" max="24" width="6.453125" style="46" hidden="1" customWidth="1"/>
    <col min="25" max="25" width="8" style="6" hidden="1" customWidth="1"/>
    <col min="26" max="26" width="5.54296875" style="6" hidden="1" customWidth="1"/>
    <col min="27" max="32" width="6.1796875" style="6" hidden="1" customWidth="1"/>
    <col min="33" max="35" width="5.54296875" style="6" hidden="1" customWidth="1"/>
    <col min="36" max="16384" width="5.54296875" style="6"/>
  </cols>
  <sheetData>
    <row r="2" spans="1:35" ht="15" customHeight="1" x14ac:dyDescent="0.3">
      <c r="B2" s="90" t="s">
        <v>82</v>
      </c>
      <c r="C2" s="91" t="s">
        <v>83</v>
      </c>
      <c r="E2" s="221" t="s">
        <v>111</v>
      </c>
      <c r="F2" s="222"/>
    </row>
    <row r="3" spans="1:35" ht="15.75" customHeight="1" x14ac:dyDescent="0.25">
      <c r="B3" s="90" t="s">
        <v>84</v>
      </c>
      <c r="C3" s="173" t="str">
        <f>+'Scoring Summary'!C3</f>
        <v>Enterprise Historian</v>
      </c>
      <c r="E3" s="223"/>
      <c r="F3" s="224"/>
    </row>
    <row r="4" spans="1:35" ht="15.75" customHeight="1" x14ac:dyDescent="0.35">
      <c r="B4" s="90" t="s">
        <v>86</v>
      </c>
      <c r="C4" s="93" t="s">
        <v>87</v>
      </c>
      <c r="E4" s="163" t="s">
        <v>71</v>
      </c>
      <c r="F4" s="164"/>
    </row>
    <row r="5" spans="1:35" ht="15" customHeight="1" x14ac:dyDescent="0.35">
      <c r="B5" s="90" t="s">
        <v>88</v>
      </c>
      <c r="C5" s="93" t="s">
        <v>87</v>
      </c>
      <c r="E5" s="165"/>
      <c r="F5" s="166"/>
    </row>
    <row r="6" spans="1:35" ht="15.5" x14ac:dyDescent="0.35">
      <c r="B6" s="90" t="s">
        <v>90</v>
      </c>
      <c r="C6" s="93" t="s">
        <v>87</v>
      </c>
      <c r="E6" s="55"/>
      <c r="F6" s="55"/>
    </row>
    <row r="7" spans="1:35" ht="42.75" customHeight="1" x14ac:dyDescent="0.35">
      <c r="B7" s="90" t="s">
        <v>91</v>
      </c>
      <c r="C7" s="93"/>
      <c r="D7" s="57"/>
      <c r="E7" s="55"/>
    </row>
    <row r="10" spans="1:35" ht="15" customHeight="1" x14ac:dyDescent="0.25">
      <c r="A10" s="199"/>
      <c r="B10" s="201" t="s">
        <v>14</v>
      </c>
      <c r="C10" s="201"/>
      <c r="D10" s="203" t="s">
        <v>15</v>
      </c>
      <c r="E10" s="204"/>
      <c r="F10" s="1" t="s">
        <v>16</v>
      </c>
      <c r="G10" s="2"/>
      <c r="H10" s="3"/>
      <c r="I10" s="3"/>
      <c r="J10" s="3"/>
      <c r="K10" s="3"/>
      <c r="L10" s="4"/>
      <c r="M10" s="5"/>
      <c r="N10" s="4"/>
      <c r="O10" s="4"/>
      <c r="P10" s="4"/>
      <c r="Q10" s="4"/>
      <c r="R10" s="4"/>
      <c r="S10" s="4"/>
      <c r="T10" s="4"/>
      <c r="U10" s="4"/>
      <c r="V10" s="4"/>
      <c r="W10" s="4"/>
      <c r="X10" s="4"/>
      <c r="Y10" s="4"/>
      <c r="Z10" s="4"/>
      <c r="AA10" s="4"/>
      <c r="AB10" s="4"/>
      <c r="AC10" s="4"/>
      <c r="AD10" s="4"/>
      <c r="AE10" s="4"/>
      <c r="AF10" s="4"/>
      <c r="AG10" s="4"/>
      <c r="AH10" s="4"/>
      <c r="AI10" s="4"/>
    </row>
    <row r="11" spans="1:35" x14ac:dyDescent="0.25">
      <c r="A11" s="200"/>
      <c r="B11" s="202"/>
      <c r="C11" s="202"/>
      <c r="D11" s="205"/>
      <c r="E11" s="205"/>
      <c r="F11" s="170">
        <f>'Scoring Summary'!C14</f>
        <v>0.35</v>
      </c>
      <c r="G11" s="48">
        <f>SUM(Table24[Priority])</f>
        <v>25</v>
      </c>
      <c r="H11" s="8">
        <f>SUM(Table24[Weight])</f>
        <v>0.35</v>
      </c>
      <c r="I11" s="7"/>
      <c r="J11" s="7"/>
      <c r="K11" s="9" t="s">
        <v>17</v>
      </c>
      <c r="L11" s="8">
        <f>SUM(Table24[Score])</f>
        <v>0.35</v>
      </c>
      <c r="M11" s="7"/>
      <c r="N11" s="10">
        <v>1</v>
      </c>
      <c r="O11" s="10">
        <v>2</v>
      </c>
      <c r="P11" s="10">
        <v>3</v>
      </c>
      <c r="Q11" s="10">
        <v>4</v>
      </c>
      <c r="R11" s="10">
        <v>5</v>
      </c>
      <c r="S11" s="10">
        <v>6</v>
      </c>
      <c r="T11" s="10">
        <v>7</v>
      </c>
      <c r="U11" s="10">
        <v>8</v>
      </c>
      <c r="V11" s="10">
        <v>9</v>
      </c>
      <c r="W11" s="10">
        <v>10</v>
      </c>
      <c r="X11" s="10">
        <v>11</v>
      </c>
      <c r="Y11" s="10">
        <v>12</v>
      </c>
      <c r="Z11" s="10">
        <v>13</v>
      </c>
      <c r="AA11" s="10">
        <v>14</v>
      </c>
      <c r="AB11" s="10">
        <v>15</v>
      </c>
      <c r="AC11" s="10">
        <v>16</v>
      </c>
      <c r="AD11" s="10">
        <v>17</v>
      </c>
      <c r="AE11" s="10">
        <v>18</v>
      </c>
      <c r="AF11" s="10">
        <v>19</v>
      </c>
      <c r="AG11" s="10">
        <v>20</v>
      </c>
      <c r="AH11" s="10">
        <v>21</v>
      </c>
      <c r="AI11" s="10">
        <v>22</v>
      </c>
    </row>
    <row r="12" spans="1:35" ht="46" x14ac:dyDescent="0.25">
      <c r="A12" s="11" t="s">
        <v>18</v>
      </c>
      <c r="B12" s="12" t="s">
        <v>19</v>
      </c>
      <c r="C12" s="13" t="s">
        <v>20</v>
      </c>
      <c r="D12" s="14" t="s">
        <v>21</v>
      </c>
      <c r="E12" s="14" t="s">
        <v>22</v>
      </c>
      <c r="F12" s="15" t="s">
        <v>23</v>
      </c>
      <c r="G12" s="16" t="s">
        <v>24</v>
      </c>
      <c r="H12" s="16" t="s">
        <v>25</v>
      </c>
      <c r="I12" s="15" t="s">
        <v>26</v>
      </c>
      <c r="J12" s="16" t="s">
        <v>27</v>
      </c>
      <c r="K12" s="15" t="s">
        <v>28</v>
      </c>
      <c r="L12" s="17" t="s">
        <v>29</v>
      </c>
      <c r="M12" s="15" t="s">
        <v>30</v>
      </c>
      <c r="N12" s="18" t="s">
        <v>31</v>
      </c>
      <c r="O12" s="18" t="s">
        <v>32</v>
      </c>
      <c r="P12" s="18" t="s">
        <v>33</v>
      </c>
      <c r="Q12" s="18" t="s">
        <v>34</v>
      </c>
      <c r="R12" s="18" t="s">
        <v>35</v>
      </c>
      <c r="S12" s="18" t="s">
        <v>36</v>
      </c>
      <c r="T12" s="18" t="s">
        <v>37</v>
      </c>
      <c r="U12" s="18" t="s">
        <v>38</v>
      </c>
      <c r="V12" s="18" t="s">
        <v>39</v>
      </c>
      <c r="W12" s="18" t="s">
        <v>40</v>
      </c>
      <c r="X12" s="18" t="s">
        <v>41</v>
      </c>
      <c r="Y12" s="19" t="s">
        <v>42</v>
      </c>
      <c r="Z12" s="19" t="s">
        <v>43</v>
      </c>
      <c r="AA12" s="19" t="s">
        <v>44</v>
      </c>
      <c r="AB12" s="19" t="s">
        <v>45</v>
      </c>
      <c r="AC12" s="19" t="s">
        <v>46</v>
      </c>
      <c r="AD12" s="19" t="s">
        <v>47</v>
      </c>
      <c r="AE12" s="19" t="s">
        <v>48</v>
      </c>
      <c r="AF12" s="19" t="s">
        <v>49</v>
      </c>
      <c r="AG12" s="19" t="s">
        <v>50</v>
      </c>
      <c r="AH12" s="19" t="s">
        <v>51</v>
      </c>
      <c r="AI12" s="19" t="s">
        <v>52</v>
      </c>
    </row>
    <row r="13" spans="1:35" ht="57.5" x14ac:dyDescent="0.25">
      <c r="A13" s="20">
        <v>1</v>
      </c>
      <c r="B13" s="21" t="s">
        <v>112</v>
      </c>
      <c r="C13" s="21" t="s">
        <v>113</v>
      </c>
      <c r="D13" s="21"/>
      <c r="E13" s="21"/>
      <c r="F13" s="22" t="s">
        <v>114</v>
      </c>
      <c r="G13" s="23" cm="1">
        <f t="array" ref="G13">_xlfn.IFS(F13="","",F13="No interest",0,F13="Nice to have",1,F13="Useful",2,F13="Important",3,F13="Very important",4,F13="Critical",5,F13="Show stopper",6)</f>
        <v>5</v>
      </c>
      <c r="H13" s="24">
        <f t="shared" ref="H13:H17" si="0">(G13/$G$11)*$F$11</f>
        <v>6.9999999999999993E-2</v>
      </c>
      <c r="I13" s="25" t="s">
        <v>115</v>
      </c>
      <c r="J13" s="25" t="str" cm="1">
        <f t="array" ref="J13">_xlfn.TEXTJOIN(","&amp;CHAR(10),,TEXT(Table24[[#This Row],[12]:[22]],"0.00%"))</f>
        <v>7.00%,
5.25%,
3.50%,
1.75%,
0.00%</v>
      </c>
      <c r="K13" s="26" t="s">
        <v>116</v>
      </c>
      <c r="L13" s="27">
        <f>H13-(H13*((MATCH(Table24[[#This Row],[Evaluators Response (SELECT)]],Table24[[#This Row],[1]:[11]],0)-1)/(COUNTA(Table24[[#This Row],[1]:[11]])-COUNTBLANK(Table24[[#This Row],[1]:[11]])-1)))</f>
        <v>6.9999999999999993E-2</v>
      </c>
      <c r="M13" s="40"/>
      <c r="N13" s="29" t="str" cm="1">
        <f t="array" ref="N13">IFERROR(INDEX(_xlfn.UNIQUE(TRIM(_xlfn.TEXTSPLIT(Table24[[#This Row],[Selection Option]:[Selection Option]],","))),,N$11),"")</f>
        <v>5 Years or more</v>
      </c>
      <c r="O13" s="29" t="str" cm="1">
        <f t="array" ref="O13">IFERROR(INDEX(_xlfn.UNIQUE(TRIM(_xlfn.TEXTSPLIT(Table24[[#This Row],[Selection Option]:[Selection Option]],","))),,O$11),"")</f>
        <v xml:space="preserve">
4 Years</v>
      </c>
      <c r="P13" s="29" t="str" cm="1">
        <f t="array" ref="P13">IFERROR(INDEX(_xlfn.UNIQUE(TRIM(_xlfn.TEXTSPLIT(Table24[[#This Row],[Selection Option]:[Selection Option]],","))),,P$11),"")</f>
        <v xml:space="preserve">
3 Years</v>
      </c>
      <c r="Q13" s="29" t="str" cm="1">
        <f t="array" ref="Q13">IFERROR(INDEX(_xlfn.UNIQUE(TRIM(_xlfn.TEXTSPLIT(Table24[[#This Row],[Selection Option]:[Selection Option]],","))),,Q$11),"")</f>
        <v xml:space="preserve">
1 Years</v>
      </c>
      <c r="R13" s="29" t="str" cm="1">
        <f t="array" ref="R13">IFERROR(INDEX(_xlfn.UNIQUE(TRIM(_xlfn.TEXTSPLIT(Table24[[#This Row],[Selection Option]:[Selection Option]],","))),,R$11),"")</f>
        <v xml:space="preserve">
Less than 1 Years</v>
      </c>
      <c r="S13" s="29" t="str" cm="1">
        <f t="array" ref="S13">IFERROR(INDEX(_xlfn.UNIQUE(TRIM(_xlfn.TEXTSPLIT(Table24[[#This Row],[Selection Option]:[Selection Option]],","))),,S$11),"")</f>
        <v/>
      </c>
      <c r="T13" s="29" t="str" cm="1">
        <f t="array" ref="T13">IFERROR(INDEX(_xlfn.UNIQUE(TRIM(_xlfn.TEXTSPLIT(Table24[[#This Row],[Selection Option]:[Selection Option]],","))),,T$11),"")</f>
        <v/>
      </c>
      <c r="U13" s="29" t="str" cm="1">
        <f t="array" ref="U13">IFERROR(INDEX(_xlfn.UNIQUE(TRIM(_xlfn.TEXTSPLIT(Table24[[#This Row],[Selection Option]:[Selection Option]],","))),,U$11),"")</f>
        <v/>
      </c>
      <c r="V13" s="29" t="str" cm="1">
        <f t="array" ref="V13">IFERROR(INDEX(_xlfn.UNIQUE(TRIM(_xlfn.TEXTSPLIT(Table24[[#This Row],[Selection Option]:[Selection Option]],","))),,V$11),"")</f>
        <v/>
      </c>
      <c r="W13" s="29" t="str" cm="1">
        <f t="array" ref="W13">IFERROR(INDEX(_xlfn.UNIQUE(TRIM(_xlfn.TEXTSPLIT(Table24[[#This Row],[Selection Option]:[Selection Option]],","))),,W$11),"")</f>
        <v/>
      </c>
      <c r="X13" s="29" t="str" cm="1">
        <f t="array" ref="X13">IFERROR(INDEX(_xlfn.UNIQUE(TRIM(_xlfn.TEXTSPLIT(Table24[[#This Row],[Selection Option]:[Selection Option]],","))),,X$11),"")</f>
        <v/>
      </c>
      <c r="Y13" s="30" cm="1">
        <f t="array" ref="Y13">IF(Table24[[#This Row],[1]]="","",Table24[[#This Row],[Weight]:[Weight]]-(Table24[[#This Row],[Weight]:[Weight]]*((_xlfn.XMATCH(Table24[[#This Row],[1]],Table24[[#This Row],[1]:[11]],0))-1)/(COUNTA(Table24[[#This Row],[1]:[11]])-COUNTBLANK(Table24[[#This Row],[1]:[11]])-1)))</f>
        <v>6.9999999999999993E-2</v>
      </c>
      <c r="Z13" s="30" cm="1">
        <f t="array" ref="Z13">IF(Table24[[#This Row],[2]]="","",Table24[[#This Row],[Weight]:[Weight]]-(Table24[[#This Row],[Weight]:[Weight]]*((_xlfn.XMATCH(Table24[[#This Row],[2]],Table24[[#This Row],[1]:[11]],0))-1)/(COUNTA(Table24[[#This Row],[1]:[11]])-COUNTBLANK(Table24[[#This Row],[1]:[11]])-1)))</f>
        <v>5.2499999999999991E-2</v>
      </c>
      <c r="AA13" s="30" cm="1">
        <f t="array" ref="AA13">IF(Table24[[#This Row],[3]]="","",Table24[[#This Row],[Weight]:[Weight]]-(Table24[[#This Row],[Weight]:[Weight]]*((_xlfn.XMATCH(Table24[[#This Row],[3]],Table24[[#This Row],[1]:[11]],0))-1)/(COUNTA(Table24[[#This Row],[1]:[11]])-COUNTBLANK(Table24[[#This Row],[1]:[11]])-1)))</f>
        <v>3.4999999999999996E-2</v>
      </c>
      <c r="AB13" s="30" cm="1">
        <f t="array" ref="AB13">IF(Table24[[#This Row],[4]]="","",Table24[[#This Row],[Weight]:[Weight]]-(Table24[[#This Row],[Weight]:[Weight]]*((_xlfn.XMATCH(Table24[[#This Row],[4]],Table24[[#This Row],[1]:[11]],0))-1)/(COUNTA(Table24[[#This Row],[1]:[11]])-COUNTBLANK(Table24[[#This Row],[1]:[11]])-1)))</f>
        <v>1.7500000000000002E-2</v>
      </c>
      <c r="AC13" s="30" cm="1">
        <f t="array" ref="AC13">IF(Table24[[#This Row],[5]]="","",Table24[[#This Row],[Weight]:[Weight]]-(Table24[[#This Row],[Weight]:[Weight]]*((_xlfn.XMATCH(Table24[[#This Row],[5]],Table24[[#This Row],[1]:[11]],0))-1)/(COUNTA(Table24[[#This Row],[1]:[11]])-COUNTBLANK(Table24[[#This Row],[1]:[11]])-1)))</f>
        <v>0</v>
      </c>
      <c r="AD13" s="30" t="str" cm="1">
        <f t="array" ref="AD13">IF(Table24[[#This Row],[6]]="","",Table24[[#This Row],[Weight]:[Weight]]-(Table24[[#This Row],[Weight]:[Weight]]*((_xlfn.XMATCH(Table24[[#This Row],[6]],Table24[[#This Row],[1]:[11]],0))-1)/(COUNTA(Table24[[#This Row],[1]:[11]])-COUNTBLANK(Table24[[#This Row],[1]:[11]])-1)))</f>
        <v/>
      </c>
      <c r="AE13" s="30" t="str" cm="1">
        <f t="array" ref="AE13">IF(Table24[[#This Row],[7]]="","",Table24[[#This Row],[Weight]:[Weight]]-(Table24[[#This Row],[Weight]:[Weight]]*((_xlfn.XMATCH(Table24[[#This Row],[7]],Table24[[#This Row],[1]:[11]],0))-1)/(COUNTA(Table24[[#This Row],[1]:[11]])-COUNTBLANK(Table24[[#This Row],[1]:[11]])-1)))</f>
        <v/>
      </c>
      <c r="AF13" s="30" t="str" cm="1">
        <f t="array" ref="AF13">IF(Table24[[#This Row],[8]]="","",Table24[[#This Row],[Weight]:[Weight]]-(Table24[[#This Row],[Weight]:[Weight]]*((_xlfn.XMATCH(Table24[[#This Row],[8]],Table24[[#This Row],[1]:[11]],0))-1)/(COUNTA(Table24[[#This Row],[1]:[11]])-COUNTBLANK(Table24[[#This Row],[1]:[11]])-1)))</f>
        <v/>
      </c>
      <c r="AG13" s="30" t="str" cm="1">
        <f t="array" ref="AG13">IF(Table24[[#This Row],[9]]="","",Table24[[#This Row],[Weight]:[Weight]]-(Table24[[#This Row],[Weight]:[Weight]]*((_xlfn.XMATCH(Table24[[#This Row],[9]],Table24[[#This Row],[1]:[11]],0))-1)/(COUNTA(Table24[[#This Row],[1]:[11]])-COUNTBLANK(Table24[[#This Row],[1]:[11]])-1)))</f>
        <v/>
      </c>
      <c r="AH13" s="30" t="str" cm="1">
        <f t="array" ref="AH13">IF(Table24[[#This Row],[10]]="","",Table24[[#This Row],[Weight]:[Weight]]-(Table24[[#This Row],[Weight]:[Weight]]*((_xlfn.XMATCH(Table24[[#This Row],[10]],Table24[[#This Row],[1]:[11]],0))-1)/(COUNTA(Table24[[#This Row],[1]:[11]])-COUNTBLANK(Table24[[#This Row],[1]:[11]])-1)))</f>
        <v/>
      </c>
      <c r="AI13" s="30" t="str" cm="1">
        <f t="array" ref="AI13">IF(Table24[[#This Row],[11]]="","",Table24[[#This Row],[Weight]:[Weight]]-(Table24[[#This Row],[Weight]:[Weight]]*((_xlfn.XMATCH(Table24[[#This Row],[11]],Table24[[#This Row],[1]:[11]],0))-1)/(COUNTA(Table24[[#This Row],[1]:[11]])-COUNTBLANK(Table24[[#This Row],[1]:[11]])-1)))</f>
        <v/>
      </c>
    </row>
    <row r="14" spans="1:35" ht="34.5" x14ac:dyDescent="0.25">
      <c r="A14" s="20">
        <v>2</v>
      </c>
      <c r="B14" s="21" t="s">
        <v>117</v>
      </c>
      <c r="C14" s="21" t="s">
        <v>118</v>
      </c>
      <c r="D14" s="21"/>
      <c r="E14" s="21"/>
      <c r="F14" s="22" t="s">
        <v>114</v>
      </c>
      <c r="G14" s="23" cm="1">
        <f t="array" ref="G14">_xlfn.IFS(F14="","",F14="No interest",0,F14="Nice to have",1,F14="Useful",2,F14="Important",3,F14="Very important",4,F14="Critical",5,F14="Show stopper",6)</f>
        <v>5</v>
      </c>
      <c r="H14" s="24">
        <f t="shared" si="0"/>
        <v>6.9999999999999993E-2</v>
      </c>
      <c r="I14" s="25" t="s">
        <v>119</v>
      </c>
      <c r="J14" s="37" t="str" cm="1">
        <f t="array" ref="J14">_xlfn.TEXTJOIN(","&amp;CHAR(10),,TEXT(Table24[[#This Row],[12]:[22]],"0.00%"))</f>
        <v>7.00%,
0.00%</v>
      </c>
      <c r="K14" s="26" t="s">
        <v>120</v>
      </c>
      <c r="L14" s="27">
        <f>H14-(H14*((MATCH(Table24[[#This Row],[Evaluators Response (SELECT)]],Table24[[#This Row],[1]:[11]],0)-1)/(COUNTA(Table24[[#This Row],[1]:[11]])-COUNTBLANK(Table24[[#This Row],[1]:[11]])-1)))</f>
        <v>6.9999999999999993E-2</v>
      </c>
      <c r="M14" s="40"/>
      <c r="N14" s="29" t="str" cm="1">
        <f t="array" ref="N14">IFERROR(INDEX(_xlfn.UNIQUE(TRIM(_xlfn.TEXTSPLIT(Table24[[#This Row],[Selection Option]:[Selection Option]],","))),,N$11),"")</f>
        <v>Yes</v>
      </c>
      <c r="O14" s="29" t="str" cm="1">
        <f t="array" ref="O14">IFERROR(INDEX(_xlfn.UNIQUE(TRIM(_xlfn.TEXTSPLIT(Table24[[#This Row],[Selection Option]:[Selection Option]],","))),,O$11),"")</f>
        <v>No</v>
      </c>
      <c r="P14" s="29" t="str" cm="1">
        <f t="array" ref="P14">IFERROR(INDEX(_xlfn.UNIQUE(TRIM(_xlfn.TEXTSPLIT(Table24[[#This Row],[Selection Option]:[Selection Option]],","))),,P$11),"")</f>
        <v/>
      </c>
      <c r="Q14" s="29" t="str" cm="1">
        <f t="array" ref="Q14">IFERROR(INDEX(_xlfn.UNIQUE(TRIM(_xlfn.TEXTSPLIT(Table24[[#This Row],[Selection Option]:[Selection Option]],","))),,Q$11),"")</f>
        <v/>
      </c>
      <c r="R14" s="29" t="str" cm="1">
        <f t="array" ref="R14">IFERROR(INDEX(_xlfn.UNIQUE(TRIM(_xlfn.TEXTSPLIT(Table24[[#This Row],[Selection Option]:[Selection Option]],","))),,R$11),"")</f>
        <v/>
      </c>
      <c r="S14" s="29" t="str" cm="1">
        <f t="array" ref="S14">IFERROR(INDEX(_xlfn.UNIQUE(TRIM(_xlfn.TEXTSPLIT(Table24[[#This Row],[Selection Option]:[Selection Option]],","))),,S$11),"")</f>
        <v/>
      </c>
      <c r="T14" s="29" t="str" cm="1">
        <f t="array" ref="T14">IFERROR(INDEX(_xlfn.UNIQUE(TRIM(_xlfn.TEXTSPLIT(Table24[[#This Row],[Selection Option]:[Selection Option]],","))),,T$11),"")</f>
        <v/>
      </c>
      <c r="U14" s="29" t="str" cm="1">
        <f t="array" ref="U14">IFERROR(INDEX(_xlfn.UNIQUE(TRIM(_xlfn.TEXTSPLIT(Table24[[#This Row],[Selection Option]:[Selection Option]],","))),,U$11),"")</f>
        <v/>
      </c>
      <c r="V14" s="29" t="str" cm="1">
        <f t="array" ref="V14">IFERROR(INDEX(_xlfn.UNIQUE(TRIM(_xlfn.TEXTSPLIT(Table24[[#This Row],[Selection Option]:[Selection Option]],","))),,V$11),"")</f>
        <v/>
      </c>
      <c r="W14" s="29" t="str" cm="1">
        <f t="array" ref="W14">IFERROR(INDEX(_xlfn.UNIQUE(TRIM(_xlfn.TEXTSPLIT(Table24[[#This Row],[Selection Option]:[Selection Option]],","))),,W$11),"")</f>
        <v/>
      </c>
      <c r="X14" s="29" t="str" cm="1">
        <f t="array" ref="X14">IFERROR(INDEX(_xlfn.UNIQUE(TRIM(_xlfn.TEXTSPLIT(Table24[[#This Row],[Selection Option]:[Selection Option]],","))),,X$11),"")</f>
        <v/>
      </c>
      <c r="Y14" s="30" cm="1">
        <f t="array" ref="Y14">IF(Table24[[#This Row],[1]]="","",Table24[[#This Row],[Weight]:[Weight]]-(Table24[[#This Row],[Weight]:[Weight]]*((_xlfn.XMATCH(Table24[[#This Row],[1]],Table24[[#This Row],[1]:[11]],0))-1)/(COUNTA(Table24[[#This Row],[1]:[11]])-COUNTBLANK(Table24[[#This Row],[1]:[11]])-1)))</f>
        <v>6.9999999999999993E-2</v>
      </c>
      <c r="Z14" s="30" cm="1">
        <f t="array" ref="Z14">IF(Table24[[#This Row],[2]]="","",Table24[[#This Row],[Weight]:[Weight]]-(Table24[[#This Row],[Weight]:[Weight]]*((_xlfn.XMATCH(Table24[[#This Row],[2]],Table24[[#This Row],[1]:[11]],0))-1)/(COUNTA(Table24[[#This Row],[1]:[11]])-COUNTBLANK(Table24[[#This Row],[1]:[11]])-1)))</f>
        <v>0</v>
      </c>
      <c r="AA14" s="30" t="str" cm="1">
        <f t="array" ref="AA14">IF(Table24[[#This Row],[3]]="","",Table24[[#This Row],[Weight]:[Weight]]-(Table24[[#This Row],[Weight]:[Weight]]*((_xlfn.XMATCH(Table24[[#This Row],[3]],Table24[[#This Row],[1]:[11]],0))-1)/(COUNTA(Table24[[#This Row],[1]:[11]])-COUNTBLANK(Table24[[#This Row],[1]:[11]])-1)))</f>
        <v/>
      </c>
      <c r="AB14" s="30" t="str" cm="1">
        <f t="array" ref="AB14">IF(Table24[[#This Row],[4]]="","",Table24[[#This Row],[Weight]:[Weight]]-(Table24[[#This Row],[Weight]:[Weight]]*((_xlfn.XMATCH(Table24[[#This Row],[4]],Table24[[#This Row],[1]:[11]],0))-1)/(COUNTA(Table24[[#This Row],[1]:[11]])-COUNTBLANK(Table24[[#This Row],[1]:[11]])-1)))</f>
        <v/>
      </c>
      <c r="AC14" s="30" t="str" cm="1">
        <f t="array" ref="AC14">IF(Table24[[#This Row],[5]]="","",Table24[[#This Row],[Weight]:[Weight]]-(Table24[[#This Row],[Weight]:[Weight]]*((_xlfn.XMATCH(Table24[[#This Row],[5]],Table24[[#This Row],[1]:[11]],0))-1)/(COUNTA(Table24[[#This Row],[1]:[11]])-COUNTBLANK(Table24[[#This Row],[1]:[11]])-1)))</f>
        <v/>
      </c>
      <c r="AD14" s="30" t="str" cm="1">
        <f t="array" ref="AD14">IF(Table24[[#This Row],[6]]="","",Table24[[#This Row],[Weight]:[Weight]]-(Table24[[#This Row],[Weight]:[Weight]]*((_xlfn.XMATCH(Table24[[#This Row],[6]],Table24[[#This Row],[1]:[11]],0))-1)/(COUNTA(Table24[[#This Row],[1]:[11]])-COUNTBLANK(Table24[[#This Row],[1]:[11]])-1)))</f>
        <v/>
      </c>
      <c r="AE14" s="30" t="str" cm="1">
        <f t="array" ref="AE14">IF(Table24[[#This Row],[7]]="","",Table24[[#This Row],[Weight]:[Weight]]-(Table24[[#This Row],[Weight]:[Weight]]*((_xlfn.XMATCH(Table24[[#This Row],[7]],Table24[[#This Row],[1]:[11]],0))-1)/(COUNTA(Table24[[#This Row],[1]:[11]])-COUNTBLANK(Table24[[#This Row],[1]:[11]])-1)))</f>
        <v/>
      </c>
      <c r="AF14" s="30" t="str" cm="1">
        <f t="array" ref="AF14">IF(Table24[[#This Row],[8]]="","",Table24[[#This Row],[Weight]:[Weight]]-(Table24[[#This Row],[Weight]:[Weight]]*((_xlfn.XMATCH(Table24[[#This Row],[8]],Table24[[#This Row],[1]:[11]],0))-1)/(COUNTA(Table24[[#This Row],[1]:[11]])-COUNTBLANK(Table24[[#This Row],[1]:[11]])-1)))</f>
        <v/>
      </c>
      <c r="AG14" s="30" t="str" cm="1">
        <f t="array" ref="AG14">IF(Table24[[#This Row],[9]]="","",Table24[[#This Row],[Weight]:[Weight]]-(Table24[[#This Row],[Weight]:[Weight]]*((_xlfn.XMATCH(Table24[[#This Row],[9]],Table24[[#This Row],[1]:[11]],0))-1)/(COUNTA(Table24[[#This Row],[1]:[11]])-COUNTBLANK(Table24[[#This Row],[1]:[11]])-1)))</f>
        <v/>
      </c>
      <c r="AH14" s="30" t="str" cm="1">
        <f t="array" ref="AH14">IF(Table24[[#This Row],[10]]="","",Table24[[#This Row],[Weight]:[Weight]]-(Table24[[#This Row],[Weight]:[Weight]]*((_xlfn.XMATCH(Table24[[#This Row],[10]],Table24[[#This Row],[1]:[11]],0))-1)/(COUNTA(Table24[[#This Row],[1]:[11]])-COUNTBLANK(Table24[[#This Row],[1]:[11]])-1)))</f>
        <v/>
      </c>
      <c r="AI14" s="30" t="str" cm="1">
        <f t="array" ref="AI14">IF(Table24[[#This Row],[11]]="","",Table24[[#This Row],[Weight]:[Weight]]-(Table24[[#This Row],[Weight]:[Weight]]*((_xlfn.XMATCH(Table24[[#This Row],[11]],Table24[[#This Row],[1]:[11]],0))-1)/(COUNTA(Table24[[#This Row],[1]:[11]])-COUNTBLANK(Table24[[#This Row],[1]:[11]])-1)))</f>
        <v/>
      </c>
    </row>
    <row r="15" spans="1:35" ht="92" x14ac:dyDescent="0.25">
      <c r="A15" s="32">
        <v>3</v>
      </c>
      <c r="B15" s="21" t="s">
        <v>121</v>
      </c>
      <c r="C15" s="21" t="s">
        <v>122</v>
      </c>
      <c r="D15" s="33"/>
      <c r="E15" s="33"/>
      <c r="F15" s="34" t="s">
        <v>114</v>
      </c>
      <c r="G15" s="35" cm="1">
        <f t="array" ref="G15">_xlfn.IFS(F15="","",F15="No interest",0,F15="Nice to have",1,F15="Useful",2,F15="Important",3,F15="Very important",4,F15="Critical",5,F15="Show stopper",6)</f>
        <v>5</v>
      </c>
      <c r="H15" s="24">
        <f t="shared" si="0"/>
        <v>6.9999999999999993E-2</v>
      </c>
      <c r="I15" s="25" t="s">
        <v>123</v>
      </c>
      <c r="J15" s="37" t="str" cm="1">
        <f t="array" ref="J15">_xlfn.TEXTJOIN(","&amp;CHAR(10),,TEXT(Table24[[#This Row],[12]:[22]],"0.00%"))</f>
        <v>7.00%,
0.00%</v>
      </c>
      <c r="K15" s="26" t="s">
        <v>124</v>
      </c>
      <c r="L15" s="27">
        <f>H15-(H15*((MATCH(Table24[[#This Row],[Evaluators Response (SELECT)]],Table24[[#This Row],[1]:[11]],0)-1)/(COUNTA(Table24[[#This Row],[1]:[11]])-COUNTBLANK(Table24[[#This Row],[1]:[11]])-1)))</f>
        <v>6.9999999999999993E-2</v>
      </c>
      <c r="M15" s="40"/>
      <c r="N15" s="29" t="str" cm="1">
        <f t="array" ref="N15">IFERROR(INDEX(_xlfn.UNIQUE(TRIM(_xlfn.TEXTSPLIT(Table24[[#This Row],[Selection Option]:[Selection Option]],","))),,N$11),"")</f>
        <v>1 or more sites</v>
      </c>
      <c r="O15" s="29" t="str" cm="1">
        <f t="array" ref="O15">IFERROR(INDEX(_xlfn.UNIQUE(TRIM(_xlfn.TEXTSPLIT(Table24[[#This Row],[Selection Option]:[Selection Option]],","))),,O$11),"")</f>
        <v>0 site</v>
      </c>
      <c r="P15" s="29" t="str" cm="1">
        <f t="array" ref="P15">IFERROR(INDEX(_xlfn.UNIQUE(TRIM(_xlfn.TEXTSPLIT(Table24[[#This Row],[Selection Option]:[Selection Option]],","))),,P$11),"")</f>
        <v/>
      </c>
      <c r="Q15" s="29" t="str" cm="1">
        <f t="array" ref="Q15">IFERROR(INDEX(_xlfn.UNIQUE(TRIM(_xlfn.TEXTSPLIT(Table24[[#This Row],[Selection Option]:[Selection Option]],","))),,Q$11),"")</f>
        <v/>
      </c>
      <c r="R15" s="29" t="str" cm="1">
        <f t="array" ref="R15">IFERROR(INDEX(_xlfn.UNIQUE(TRIM(_xlfn.TEXTSPLIT(Table24[[#This Row],[Selection Option]:[Selection Option]],","))),,R$11),"")</f>
        <v/>
      </c>
      <c r="S15" s="29" t="str" cm="1">
        <f t="array" ref="S15">IFERROR(INDEX(_xlfn.UNIQUE(TRIM(_xlfn.TEXTSPLIT(Table24[[#This Row],[Selection Option]:[Selection Option]],","))),,S$11),"")</f>
        <v/>
      </c>
      <c r="T15" s="29" t="str" cm="1">
        <f t="array" ref="T15">IFERROR(INDEX(_xlfn.UNIQUE(TRIM(_xlfn.TEXTSPLIT(Table24[[#This Row],[Selection Option]:[Selection Option]],","))),,T$11),"")</f>
        <v/>
      </c>
      <c r="U15" s="29" t="str" cm="1">
        <f t="array" ref="U15">IFERROR(INDEX(_xlfn.UNIQUE(TRIM(_xlfn.TEXTSPLIT(Table24[[#This Row],[Selection Option]:[Selection Option]],","))),,U$11),"")</f>
        <v/>
      </c>
      <c r="V15" s="29" t="str" cm="1">
        <f t="array" ref="V15">IFERROR(INDEX(_xlfn.UNIQUE(TRIM(_xlfn.TEXTSPLIT(Table24[[#This Row],[Selection Option]:[Selection Option]],","))),,V$11),"")</f>
        <v/>
      </c>
      <c r="W15" s="29" t="str" cm="1">
        <f t="array" ref="W15">IFERROR(INDEX(_xlfn.UNIQUE(TRIM(_xlfn.TEXTSPLIT(Table24[[#This Row],[Selection Option]:[Selection Option]],","))),,W$11),"")</f>
        <v/>
      </c>
      <c r="X15" s="29" t="str" cm="1">
        <f t="array" ref="X15">IFERROR(INDEX(_xlfn.UNIQUE(TRIM(_xlfn.TEXTSPLIT(Table24[[#This Row],[Selection Option]:[Selection Option]],","))),,X$11),"")</f>
        <v/>
      </c>
      <c r="Y15" s="30" cm="1">
        <f t="array" ref="Y15">IF(Table24[[#This Row],[1]]="","",Table24[[#This Row],[Weight]:[Weight]]-(Table24[[#This Row],[Weight]:[Weight]]*((_xlfn.XMATCH(Table24[[#This Row],[1]],Table24[[#This Row],[1]:[11]],0))-1)/(COUNTA(Table24[[#This Row],[1]:[11]])-COUNTBLANK(Table24[[#This Row],[1]:[11]])-1)))</f>
        <v>6.9999999999999993E-2</v>
      </c>
      <c r="Z15" s="30" cm="1">
        <f t="array" ref="Z15">IF(Table24[[#This Row],[2]]="","",Table24[[#This Row],[Weight]:[Weight]]-(Table24[[#This Row],[Weight]:[Weight]]*((_xlfn.XMATCH(Table24[[#This Row],[2]],Table24[[#This Row],[1]:[11]],0))-1)/(COUNTA(Table24[[#This Row],[1]:[11]])-COUNTBLANK(Table24[[#This Row],[1]:[11]])-1)))</f>
        <v>0</v>
      </c>
      <c r="AA15" s="30" t="str" cm="1">
        <f t="array" ref="AA15">IF(Table24[[#This Row],[3]]="","",Table24[[#This Row],[Weight]:[Weight]]-(Table24[[#This Row],[Weight]:[Weight]]*((_xlfn.XMATCH(Table24[[#This Row],[3]],Table24[[#This Row],[1]:[11]],0))-1)/(COUNTA(Table24[[#This Row],[1]:[11]])-COUNTBLANK(Table24[[#This Row],[1]:[11]])-1)))</f>
        <v/>
      </c>
      <c r="AB15" s="30" t="str" cm="1">
        <f t="array" ref="AB15">IF(Table24[[#This Row],[4]]="","",Table24[[#This Row],[Weight]:[Weight]]-(Table24[[#This Row],[Weight]:[Weight]]*((_xlfn.XMATCH(Table24[[#This Row],[4]],Table24[[#This Row],[1]:[11]],0))-1)/(COUNTA(Table24[[#This Row],[1]:[11]])-COUNTBLANK(Table24[[#This Row],[1]:[11]])-1)))</f>
        <v/>
      </c>
      <c r="AC15" s="30" t="str" cm="1">
        <f t="array" ref="AC15">IF(Table24[[#This Row],[5]]="","",Table24[[#This Row],[Weight]:[Weight]]-(Table24[[#This Row],[Weight]:[Weight]]*((_xlfn.XMATCH(Table24[[#This Row],[5]],Table24[[#This Row],[1]:[11]],0))-1)/(COUNTA(Table24[[#This Row],[1]:[11]])-COUNTBLANK(Table24[[#This Row],[1]:[11]])-1)))</f>
        <v/>
      </c>
      <c r="AD15" s="30" t="str" cm="1">
        <f t="array" ref="AD15">IF(Table24[[#This Row],[6]]="","",Table24[[#This Row],[Weight]:[Weight]]-(Table24[[#This Row],[Weight]:[Weight]]*((_xlfn.XMATCH(Table24[[#This Row],[6]],Table24[[#This Row],[1]:[11]],0))-1)/(COUNTA(Table24[[#This Row],[1]:[11]])-COUNTBLANK(Table24[[#This Row],[1]:[11]])-1)))</f>
        <v/>
      </c>
      <c r="AE15" s="30" t="str" cm="1">
        <f t="array" ref="AE15">IF(Table24[[#This Row],[7]]="","",Table24[[#This Row],[Weight]:[Weight]]-(Table24[[#This Row],[Weight]:[Weight]]*((_xlfn.XMATCH(Table24[[#This Row],[7]],Table24[[#This Row],[1]:[11]],0))-1)/(COUNTA(Table24[[#This Row],[1]:[11]])-COUNTBLANK(Table24[[#This Row],[1]:[11]])-1)))</f>
        <v/>
      </c>
      <c r="AF15" s="30" t="str" cm="1">
        <f t="array" ref="AF15">IF(Table24[[#This Row],[8]]="","",Table24[[#This Row],[Weight]:[Weight]]-(Table24[[#This Row],[Weight]:[Weight]]*((_xlfn.XMATCH(Table24[[#This Row],[8]],Table24[[#This Row],[1]:[11]],0))-1)/(COUNTA(Table24[[#This Row],[1]:[11]])-COUNTBLANK(Table24[[#This Row],[1]:[11]])-1)))</f>
        <v/>
      </c>
      <c r="AG15" s="30" t="str" cm="1">
        <f t="array" ref="AG15">IF(Table24[[#This Row],[9]]="","",Table24[[#This Row],[Weight]:[Weight]]-(Table24[[#This Row],[Weight]:[Weight]]*((_xlfn.XMATCH(Table24[[#This Row],[9]],Table24[[#This Row],[1]:[11]],0))-1)/(COUNTA(Table24[[#This Row],[1]:[11]])-COUNTBLANK(Table24[[#This Row],[1]:[11]])-1)))</f>
        <v/>
      </c>
      <c r="AH15" s="30" t="str" cm="1">
        <f t="array" ref="AH15">IF(Table24[[#This Row],[10]]="","",Table24[[#This Row],[Weight]:[Weight]]-(Table24[[#This Row],[Weight]:[Weight]]*((_xlfn.XMATCH(Table24[[#This Row],[10]],Table24[[#This Row],[1]:[11]],0))-1)/(COUNTA(Table24[[#This Row],[1]:[11]])-COUNTBLANK(Table24[[#This Row],[1]:[11]])-1)))</f>
        <v/>
      </c>
      <c r="AI15" s="30" t="str" cm="1">
        <f t="array" ref="AI15">IF(Table24[[#This Row],[11]]="","",Table24[[#This Row],[Weight]:[Weight]]-(Table24[[#This Row],[Weight]:[Weight]]*((_xlfn.XMATCH(Table24[[#This Row],[11]],Table24[[#This Row],[1]:[11]],0))-1)/(COUNTA(Table24[[#This Row],[1]:[11]])-COUNTBLANK(Table24[[#This Row],[1]:[11]])-1)))</f>
        <v/>
      </c>
    </row>
    <row r="16" spans="1:35" ht="69" x14ac:dyDescent="0.25">
      <c r="A16" s="32">
        <v>4</v>
      </c>
      <c r="B16" s="21" t="s">
        <v>125</v>
      </c>
      <c r="C16" s="21" t="s">
        <v>126</v>
      </c>
      <c r="D16" s="33"/>
      <c r="E16" s="33"/>
      <c r="F16" s="34" t="s">
        <v>114</v>
      </c>
      <c r="G16" s="35" cm="1">
        <f t="array" ref="G16">_xlfn.IFS(F16="","",F16="No interest",0,F16="Nice to have",1,F16="Useful",2,F16="Important",3,F16="Very important",4,F16="Critical",5,F16="Show stopper",6)</f>
        <v>5</v>
      </c>
      <c r="H16" s="24">
        <f t="shared" si="0"/>
        <v>6.9999999999999993E-2</v>
      </c>
      <c r="I16" s="37" t="s">
        <v>127</v>
      </c>
      <c r="J16" s="37" t="str" cm="1">
        <f t="array" ref="J16">_xlfn.TEXTJOIN(","&amp;CHAR(10),,TEXT(Table24[[#This Row],[12]:[22]],"0.00%"))</f>
        <v>7.00%,
3.50%,
0.00%</v>
      </c>
      <c r="K16" s="38" t="s">
        <v>128</v>
      </c>
      <c r="L16" s="27">
        <f>H16-(H16*((MATCH(Table24[[#This Row],[Evaluators Response (SELECT)]],Table24[[#This Row],[1]:[11]],0)-1)/(COUNTA(Table24[[#This Row],[1]:[11]])-COUNTBLANK(Table24[[#This Row],[1]:[11]])-1)))</f>
        <v>6.9999999999999993E-2</v>
      </c>
      <c r="M16" s="40"/>
      <c r="N16" s="29" t="str" cm="1">
        <f t="array" ref="N16">IFERROR(INDEX(_xlfn.UNIQUE(TRIM(_xlfn.TEXTSPLIT(Table24[[#This Row],[Selection Option]:[Selection Option]],","))),,N$11),"")</f>
        <v>Project plan with key milestones and resources</v>
      </c>
      <c r="O16" s="29" t="str" cm="1">
        <f t="array" ref="O16">IFERROR(INDEX(_xlfn.UNIQUE(TRIM(_xlfn.TEXTSPLIT(Table24[[#This Row],[Selection Option]:[Selection Option]],","))),,O$11),"")</f>
        <v xml:space="preserve">
Project plan with key milestones or resources</v>
      </c>
      <c r="P16" s="29" t="str" cm="1">
        <f t="array" ref="P16">IFERROR(INDEX(_xlfn.UNIQUE(TRIM(_xlfn.TEXTSPLIT(Table24[[#This Row],[Selection Option]:[Selection Option]],","))),,P$11),"")</f>
        <v xml:space="preserve">
Incomplete project plan</v>
      </c>
      <c r="Q16" s="29" t="str" cm="1">
        <f t="array" ref="Q16">IFERROR(INDEX(_xlfn.UNIQUE(TRIM(_xlfn.TEXTSPLIT(Table24[[#This Row],[Selection Option]:[Selection Option]],","))),,Q$11),"")</f>
        <v/>
      </c>
      <c r="R16" s="29" t="str" cm="1">
        <f t="array" ref="R16">IFERROR(INDEX(_xlfn.UNIQUE(TRIM(_xlfn.TEXTSPLIT(Table24[[#This Row],[Selection Option]:[Selection Option]],","))),,R$11),"")</f>
        <v/>
      </c>
      <c r="S16" s="29" t="str" cm="1">
        <f t="array" ref="S16">IFERROR(INDEX(_xlfn.UNIQUE(TRIM(_xlfn.TEXTSPLIT(Table24[[#This Row],[Selection Option]:[Selection Option]],","))),,S$11),"")</f>
        <v/>
      </c>
      <c r="T16" s="29" t="str" cm="1">
        <f t="array" ref="T16">IFERROR(INDEX(_xlfn.UNIQUE(TRIM(_xlfn.TEXTSPLIT(Table24[[#This Row],[Selection Option]:[Selection Option]],","))),,T$11),"")</f>
        <v/>
      </c>
      <c r="U16" s="29" t="str" cm="1">
        <f t="array" ref="U16">IFERROR(INDEX(_xlfn.UNIQUE(TRIM(_xlfn.TEXTSPLIT(Table24[[#This Row],[Selection Option]:[Selection Option]],","))),,U$11),"")</f>
        <v/>
      </c>
      <c r="V16" s="29" t="str" cm="1">
        <f t="array" ref="V16">IFERROR(INDEX(_xlfn.UNIQUE(TRIM(_xlfn.TEXTSPLIT(Table24[[#This Row],[Selection Option]:[Selection Option]],","))),,V$11),"")</f>
        <v/>
      </c>
      <c r="W16" s="29" t="str" cm="1">
        <f t="array" ref="W16">IFERROR(INDEX(_xlfn.UNIQUE(TRIM(_xlfn.TEXTSPLIT(Table24[[#This Row],[Selection Option]:[Selection Option]],","))),,W$11),"")</f>
        <v/>
      </c>
      <c r="X16" s="29" t="str" cm="1">
        <f t="array" ref="X16">IFERROR(INDEX(_xlfn.UNIQUE(TRIM(_xlfn.TEXTSPLIT(Table24[[#This Row],[Selection Option]:[Selection Option]],","))),,X$11),"")</f>
        <v/>
      </c>
      <c r="Y16" s="30" cm="1">
        <f t="array" ref="Y16">IF(Table24[[#This Row],[1]]="","",Table24[[#This Row],[Weight]:[Weight]]-(Table24[[#This Row],[Weight]:[Weight]]*((_xlfn.XMATCH(Table24[[#This Row],[1]],Table24[[#This Row],[1]:[11]],0))-1)/(COUNTA(Table24[[#This Row],[1]:[11]])-COUNTBLANK(Table24[[#This Row],[1]:[11]])-1)))</f>
        <v>6.9999999999999993E-2</v>
      </c>
      <c r="Z16" s="30" cm="1">
        <f t="array" ref="Z16">IF(Table24[[#This Row],[2]]="","",Table24[[#This Row],[Weight]:[Weight]]-(Table24[[#This Row],[Weight]:[Weight]]*((_xlfn.XMATCH(Table24[[#This Row],[2]],Table24[[#This Row],[1]:[11]],0))-1)/(COUNTA(Table24[[#This Row],[1]:[11]])-COUNTBLANK(Table24[[#This Row],[1]:[11]])-1)))</f>
        <v>3.4999999999999996E-2</v>
      </c>
      <c r="AA16" s="30" cm="1">
        <f t="array" ref="AA16">IF(Table24[[#This Row],[3]]="","",Table24[[#This Row],[Weight]:[Weight]]-(Table24[[#This Row],[Weight]:[Weight]]*((_xlfn.XMATCH(Table24[[#This Row],[3]],Table24[[#This Row],[1]:[11]],0))-1)/(COUNTA(Table24[[#This Row],[1]:[11]])-COUNTBLANK(Table24[[#This Row],[1]:[11]])-1)))</f>
        <v>0</v>
      </c>
      <c r="AB16" s="30" t="str" cm="1">
        <f t="array" ref="AB16">IF(Table24[[#This Row],[4]]="","",Table24[[#This Row],[Weight]:[Weight]]-(Table24[[#This Row],[Weight]:[Weight]]*((_xlfn.XMATCH(Table24[[#This Row],[4]],Table24[[#This Row],[1]:[11]],0))-1)/(COUNTA(Table24[[#This Row],[1]:[11]])-COUNTBLANK(Table24[[#This Row],[1]:[11]])-1)))</f>
        <v/>
      </c>
      <c r="AC16" s="30" t="str" cm="1">
        <f t="array" ref="AC16">IF(Table24[[#This Row],[5]]="","",Table24[[#This Row],[Weight]:[Weight]]-(Table24[[#This Row],[Weight]:[Weight]]*((_xlfn.XMATCH(Table24[[#This Row],[5]],Table24[[#This Row],[1]:[11]],0))-1)/(COUNTA(Table24[[#This Row],[1]:[11]])-COUNTBLANK(Table24[[#This Row],[1]:[11]])-1)))</f>
        <v/>
      </c>
      <c r="AD16" s="30" t="str" cm="1">
        <f t="array" ref="AD16">IF(Table24[[#This Row],[6]]="","",Table24[[#This Row],[Weight]:[Weight]]-(Table24[[#This Row],[Weight]:[Weight]]*((_xlfn.XMATCH(Table24[[#This Row],[6]],Table24[[#This Row],[1]:[11]],0))-1)/(COUNTA(Table24[[#This Row],[1]:[11]])-COUNTBLANK(Table24[[#This Row],[1]:[11]])-1)))</f>
        <v/>
      </c>
      <c r="AE16" s="30" t="str" cm="1">
        <f t="array" ref="AE16">IF(Table24[[#This Row],[7]]="","",Table24[[#This Row],[Weight]:[Weight]]-(Table24[[#This Row],[Weight]:[Weight]]*((_xlfn.XMATCH(Table24[[#This Row],[7]],Table24[[#This Row],[1]:[11]],0))-1)/(COUNTA(Table24[[#This Row],[1]:[11]])-COUNTBLANK(Table24[[#This Row],[1]:[11]])-1)))</f>
        <v/>
      </c>
      <c r="AF16" s="30" t="str" cm="1">
        <f t="array" ref="AF16">IF(Table24[[#This Row],[8]]="","",Table24[[#This Row],[Weight]:[Weight]]-(Table24[[#This Row],[Weight]:[Weight]]*((_xlfn.XMATCH(Table24[[#This Row],[8]],Table24[[#This Row],[1]:[11]],0))-1)/(COUNTA(Table24[[#This Row],[1]:[11]])-COUNTBLANK(Table24[[#This Row],[1]:[11]])-1)))</f>
        <v/>
      </c>
      <c r="AG16" s="30" t="str" cm="1">
        <f t="array" ref="AG16">IF(Table24[[#This Row],[9]]="","",Table24[[#This Row],[Weight]:[Weight]]-(Table24[[#This Row],[Weight]:[Weight]]*((_xlfn.XMATCH(Table24[[#This Row],[9]],Table24[[#This Row],[1]:[11]],0))-1)/(COUNTA(Table24[[#This Row],[1]:[11]])-COUNTBLANK(Table24[[#This Row],[1]:[11]])-1)))</f>
        <v/>
      </c>
      <c r="AH16" s="30" t="str" cm="1">
        <f t="array" ref="AH16">IF(Table24[[#This Row],[10]]="","",Table24[[#This Row],[Weight]:[Weight]]-(Table24[[#This Row],[Weight]:[Weight]]*((_xlfn.XMATCH(Table24[[#This Row],[10]],Table24[[#This Row],[1]:[11]],0))-1)/(COUNTA(Table24[[#This Row],[1]:[11]])-COUNTBLANK(Table24[[#This Row],[1]:[11]])-1)))</f>
        <v/>
      </c>
      <c r="AI16" s="30" t="str" cm="1">
        <f t="array" ref="AI16">IF(Table24[[#This Row],[11]]="","",Table24[[#This Row],[Weight]:[Weight]]-(Table24[[#This Row],[Weight]:[Weight]]*((_xlfn.XMATCH(Table24[[#This Row],[11]],Table24[[#This Row],[1]:[11]],0))-1)/(COUNTA(Table24[[#This Row],[1]:[11]])-COUNTBLANK(Table24[[#This Row],[1]:[11]])-1)))</f>
        <v/>
      </c>
    </row>
    <row r="17" spans="1:35" ht="23" x14ac:dyDescent="0.25">
      <c r="A17" s="32">
        <v>5</v>
      </c>
      <c r="B17" s="21" t="s">
        <v>129</v>
      </c>
      <c r="C17" s="21" t="s">
        <v>130</v>
      </c>
      <c r="D17" s="33"/>
      <c r="E17" s="33"/>
      <c r="F17" s="34" t="s">
        <v>114</v>
      </c>
      <c r="G17" s="35" cm="1">
        <f t="array" ref="G17">_xlfn.IFS(F17="","",F17="No interest",0,F17="Nice to have",1,F17="Useful",2,F17="Important",3,F17="Very important",4,F17="Critical",5,F17="Show stopper",6)</f>
        <v>5</v>
      </c>
      <c r="H17" s="24">
        <f t="shared" si="0"/>
        <v>6.9999999999999993E-2</v>
      </c>
      <c r="I17" s="37" t="s">
        <v>119</v>
      </c>
      <c r="J17" s="37" t="str" cm="1">
        <f t="array" ref="J17">_xlfn.TEXTJOIN(","&amp;CHAR(10),,TEXT(Table24[[#This Row],[12]:[22]],"0.00%"))</f>
        <v>7.00%,
0.00%</v>
      </c>
      <c r="K17" s="38" t="s">
        <v>120</v>
      </c>
      <c r="L17" s="27">
        <f>H17-(H17*((MATCH(Table24[[#This Row],[Evaluators Response (SELECT)]],Table24[[#This Row],[1]:[11]],0)-1)/(COUNTA(Table24[[#This Row],[1]:[11]])-COUNTBLANK(Table24[[#This Row],[1]:[11]])-1)))</f>
        <v>6.9999999999999993E-2</v>
      </c>
      <c r="M17" s="40"/>
      <c r="N17" s="29" t="str" cm="1">
        <f t="array" ref="N17">IFERROR(INDEX(_xlfn.UNIQUE(TRIM(_xlfn.TEXTSPLIT(Table24[[#This Row],[Selection Option]:[Selection Option]],","))),,N$11),"")</f>
        <v>Yes</v>
      </c>
      <c r="O17" s="29" t="str" cm="1">
        <f t="array" ref="O17">IFERROR(INDEX(_xlfn.UNIQUE(TRIM(_xlfn.TEXTSPLIT(Table24[[#This Row],[Selection Option]:[Selection Option]],","))),,O$11),"")</f>
        <v>No</v>
      </c>
      <c r="P17" s="29" t="str" cm="1">
        <f t="array" ref="P17">IFERROR(INDEX(_xlfn.UNIQUE(TRIM(_xlfn.TEXTSPLIT(Table24[[#This Row],[Selection Option]:[Selection Option]],","))),,P$11),"")</f>
        <v/>
      </c>
      <c r="Q17" s="29" t="str" cm="1">
        <f t="array" ref="Q17">IFERROR(INDEX(_xlfn.UNIQUE(TRIM(_xlfn.TEXTSPLIT(Table24[[#This Row],[Selection Option]:[Selection Option]],","))),,Q$11),"")</f>
        <v/>
      </c>
      <c r="R17" s="29" t="str" cm="1">
        <f t="array" ref="R17">IFERROR(INDEX(_xlfn.UNIQUE(TRIM(_xlfn.TEXTSPLIT(Table24[[#This Row],[Selection Option]:[Selection Option]],","))),,R$11),"")</f>
        <v/>
      </c>
      <c r="S17" s="29" t="str" cm="1">
        <f t="array" ref="S17">IFERROR(INDEX(_xlfn.UNIQUE(TRIM(_xlfn.TEXTSPLIT(Table24[[#This Row],[Selection Option]:[Selection Option]],","))),,S$11),"")</f>
        <v/>
      </c>
      <c r="T17" s="29" t="str" cm="1">
        <f t="array" ref="T17">IFERROR(INDEX(_xlfn.UNIQUE(TRIM(_xlfn.TEXTSPLIT(Table24[[#This Row],[Selection Option]:[Selection Option]],","))),,T$11),"")</f>
        <v/>
      </c>
      <c r="U17" s="29" t="str" cm="1">
        <f t="array" ref="U17">IFERROR(INDEX(_xlfn.UNIQUE(TRIM(_xlfn.TEXTSPLIT(Table24[[#This Row],[Selection Option]:[Selection Option]],","))),,U$11),"")</f>
        <v/>
      </c>
      <c r="V17" s="29" t="str" cm="1">
        <f t="array" ref="V17">IFERROR(INDEX(_xlfn.UNIQUE(TRIM(_xlfn.TEXTSPLIT(Table24[[#This Row],[Selection Option]:[Selection Option]],","))),,V$11),"")</f>
        <v/>
      </c>
      <c r="W17" s="29" t="str" cm="1">
        <f t="array" ref="W17">IFERROR(INDEX(_xlfn.UNIQUE(TRIM(_xlfn.TEXTSPLIT(Table24[[#This Row],[Selection Option]:[Selection Option]],","))),,W$11),"")</f>
        <v/>
      </c>
      <c r="X17" s="29" t="str" cm="1">
        <f t="array" ref="X17">IFERROR(INDEX(_xlfn.UNIQUE(TRIM(_xlfn.TEXTSPLIT(Table24[[#This Row],[Selection Option]:[Selection Option]],","))),,X$11),"")</f>
        <v/>
      </c>
      <c r="Y17" s="30" cm="1">
        <f t="array" ref="Y17">IF(Table24[[#This Row],[1]]="","",Table24[[#This Row],[Weight]:[Weight]]-(Table24[[#This Row],[Weight]:[Weight]]*((_xlfn.XMATCH(Table24[[#This Row],[1]],Table24[[#This Row],[1]:[11]],0))-1)/(COUNTA(Table24[[#This Row],[1]:[11]])-COUNTBLANK(Table24[[#This Row],[1]:[11]])-1)))</f>
        <v>6.9999999999999993E-2</v>
      </c>
      <c r="Z17" s="30" cm="1">
        <f t="array" ref="Z17">IF(Table24[[#This Row],[2]]="","",Table24[[#This Row],[Weight]:[Weight]]-(Table24[[#This Row],[Weight]:[Weight]]*((_xlfn.XMATCH(Table24[[#This Row],[2]],Table24[[#This Row],[1]:[11]],0))-1)/(COUNTA(Table24[[#This Row],[1]:[11]])-COUNTBLANK(Table24[[#This Row],[1]:[11]])-1)))</f>
        <v>0</v>
      </c>
      <c r="AA17" s="30" t="str" cm="1">
        <f t="array" ref="AA17">IF(Table24[[#This Row],[3]]="","",Table24[[#This Row],[Weight]:[Weight]]-(Table24[[#This Row],[Weight]:[Weight]]*((_xlfn.XMATCH(Table24[[#This Row],[3]],Table24[[#This Row],[1]:[11]],0))-1)/(COUNTA(Table24[[#This Row],[1]:[11]])-COUNTBLANK(Table24[[#This Row],[1]:[11]])-1)))</f>
        <v/>
      </c>
      <c r="AB17" s="30" t="str" cm="1">
        <f t="array" ref="AB17">IF(Table24[[#This Row],[4]]="","",Table24[[#This Row],[Weight]:[Weight]]-(Table24[[#This Row],[Weight]:[Weight]]*((_xlfn.XMATCH(Table24[[#This Row],[4]],Table24[[#This Row],[1]:[11]],0))-1)/(COUNTA(Table24[[#This Row],[1]:[11]])-COUNTBLANK(Table24[[#This Row],[1]:[11]])-1)))</f>
        <v/>
      </c>
      <c r="AC17" s="30" t="str" cm="1">
        <f t="array" ref="AC17">IF(Table24[[#This Row],[5]]="","",Table24[[#This Row],[Weight]:[Weight]]-(Table24[[#This Row],[Weight]:[Weight]]*((_xlfn.XMATCH(Table24[[#This Row],[5]],Table24[[#This Row],[1]:[11]],0))-1)/(COUNTA(Table24[[#This Row],[1]:[11]])-COUNTBLANK(Table24[[#This Row],[1]:[11]])-1)))</f>
        <v/>
      </c>
      <c r="AD17" s="30" t="str" cm="1">
        <f t="array" ref="AD17">IF(Table24[[#This Row],[6]]="","",Table24[[#This Row],[Weight]:[Weight]]-(Table24[[#This Row],[Weight]:[Weight]]*((_xlfn.XMATCH(Table24[[#This Row],[6]],Table24[[#This Row],[1]:[11]],0))-1)/(COUNTA(Table24[[#This Row],[1]:[11]])-COUNTBLANK(Table24[[#This Row],[1]:[11]])-1)))</f>
        <v/>
      </c>
      <c r="AE17" s="30" t="str" cm="1">
        <f t="array" ref="AE17">IF(Table24[[#This Row],[7]]="","",Table24[[#This Row],[Weight]:[Weight]]-(Table24[[#This Row],[Weight]:[Weight]]*((_xlfn.XMATCH(Table24[[#This Row],[7]],Table24[[#This Row],[1]:[11]],0))-1)/(COUNTA(Table24[[#This Row],[1]:[11]])-COUNTBLANK(Table24[[#This Row],[1]:[11]])-1)))</f>
        <v/>
      </c>
      <c r="AF17" s="30" t="str" cm="1">
        <f t="array" ref="AF17">IF(Table24[[#This Row],[8]]="","",Table24[[#This Row],[Weight]:[Weight]]-(Table24[[#This Row],[Weight]:[Weight]]*((_xlfn.XMATCH(Table24[[#This Row],[8]],Table24[[#This Row],[1]:[11]],0))-1)/(COUNTA(Table24[[#This Row],[1]:[11]])-COUNTBLANK(Table24[[#This Row],[1]:[11]])-1)))</f>
        <v/>
      </c>
      <c r="AG17" s="30" t="str" cm="1">
        <f t="array" ref="AG17">IF(Table24[[#This Row],[9]]="","",Table24[[#This Row],[Weight]:[Weight]]-(Table24[[#This Row],[Weight]:[Weight]]*((_xlfn.XMATCH(Table24[[#This Row],[9]],Table24[[#This Row],[1]:[11]],0))-1)/(COUNTA(Table24[[#This Row],[1]:[11]])-COUNTBLANK(Table24[[#This Row],[1]:[11]])-1)))</f>
        <v/>
      </c>
      <c r="AH17" s="30" t="str" cm="1">
        <f t="array" ref="AH17">IF(Table24[[#This Row],[10]]="","",Table24[[#This Row],[Weight]:[Weight]]-(Table24[[#This Row],[Weight]:[Weight]]*((_xlfn.XMATCH(Table24[[#This Row],[10]],Table24[[#This Row],[1]:[11]],0))-1)/(COUNTA(Table24[[#This Row],[1]:[11]])-COUNTBLANK(Table24[[#This Row],[1]:[11]])-1)))</f>
        <v/>
      </c>
      <c r="AI17" s="30" t="str" cm="1">
        <f t="array" ref="AI17">IF(Table24[[#This Row],[11]]="","",Table24[[#This Row],[Weight]:[Weight]]-(Table24[[#This Row],[Weight]:[Weight]]*((_xlfn.XMATCH(Table24[[#This Row],[11]],Table24[[#This Row],[1]:[11]],0))-1)/(COUNTA(Table24[[#This Row],[1]:[11]])-COUNTBLANK(Table24[[#This Row],[1]:[11]])-1)))</f>
        <v/>
      </c>
    </row>
  </sheetData>
  <sheetProtection insertRows="0" insertHyperlinks="0" deleteRows="0" autoFilter="0"/>
  <mergeCells count="4">
    <mergeCell ref="A10:A11"/>
    <mergeCell ref="B10:C11"/>
    <mergeCell ref="D10:E11"/>
    <mergeCell ref="E2:F3"/>
  </mergeCells>
  <conditionalFormatting sqref="K13:K17">
    <cfRule type="expression" dxfId="6" priority="1">
      <formula>COUNTIF(N13:X13,K13)&lt;&gt;1</formula>
    </cfRule>
  </conditionalFormatting>
  <dataValidations count="4">
    <dataValidation type="list" allowBlank="1" showInputMessage="1" showErrorMessage="1" sqref="F13:F14" xr:uid="{16236710-2679-4FF4-A225-01B38ADBDF28}">
      <formula1>"Nice to have,Useful,Important,Very important,Critical,Show stopper"</formula1>
    </dataValidation>
    <dataValidation type="list" allowBlank="1" showInputMessage="1" showErrorMessage="1" sqref="F15:F17" xr:uid="{27DFABFE-89F1-4FCF-A56B-9C0FBA7F11CD}">
      <formula1>"No interest,Nice to have,Useful,Important,Very important,Critical,Show stopper"</formula1>
    </dataValidation>
    <dataValidation type="list" allowBlank="1" showInputMessage="1" showErrorMessage="1" sqref="H13:H17" xr:uid="{B0EC51A5-9136-4B49-8107-857D7BC1BA0E}">
      <formula1>N13:R13</formula1>
    </dataValidation>
    <dataValidation type="list" allowBlank="1" showInputMessage="1" showErrorMessage="1" sqref="K13:K17" xr:uid="{46165061-CB5C-4176-8722-416532ADEADD}">
      <formula1>$N13:$X13</formula1>
    </dataValidation>
  </dataValidations>
  <pageMargins left="0.7" right="0.7" top="0.75" bottom="0.75" header="0.3" footer="0.3"/>
  <pageSetup paperSize="9" scale="53" fitToHeight="0" orientation="landscape"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95C3-D1B8-4618-933F-2B35C72DD8D8}">
  <sheetPr>
    <tabColor rgb="FF002060"/>
    <pageSetUpPr fitToPage="1"/>
  </sheetPr>
  <dimension ref="A2:AI18"/>
  <sheetViews>
    <sheetView zoomScale="110" zoomScaleNormal="110" workbookViewId="0">
      <pane xSplit="1" ySplit="11" topLeftCell="B16" activePane="bottomRight" state="frozen"/>
      <selection pane="topRight" activeCell="B1" sqref="B1"/>
      <selection pane="bottomLeft" activeCell="A4" sqref="A4"/>
      <selection pane="bottomRight" activeCell="B19" sqref="B19"/>
    </sheetView>
  </sheetViews>
  <sheetFormatPr defaultColWidth="5.54296875" defaultRowHeight="11.5" x14ac:dyDescent="0.25"/>
  <cols>
    <col min="1" max="1" width="3" style="6" bestFit="1" customWidth="1"/>
    <col min="2" max="2" width="54.81640625" style="6" customWidth="1"/>
    <col min="3" max="3" width="38.81640625" style="6" customWidth="1"/>
    <col min="4" max="4" width="28.54296875" style="6" bestFit="1" customWidth="1"/>
    <col min="5" max="5" width="31.26953125" style="6" bestFit="1" customWidth="1"/>
    <col min="6" max="6" width="18.54296875" style="6" bestFit="1" customWidth="1"/>
    <col min="7" max="7" width="11.26953125" style="6" bestFit="1" customWidth="1"/>
    <col min="8" max="8" width="13.7265625" style="6" bestFit="1" customWidth="1"/>
    <col min="9" max="9" width="19.453125" style="6" bestFit="1" customWidth="1"/>
    <col min="10" max="10" width="8" style="6" customWidth="1"/>
    <col min="11" max="11" width="15.81640625" style="6" customWidth="1"/>
    <col min="12" max="12" width="7.81640625" style="45" bestFit="1" customWidth="1"/>
    <col min="13" max="13" width="19.7265625" style="6" bestFit="1" customWidth="1"/>
    <col min="14" max="14" width="6.54296875" style="46" hidden="1" customWidth="1"/>
    <col min="15" max="24" width="6.453125" style="46" hidden="1" customWidth="1"/>
    <col min="25" max="25" width="8" style="6" hidden="1" customWidth="1"/>
    <col min="26" max="26" width="6" style="6" hidden="1" customWidth="1"/>
    <col min="27" max="32" width="6.1796875" style="6" hidden="1" customWidth="1"/>
    <col min="33" max="35" width="5.54296875" style="6" hidden="1" customWidth="1"/>
    <col min="36" max="16384" width="5.54296875" style="6"/>
  </cols>
  <sheetData>
    <row r="2" spans="1:35" ht="14" x14ac:dyDescent="0.3">
      <c r="B2" s="90" t="s">
        <v>82</v>
      </c>
      <c r="C2" s="91" t="s">
        <v>83</v>
      </c>
      <c r="E2" s="225" t="s">
        <v>131</v>
      </c>
      <c r="F2" s="225"/>
    </row>
    <row r="3" spans="1:35" ht="14" x14ac:dyDescent="0.3">
      <c r="B3" s="90" t="s">
        <v>84</v>
      </c>
      <c r="C3" s="91" t="str">
        <f>+'Scoring Summary'!C3</f>
        <v>Enterprise Historian</v>
      </c>
      <c r="E3" s="225"/>
      <c r="F3" s="225"/>
    </row>
    <row r="4" spans="1:35" ht="15.5" x14ac:dyDescent="0.35">
      <c r="B4" s="90" t="s">
        <v>86</v>
      </c>
      <c r="C4" s="93" t="s">
        <v>87</v>
      </c>
      <c r="D4" s="55"/>
      <c r="E4" s="111" t="s">
        <v>72</v>
      </c>
      <c r="F4" s="116"/>
    </row>
    <row r="5" spans="1:35" ht="15.5" x14ac:dyDescent="0.35">
      <c r="B5" s="90" t="s">
        <v>88</v>
      </c>
      <c r="C5" s="93" t="s">
        <v>87</v>
      </c>
      <c r="D5" s="55"/>
      <c r="E5" s="55"/>
    </row>
    <row r="6" spans="1:35" ht="15.5" x14ac:dyDescent="0.35">
      <c r="B6" s="90" t="s">
        <v>90</v>
      </c>
      <c r="C6" s="93" t="s">
        <v>87</v>
      </c>
      <c r="D6" s="55"/>
      <c r="E6" s="55"/>
    </row>
    <row r="7" spans="1:35" ht="42.75" customHeight="1" x14ac:dyDescent="0.35">
      <c r="B7" s="90" t="s">
        <v>91</v>
      </c>
      <c r="C7" s="93"/>
      <c r="D7" s="57"/>
      <c r="E7" s="55"/>
    </row>
    <row r="10" spans="1:35" ht="15" customHeight="1" x14ac:dyDescent="0.25">
      <c r="A10" s="199"/>
      <c r="B10" s="201" t="s">
        <v>14</v>
      </c>
      <c r="C10" s="201"/>
      <c r="D10" s="203" t="s">
        <v>15</v>
      </c>
      <c r="E10" s="204"/>
      <c r="F10" s="1" t="s">
        <v>16</v>
      </c>
      <c r="G10" s="2"/>
      <c r="H10" s="3"/>
      <c r="I10" s="3"/>
      <c r="J10" s="3"/>
      <c r="K10" s="3"/>
      <c r="L10" s="4"/>
      <c r="M10" s="5"/>
      <c r="N10" s="4"/>
      <c r="O10" s="4"/>
      <c r="P10" s="4"/>
      <c r="Q10" s="4"/>
      <c r="R10" s="4"/>
      <c r="S10" s="4"/>
      <c r="T10" s="4"/>
      <c r="U10" s="4"/>
      <c r="V10" s="4"/>
      <c r="W10" s="4"/>
      <c r="X10" s="4"/>
      <c r="Y10" s="4"/>
      <c r="Z10" s="4"/>
      <c r="AA10" s="4"/>
      <c r="AB10" s="4"/>
      <c r="AC10" s="4"/>
      <c r="AD10" s="4"/>
      <c r="AE10" s="4"/>
      <c r="AF10" s="4"/>
      <c r="AG10" s="4"/>
      <c r="AH10" s="4"/>
      <c r="AI10" s="4"/>
    </row>
    <row r="11" spans="1:35" x14ac:dyDescent="0.25">
      <c r="A11" s="200"/>
      <c r="B11" s="202"/>
      <c r="C11" s="202"/>
      <c r="D11" s="205"/>
      <c r="E11" s="205"/>
      <c r="F11" s="170">
        <f>'Scoring Summary'!C15</f>
        <v>0.4</v>
      </c>
      <c r="G11" s="48">
        <f>SUM(Table2[Priority])</f>
        <v>30</v>
      </c>
      <c r="H11" s="8">
        <f>SUM(Table2[Weight])</f>
        <v>0.39999999999999997</v>
      </c>
      <c r="I11" s="7"/>
      <c r="J11" s="7"/>
      <c r="K11" s="9" t="s">
        <v>17</v>
      </c>
      <c r="L11" s="8">
        <f>SUM(Table2[Score])</f>
        <v>0.39999999999999997</v>
      </c>
      <c r="M11" s="7"/>
      <c r="N11" s="10">
        <v>1</v>
      </c>
      <c r="O11" s="10">
        <v>2</v>
      </c>
      <c r="P11" s="10">
        <v>3</v>
      </c>
      <c r="Q11" s="10">
        <v>4</v>
      </c>
      <c r="R11" s="10">
        <v>5</v>
      </c>
      <c r="S11" s="10">
        <v>6</v>
      </c>
      <c r="T11" s="10">
        <v>7</v>
      </c>
      <c r="U11" s="10">
        <v>8</v>
      </c>
      <c r="V11" s="10">
        <v>9</v>
      </c>
      <c r="W11" s="10">
        <v>10</v>
      </c>
      <c r="X11" s="10">
        <v>11</v>
      </c>
      <c r="Y11" s="10">
        <v>12</v>
      </c>
      <c r="Z11" s="10">
        <v>13</v>
      </c>
      <c r="AA11" s="10">
        <v>14</v>
      </c>
      <c r="AB11" s="10">
        <v>15</v>
      </c>
      <c r="AC11" s="10">
        <v>16</v>
      </c>
      <c r="AD11" s="10">
        <v>17</v>
      </c>
      <c r="AE11" s="10">
        <v>18</v>
      </c>
      <c r="AF11" s="10">
        <v>19</v>
      </c>
      <c r="AG11" s="10">
        <v>20</v>
      </c>
      <c r="AH11" s="10">
        <v>21</v>
      </c>
      <c r="AI11" s="10">
        <v>22</v>
      </c>
    </row>
    <row r="12" spans="1:35" ht="46" x14ac:dyDescent="0.25">
      <c r="A12" s="11" t="s">
        <v>18</v>
      </c>
      <c r="B12" s="12" t="s">
        <v>19</v>
      </c>
      <c r="C12" s="13" t="s">
        <v>20</v>
      </c>
      <c r="D12" s="14" t="s">
        <v>21</v>
      </c>
      <c r="E12" s="14" t="s">
        <v>22</v>
      </c>
      <c r="F12" s="15" t="s">
        <v>23</v>
      </c>
      <c r="G12" s="16" t="s">
        <v>24</v>
      </c>
      <c r="H12" s="16" t="s">
        <v>25</v>
      </c>
      <c r="I12" s="15" t="s">
        <v>132</v>
      </c>
      <c r="J12" s="16" t="s">
        <v>27</v>
      </c>
      <c r="K12" s="15" t="s">
        <v>28</v>
      </c>
      <c r="L12" s="17" t="s">
        <v>29</v>
      </c>
      <c r="M12" s="15" t="s">
        <v>30</v>
      </c>
      <c r="N12" s="18" t="s">
        <v>31</v>
      </c>
      <c r="O12" s="18" t="s">
        <v>32</v>
      </c>
      <c r="P12" s="18" t="s">
        <v>33</v>
      </c>
      <c r="Q12" s="18" t="s">
        <v>34</v>
      </c>
      <c r="R12" s="18" t="s">
        <v>35</v>
      </c>
      <c r="S12" s="18" t="s">
        <v>36</v>
      </c>
      <c r="T12" s="18" t="s">
        <v>37</v>
      </c>
      <c r="U12" s="18" t="s">
        <v>38</v>
      </c>
      <c r="V12" s="18" t="s">
        <v>39</v>
      </c>
      <c r="W12" s="18" t="s">
        <v>40</v>
      </c>
      <c r="X12" s="18" t="s">
        <v>41</v>
      </c>
      <c r="Y12" s="19" t="s">
        <v>42</v>
      </c>
      <c r="Z12" s="19" t="s">
        <v>43</v>
      </c>
      <c r="AA12" s="19" t="s">
        <v>44</v>
      </c>
      <c r="AB12" s="19" t="s">
        <v>45</v>
      </c>
      <c r="AC12" s="19" t="s">
        <v>46</v>
      </c>
      <c r="AD12" s="19" t="s">
        <v>47</v>
      </c>
      <c r="AE12" s="19" t="s">
        <v>48</v>
      </c>
      <c r="AF12" s="19" t="s">
        <v>49</v>
      </c>
      <c r="AG12" s="19" t="s">
        <v>50</v>
      </c>
      <c r="AH12" s="19" t="s">
        <v>51</v>
      </c>
      <c r="AI12" s="19" t="s">
        <v>52</v>
      </c>
    </row>
    <row r="13" spans="1:35" ht="23" x14ac:dyDescent="0.25">
      <c r="A13" s="21">
        <v>1</v>
      </c>
      <c r="B13" s="191" t="s">
        <v>133</v>
      </c>
      <c r="C13" s="21" t="s">
        <v>134</v>
      </c>
      <c r="D13" s="21"/>
      <c r="E13" s="21"/>
      <c r="F13" s="22" t="s">
        <v>114</v>
      </c>
      <c r="G13" s="23" cm="1">
        <f t="array" ref="G13">_xlfn.IFS(F13="","",F13="No interest",0,F13="Nice to have",1,F13="Useful",2,F13="Important",3,F13="Very important",4,F13="Critical",5,F13="Show stopper",6)</f>
        <v>5</v>
      </c>
      <c r="H13" s="24">
        <f t="shared" ref="H13" si="0">(G13/$G$11)*$F$11</f>
        <v>6.6666666666666666E-2</v>
      </c>
      <c r="I13" s="25" t="s">
        <v>135</v>
      </c>
      <c r="J13" s="25" t="str" cm="1">
        <f t="array" ref="J13">_xlfn.TEXTJOIN(","&amp;CHAR(10),,TEXT(Table2[[#This Row],[12]:[22]],"0.00%"))</f>
        <v>6.67%,
0.00%</v>
      </c>
      <c r="K13" s="26" t="s">
        <v>120</v>
      </c>
      <c r="L13" s="27">
        <f>H13-(H13*((MATCH(Table2[[#This Row],[Evaluators Response (SELECT)]],Table2[[#This Row],[1]:[11]],0)-1)/(COUNTA(Table2[[#This Row],[1]:[11]])-COUNTBLANK(Table2[[#This Row],[1]:[11]])-1)))</f>
        <v>6.6666666666666666E-2</v>
      </c>
      <c r="M13" s="28"/>
      <c r="N13" s="29" t="str" cm="1">
        <f t="array" ref="N13">IFERROR(INDEX(_xlfn.UNIQUE(TRIM(_xlfn.TEXTSPLIT(Table2[[#This Row],[Selection Options]:[Selection Options]],","))),,N$11),"")</f>
        <v>Yes</v>
      </c>
      <c r="O13" s="29" t="str" cm="1">
        <f t="array" ref="O13">IFERROR(INDEX(_xlfn.UNIQUE(TRIM(_xlfn.TEXTSPLIT(Table2[[#This Row],[Selection Options]:[Selection Options]],","))),,O$11),"")</f>
        <v xml:space="preserve">
No</v>
      </c>
      <c r="P13" s="29" t="str" cm="1">
        <f t="array" ref="P13">IFERROR(INDEX(_xlfn.UNIQUE(TRIM(_xlfn.TEXTSPLIT(Table2[[#This Row],[Selection Options]:[Selection Options]],","))),,P$11),"")</f>
        <v/>
      </c>
      <c r="Q13" s="29" t="str" cm="1">
        <f t="array" ref="Q13">IFERROR(INDEX(_xlfn.UNIQUE(TRIM(_xlfn.TEXTSPLIT(Table2[[#This Row],[Selection Options]:[Selection Options]],","))),,Q$11),"")</f>
        <v/>
      </c>
      <c r="R13" s="29" t="str" cm="1">
        <f t="array" ref="R13">IFERROR(INDEX(_xlfn.UNIQUE(TRIM(_xlfn.TEXTSPLIT(Table2[[#This Row],[Selection Options]:[Selection Options]],","))),,R$11),"")</f>
        <v/>
      </c>
      <c r="S13" s="29" t="str" cm="1">
        <f t="array" ref="S13">IFERROR(INDEX(_xlfn.UNIQUE(TRIM(_xlfn.TEXTSPLIT(Table2[[#This Row],[Selection Options]:[Selection Options]],","))),,S$11),"")</f>
        <v/>
      </c>
      <c r="T13" s="29" t="str" cm="1">
        <f t="array" ref="T13">IFERROR(INDEX(_xlfn.UNIQUE(TRIM(_xlfn.TEXTSPLIT(Table2[[#This Row],[Selection Options]:[Selection Options]],","))),,T$11),"")</f>
        <v/>
      </c>
      <c r="U13" s="29" t="str" cm="1">
        <f t="array" ref="U13">IFERROR(INDEX(_xlfn.UNIQUE(TRIM(_xlfn.TEXTSPLIT(Table2[[#This Row],[Selection Options]:[Selection Options]],","))),,U$11),"")</f>
        <v/>
      </c>
      <c r="V13" s="29" t="str" cm="1">
        <f t="array" ref="V13">IFERROR(INDEX(_xlfn.UNIQUE(TRIM(_xlfn.TEXTSPLIT(Table2[[#This Row],[Selection Options]:[Selection Options]],","))),,V$11),"")</f>
        <v/>
      </c>
      <c r="W13" s="29" t="str" cm="1">
        <f t="array" ref="W13">IFERROR(INDEX(_xlfn.UNIQUE(TRIM(_xlfn.TEXTSPLIT(Table2[[#This Row],[Selection Options]:[Selection Options]],","))),,W$11),"")</f>
        <v/>
      </c>
      <c r="X13" s="29" t="str" cm="1">
        <f t="array" ref="X13">IFERROR(INDEX(_xlfn.UNIQUE(TRIM(_xlfn.TEXTSPLIT(Table2[[#This Row],[Selection Options]:[Selection Options]],","))),,X$11),"")</f>
        <v/>
      </c>
      <c r="Y13" s="30" cm="1">
        <f t="array" ref="Y13">IF(Table2[[#This Row],[1]]="","",Table2[[#This Row],[Weight]:[Weight]]-(Table2[[#This Row],[Weight]:[Weight]]*((_xlfn.XMATCH(Table2[[#This Row],[1]],Table2[[#This Row],[1]:[11]],0))-1)/(COUNTA(Table2[[#This Row],[1]:[11]])-COUNTBLANK(Table2[[#This Row],[1]:[11]])-1)))</f>
        <v>6.6666666666666666E-2</v>
      </c>
      <c r="Z13" s="30" cm="1">
        <f t="array" ref="Z13">IF(Table2[[#This Row],[2]]="","",Table2[[#This Row],[Weight]:[Weight]]-(Table2[[#This Row],[Weight]:[Weight]]*((_xlfn.XMATCH(Table2[[#This Row],[2]],Table2[[#This Row],[1]:[11]],0))-1)/(COUNTA(Table2[[#This Row],[1]:[11]])-COUNTBLANK(Table2[[#This Row],[1]:[11]])-1)))</f>
        <v>0</v>
      </c>
      <c r="AA13" s="30" t="str" cm="1">
        <f t="array" ref="AA13">IF(Table2[[#This Row],[3]]="","",Table2[[#This Row],[Weight]:[Weight]]-(Table2[[#This Row],[Weight]:[Weight]]*((_xlfn.XMATCH(Table2[[#This Row],[3]],Table2[[#This Row],[1]:[11]],0))-1)/(COUNTA(Table2[[#This Row],[1]:[11]])-COUNTBLANK(Table2[[#This Row],[1]:[11]])-1)))</f>
        <v/>
      </c>
      <c r="AB13" s="30" t="str" cm="1">
        <f t="array" ref="AB13">IF(Table2[[#This Row],[4]]="","",Table2[[#This Row],[Weight]:[Weight]]-(Table2[[#This Row],[Weight]:[Weight]]*((_xlfn.XMATCH(Table2[[#This Row],[4]],Table2[[#This Row],[1]:[11]],0))-1)/(COUNTA(Table2[[#This Row],[1]:[11]])-COUNTBLANK(Table2[[#This Row],[1]:[11]])-1)))</f>
        <v/>
      </c>
      <c r="AC13" s="30" t="str" cm="1">
        <f t="array" ref="AC13">IF(Table2[[#This Row],[5]]="","",Table2[[#This Row],[Weight]:[Weight]]-(Table2[[#This Row],[Weight]:[Weight]]*((_xlfn.XMATCH(Table2[[#This Row],[5]],Table2[[#This Row],[1]:[11]],0))-1)/(COUNTA(Table2[[#This Row],[1]:[11]])-COUNTBLANK(Table2[[#This Row],[1]:[11]])-1)))</f>
        <v/>
      </c>
      <c r="AD13" s="30" t="str" cm="1">
        <f t="array" ref="AD13">IF(Table2[[#This Row],[6]]="","",Table2[[#This Row],[Weight]:[Weight]]-(Table2[[#This Row],[Weight]:[Weight]]*((_xlfn.XMATCH(Table2[[#This Row],[6]],Table2[[#This Row],[1]:[11]],0))-1)/(COUNTA(Table2[[#This Row],[1]:[11]])-COUNTBLANK(Table2[[#This Row],[1]:[11]])-1)))</f>
        <v/>
      </c>
      <c r="AE13" s="30" t="str" cm="1">
        <f t="array" ref="AE13">IF(Table2[[#This Row],[7]]="","",Table2[[#This Row],[Weight]:[Weight]]-(Table2[[#This Row],[Weight]:[Weight]]*((_xlfn.XMATCH(Table2[[#This Row],[7]],Table2[[#This Row],[1]:[11]],0))-1)/(COUNTA(Table2[[#This Row],[1]:[11]])-COUNTBLANK(Table2[[#This Row],[1]:[11]])-1)))</f>
        <v/>
      </c>
      <c r="AF13" s="30" t="str" cm="1">
        <f t="array" ref="AF13">IF(Table2[[#This Row],[8]]="","",Table2[[#This Row],[Weight]:[Weight]]-(Table2[[#This Row],[Weight]:[Weight]]*((_xlfn.XMATCH(Table2[[#This Row],[8]],Table2[[#This Row],[1]:[11]],0))-1)/(COUNTA(Table2[[#This Row],[1]:[11]])-COUNTBLANK(Table2[[#This Row],[1]:[11]])-1)))</f>
        <v/>
      </c>
      <c r="AG13" s="30" t="str" cm="1">
        <f t="array" ref="AG13">IF(Table2[[#This Row],[9]]="","",Table2[[#This Row],[Weight]:[Weight]]-(Table2[[#This Row],[Weight]:[Weight]]*((_xlfn.XMATCH(Table2[[#This Row],[9]],Table2[[#This Row],[1]:[11]],0))-1)/(COUNTA(Table2[[#This Row],[1]:[11]])-COUNTBLANK(Table2[[#This Row],[1]:[11]])-1)))</f>
        <v/>
      </c>
      <c r="AH13" s="30" t="str" cm="1">
        <f t="array" ref="AH13">IF(Table2[[#This Row],[10]]="","",Table2[[#This Row],[Weight]:[Weight]]-(Table2[[#This Row],[Weight]:[Weight]]*((_xlfn.XMATCH(Table2[[#This Row],[10]],Table2[[#This Row],[1]:[11]],0))-1)/(COUNTA(Table2[[#This Row],[1]:[11]])-COUNTBLANK(Table2[[#This Row],[1]:[11]])-1)))</f>
        <v/>
      </c>
      <c r="AI13" s="30" t="str" cm="1">
        <f t="array" ref="AI13">IF(Table2[[#This Row],[11]]="","",Table2[[#This Row],[Weight]:[Weight]]-(Table2[[#This Row],[Weight]:[Weight]]*((_xlfn.XMATCH(Table2[[#This Row],[11]],Table2[[#This Row],[1]:[11]],0))-1)/(COUNTA(Table2[[#This Row],[1]:[11]])-COUNTBLANK(Table2[[#This Row],[1]:[11]])-1)))</f>
        <v/>
      </c>
    </row>
    <row r="14" spans="1:35" ht="23" x14ac:dyDescent="0.25">
      <c r="A14" s="21">
        <v>2</v>
      </c>
      <c r="B14" s="191" t="s">
        <v>136</v>
      </c>
      <c r="C14" s="21" t="s">
        <v>134</v>
      </c>
      <c r="D14" s="31"/>
      <c r="E14" s="31"/>
      <c r="F14" s="22" t="s">
        <v>114</v>
      </c>
      <c r="G14" s="23" cm="1">
        <f t="array" ref="G14">_xlfn.IFS(F14="","",F14="No interest",0,F14="Nice to have",1,F14="Useful",2,F14="Important",3,F14="Very important",4,F14="Critical",5,F14="Show stopper",6)</f>
        <v>5</v>
      </c>
      <c r="H14" s="24">
        <f>(G14/$G$11)*$F$11</f>
        <v>6.6666666666666666E-2</v>
      </c>
      <c r="I14" s="25" t="s">
        <v>135</v>
      </c>
      <c r="J14" s="25" t="str" cm="1">
        <f t="array" ref="J14">_xlfn.TEXTJOIN(","&amp;CHAR(10),,TEXT(Table2[[#This Row],[12]:[22]],"0.00%"))</f>
        <v>6.67%,
0.00%</v>
      </c>
      <c r="K14" s="26" t="s">
        <v>120</v>
      </c>
      <c r="L14" s="27">
        <f>H14-(H14*((MATCH(Table2[[#This Row],[Evaluators Response (SELECT)]],Table2[[#This Row],[1]:[11]],0)-1)/(COUNTA(Table2[[#This Row],[1]:[11]])-COUNTBLANK(Table2[[#This Row],[1]:[11]])-1)))</f>
        <v>6.6666666666666666E-2</v>
      </c>
      <c r="M14" s="28"/>
      <c r="N14" s="29" t="str" cm="1">
        <f t="array" ref="N14">IFERROR(INDEX(_xlfn.UNIQUE(TRIM(_xlfn.TEXTSPLIT(Table2[[#This Row],[Selection Options]:[Selection Options]],","))),,N$11),"")</f>
        <v>Yes</v>
      </c>
      <c r="O14" s="29" t="str" cm="1">
        <f t="array" ref="O14">IFERROR(INDEX(_xlfn.UNIQUE(TRIM(_xlfn.TEXTSPLIT(Table2[[#This Row],[Selection Options]:[Selection Options]],","))),,O$11),"")</f>
        <v xml:space="preserve">
No</v>
      </c>
      <c r="P14" s="29" t="str" cm="1">
        <f t="array" ref="P14">IFERROR(INDEX(_xlfn.UNIQUE(TRIM(_xlfn.TEXTSPLIT(Table2[[#This Row],[Selection Options]:[Selection Options]],","))),,P$11),"")</f>
        <v/>
      </c>
      <c r="Q14" s="29" t="str" cm="1">
        <f t="array" ref="Q14">IFERROR(INDEX(_xlfn.UNIQUE(TRIM(_xlfn.TEXTSPLIT(Table2[[#This Row],[Selection Options]:[Selection Options]],","))),,Q$11),"")</f>
        <v/>
      </c>
      <c r="R14" s="29" t="str" cm="1">
        <f t="array" ref="R14">IFERROR(INDEX(_xlfn.UNIQUE(TRIM(_xlfn.TEXTSPLIT(Table2[[#This Row],[Selection Options]:[Selection Options]],","))),,R$11),"")</f>
        <v/>
      </c>
      <c r="S14" s="29" t="str" cm="1">
        <f t="array" ref="S14">IFERROR(INDEX(_xlfn.UNIQUE(TRIM(_xlfn.TEXTSPLIT(Table2[[#This Row],[Selection Options]:[Selection Options]],","))),,S$11),"")</f>
        <v/>
      </c>
      <c r="T14" s="29" t="str" cm="1">
        <f t="array" ref="T14">IFERROR(INDEX(_xlfn.UNIQUE(TRIM(_xlfn.TEXTSPLIT(Table2[[#This Row],[Selection Options]:[Selection Options]],","))),,T$11),"")</f>
        <v/>
      </c>
      <c r="U14" s="29" t="str" cm="1">
        <f t="array" ref="U14">IFERROR(INDEX(_xlfn.UNIQUE(TRIM(_xlfn.TEXTSPLIT(Table2[[#This Row],[Selection Options]:[Selection Options]],","))),,U$11),"")</f>
        <v/>
      </c>
      <c r="V14" s="29" t="str" cm="1">
        <f t="array" ref="V14">IFERROR(INDEX(_xlfn.UNIQUE(TRIM(_xlfn.TEXTSPLIT(Table2[[#This Row],[Selection Options]:[Selection Options]],","))),,V$11),"")</f>
        <v/>
      </c>
      <c r="W14" s="29" t="str" cm="1">
        <f t="array" ref="W14">IFERROR(INDEX(_xlfn.UNIQUE(TRIM(_xlfn.TEXTSPLIT(Table2[[#This Row],[Selection Options]:[Selection Options]],","))),,W$11),"")</f>
        <v/>
      </c>
      <c r="X14" s="29" t="str" cm="1">
        <f t="array" ref="X14">IFERROR(INDEX(_xlfn.UNIQUE(TRIM(_xlfn.TEXTSPLIT(Table2[[#This Row],[Selection Options]:[Selection Options]],","))),,X$11),"")</f>
        <v/>
      </c>
      <c r="Y14" s="30" cm="1">
        <f t="array" ref="Y14">IF(Table2[[#This Row],[1]]="","",Table2[[#This Row],[Weight]:[Weight]]-(Table2[[#This Row],[Weight]:[Weight]]*((_xlfn.XMATCH(Table2[[#This Row],[1]],Table2[[#This Row],[1]:[11]],0))-1)/(COUNTA(Table2[[#This Row],[1]:[11]])-COUNTBLANK(Table2[[#This Row],[1]:[11]])-1)))</f>
        <v>6.6666666666666666E-2</v>
      </c>
      <c r="Z14" s="30" cm="1">
        <f t="array" ref="Z14">IF(Table2[[#This Row],[2]]="","",Table2[[#This Row],[Weight]:[Weight]]-(Table2[[#This Row],[Weight]:[Weight]]*((_xlfn.XMATCH(Table2[[#This Row],[2]],Table2[[#This Row],[1]:[11]],0))-1)/(COUNTA(Table2[[#This Row],[1]:[11]])-COUNTBLANK(Table2[[#This Row],[1]:[11]])-1)))</f>
        <v>0</v>
      </c>
      <c r="AA14" s="30" t="str" cm="1">
        <f t="array" ref="AA14">IF(Table2[[#This Row],[3]]="","",Table2[[#This Row],[Weight]:[Weight]]-(Table2[[#This Row],[Weight]:[Weight]]*((_xlfn.XMATCH(Table2[[#This Row],[3]],Table2[[#This Row],[1]:[11]],0))-1)/(COUNTA(Table2[[#This Row],[1]:[11]])-COUNTBLANK(Table2[[#This Row],[1]:[11]])-1)))</f>
        <v/>
      </c>
      <c r="AB14" s="30" t="str" cm="1">
        <f t="array" ref="AB14">IF(Table2[[#This Row],[4]]="","",Table2[[#This Row],[Weight]:[Weight]]-(Table2[[#This Row],[Weight]:[Weight]]*((_xlfn.XMATCH(Table2[[#This Row],[4]],Table2[[#This Row],[1]:[11]],0))-1)/(COUNTA(Table2[[#This Row],[1]:[11]])-COUNTBLANK(Table2[[#This Row],[1]:[11]])-1)))</f>
        <v/>
      </c>
      <c r="AC14" s="30" t="str" cm="1">
        <f t="array" ref="AC14">IF(Table2[[#This Row],[5]]="","",Table2[[#This Row],[Weight]:[Weight]]-(Table2[[#This Row],[Weight]:[Weight]]*((_xlfn.XMATCH(Table2[[#This Row],[5]],Table2[[#This Row],[1]:[11]],0))-1)/(COUNTA(Table2[[#This Row],[1]:[11]])-COUNTBLANK(Table2[[#This Row],[1]:[11]])-1)))</f>
        <v/>
      </c>
      <c r="AD14" s="30" t="str" cm="1">
        <f t="array" ref="AD14">IF(Table2[[#This Row],[6]]="","",Table2[[#This Row],[Weight]:[Weight]]-(Table2[[#This Row],[Weight]:[Weight]]*((_xlfn.XMATCH(Table2[[#This Row],[6]],Table2[[#This Row],[1]:[11]],0))-1)/(COUNTA(Table2[[#This Row],[1]:[11]])-COUNTBLANK(Table2[[#This Row],[1]:[11]])-1)))</f>
        <v/>
      </c>
      <c r="AE14" s="30" t="str" cm="1">
        <f t="array" ref="AE14">IF(Table2[[#This Row],[7]]="","",Table2[[#This Row],[Weight]:[Weight]]-(Table2[[#This Row],[Weight]:[Weight]]*((_xlfn.XMATCH(Table2[[#This Row],[7]],Table2[[#This Row],[1]:[11]],0))-1)/(COUNTA(Table2[[#This Row],[1]:[11]])-COUNTBLANK(Table2[[#This Row],[1]:[11]])-1)))</f>
        <v/>
      </c>
      <c r="AF14" s="30" t="str" cm="1">
        <f t="array" ref="AF14">IF(Table2[[#This Row],[8]]="","",Table2[[#This Row],[Weight]:[Weight]]-(Table2[[#This Row],[Weight]:[Weight]]*((_xlfn.XMATCH(Table2[[#This Row],[8]],Table2[[#This Row],[1]:[11]],0))-1)/(COUNTA(Table2[[#This Row],[1]:[11]])-COUNTBLANK(Table2[[#This Row],[1]:[11]])-1)))</f>
        <v/>
      </c>
      <c r="AG14" s="41" t="str" cm="1">
        <f t="array" ref="AG14">IF(Table2[[#This Row],[9]]="","",Table2[[#This Row],[Weight]:[Weight]]-(Table2[[#This Row],[Weight]:[Weight]]*((_xlfn.XMATCH(Table2[[#This Row],[9]],Table2[[#This Row],[1]:[11]],0))-1)/(COUNTA(Table2[[#This Row],[1]:[11]])-COUNTBLANK(Table2[[#This Row],[1]:[11]])-1)))</f>
        <v/>
      </c>
      <c r="AH14" s="41" t="str" cm="1">
        <f t="array" ref="AH14">IF(Table2[[#This Row],[10]]="","",Table2[[#This Row],[Weight]:[Weight]]-(Table2[[#This Row],[Weight]:[Weight]]*((_xlfn.XMATCH(Table2[[#This Row],[10]],Table2[[#This Row],[1]:[11]],0))-1)/(COUNTA(Table2[[#This Row],[1]:[11]])-COUNTBLANK(Table2[[#This Row],[1]:[11]])-1)))</f>
        <v/>
      </c>
      <c r="AI14" s="41" t="str" cm="1">
        <f t="array" ref="AI14">IF(Table2[[#This Row],[11]]="","",Table2[[#This Row],[Weight]:[Weight]]-(Table2[[#This Row],[Weight]:[Weight]]*((_xlfn.XMATCH(Table2[[#This Row],[11]],Table2[[#This Row],[1]:[11]],0))-1)/(COUNTA(Table2[[#This Row],[1]:[11]])-COUNTBLANK(Table2[[#This Row],[1]:[11]])-1)))</f>
        <v/>
      </c>
    </row>
    <row r="15" spans="1:35" ht="23" x14ac:dyDescent="0.25">
      <c r="A15" s="21">
        <v>3</v>
      </c>
      <c r="B15" s="191" t="s">
        <v>137</v>
      </c>
      <c r="C15" s="21" t="s">
        <v>134</v>
      </c>
      <c r="D15" s="31"/>
      <c r="E15" s="31"/>
      <c r="F15" s="22" t="s">
        <v>114</v>
      </c>
      <c r="G15" s="23" cm="1">
        <f t="array" ref="G15">_xlfn.IFS(F15="","",F15="No interest",0,F15="Nice to have",1,F15="Useful",2,F15="Important",3,F15="Very important",4,F15="Critical",5,F15="Show stopper",6)</f>
        <v>5</v>
      </c>
      <c r="H15" s="24">
        <f t="shared" ref="H15:H18" si="1">(G15/$G$11)*$F$11</f>
        <v>6.6666666666666666E-2</v>
      </c>
      <c r="I15" s="25" t="s">
        <v>135</v>
      </c>
      <c r="J15" s="25" t="str" cm="1">
        <f t="array" ref="J15">_xlfn.TEXTJOIN(","&amp;CHAR(10),,TEXT(Table2[[#This Row],[12]:[22]],"0.00%"))</f>
        <v>6.67%,
0.00%</v>
      </c>
      <c r="K15" s="26" t="s">
        <v>120</v>
      </c>
      <c r="L15" s="27">
        <f>H15-(H15*((MATCH(Table2[[#This Row],[Evaluators Response (SELECT)]],Table2[[#This Row],[1]:[11]],0)-1)/(COUNTA(Table2[[#This Row],[1]:[11]])-COUNTBLANK(Table2[[#This Row],[1]:[11]])-1)))</f>
        <v>6.6666666666666666E-2</v>
      </c>
      <c r="M15" s="28"/>
      <c r="N15" s="29" t="str" cm="1">
        <f t="array" ref="N15">IFERROR(INDEX(_xlfn.UNIQUE(TRIM(_xlfn.TEXTSPLIT(Table2[[#This Row],[Selection Options]:[Selection Options]],","))),,N$11),"")</f>
        <v>Yes</v>
      </c>
      <c r="O15" s="29" t="str" cm="1">
        <f t="array" ref="O15">IFERROR(INDEX(_xlfn.UNIQUE(TRIM(_xlfn.TEXTSPLIT(Table2[[#This Row],[Selection Options]:[Selection Options]],","))),,O$11),"")</f>
        <v xml:space="preserve">
No</v>
      </c>
      <c r="P15" s="29" t="str" cm="1">
        <f t="array" ref="P15">IFERROR(INDEX(_xlfn.UNIQUE(TRIM(_xlfn.TEXTSPLIT(Table2[[#This Row],[Selection Options]:[Selection Options]],","))),,P$11),"")</f>
        <v/>
      </c>
      <c r="Q15" s="29" t="str" cm="1">
        <f t="array" ref="Q15">IFERROR(INDEX(_xlfn.UNIQUE(TRIM(_xlfn.TEXTSPLIT(Table2[[#This Row],[Selection Options]:[Selection Options]],","))),,Q$11),"")</f>
        <v/>
      </c>
      <c r="R15" s="29" t="str" cm="1">
        <f t="array" ref="R15">IFERROR(INDEX(_xlfn.UNIQUE(TRIM(_xlfn.TEXTSPLIT(Table2[[#This Row],[Selection Options]:[Selection Options]],","))),,R$11),"")</f>
        <v/>
      </c>
      <c r="S15" s="29" t="str" cm="1">
        <f t="array" ref="S15">IFERROR(INDEX(_xlfn.UNIQUE(TRIM(_xlfn.TEXTSPLIT(Table2[[#This Row],[Selection Options]:[Selection Options]],","))),,S$11),"")</f>
        <v/>
      </c>
      <c r="T15" s="29" t="str" cm="1">
        <f t="array" ref="T15">IFERROR(INDEX(_xlfn.UNIQUE(TRIM(_xlfn.TEXTSPLIT(Table2[[#This Row],[Selection Options]:[Selection Options]],","))),,T$11),"")</f>
        <v/>
      </c>
      <c r="U15" s="29" t="str" cm="1">
        <f t="array" ref="U15">IFERROR(INDEX(_xlfn.UNIQUE(TRIM(_xlfn.TEXTSPLIT(Table2[[#This Row],[Selection Options]:[Selection Options]],","))),,U$11),"")</f>
        <v/>
      </c>
      <c r="V15" s="29" t="str" cm="1">
        <f t="array" ref="V15">IFERROR(INDEX(_xlfn.UNIQUE(TRIM(_xlfn.TEXTSPLIT(Table2[[#This Row],[Selection Options]:[Selection Options]],","))),,V$11),"")</f>
        <v/>
      </c>
      <c r="W15" s="29" t="str" cm="1">
        <f t="array" ref="W15">IFERROR(INDEX(_xlfn.UNIQUE(TRIM(_xlfn.TEXTSPLIT(Table2[[#This Row],[Selection Options]:[Selection Options]],","))),,W$11),"")</f>
        <v/>
      </c>
      <c r="X15" s="29" t="str" cm="1">
        <f t="array" ref="X15">IFERROR(INDEX(_xlfn.UNIQUE(TRIM(_xlfn.TEXTSPLIT(Table2[[#This Row],[Selection Options]:[Selection Options]],","))),,X$11),"")</f>
        <v/>
      </c>
      <c r="Y15" s="30" cm="1">
        <f t="array" ref="Y15">IF(Table2[[#This Row],[1]]="","",Table2[[#This Row],[Weight]:[Weight]]-(Table2[[#This Row],[Weight]:[Weight]]*((_xlfn.XMATCH(Table2[[#This Row],[1]],Table2[[#This Row],[1]:[11]],0))-1)/(COUNTA(Table2[[#This Row],[1]:[11]])-COUNTBLANK(Table2[[#This Row],[1]:[11]])-1)))</f>
        <v>6.6666666666666666E-2</v>
      </c>
      <c r="Z15" s="30" cm="1">
        <f t="array" ref="Z15">IF(Table2[[#This Row],[2]]="","",Table2[[#This Row],[Weight]:[Weight]]-(Table2[[#This Row],[Weight]:[Weight]]*((_xlfn.XMATCH(Table2[[#This Row],[2]],Table2[[#This Row],[1]:[11]],0))-1)/(COUNTA(Table2[[#This Row],[1]:[11]])-COUNTBLANK(Table2[[#This Row],[1]:[11]])-1)))</f>
        <v>0</v>
      </c>
      <c r="AA15" s="30" t="str" cm="1">
        <f t="array" ref="AA15">IF(Table2[[#This Row],[3]]="","",Table2[[#This Row],[Weight]:[Weight]]-(Table2[[#This Row],[Weight]:[Weight]]*((_xlfn.XMATCH(Table2[[#This Row],[3]],Table2[[#This Row],[1]:[11]],0))-1)/(COUNTA(Table2[[#This Row],[1]:[11]])-COUNTBLANK(Table2[[#This Row],[1]:[11]])-1)))</f>
        <v/>
      </c>
      <c r="AB15" s="30" t="str" cm="1">
        <f t="array" ref="AB15">IF(Table2[[#This Row],[4]]="","",Table2[[#This Row],[Weight]:[Weight]]-(Table2[[#This Row],[Weight]:[Weight]]*((_xlfn.XMATCH(Table2[[#This Row],[4]],Table2[[#This Row],[1]:[11]],0))-1)/(COUNTA(Table2[[#This Row],[1]:[11]])-COUNTBLANK(Table2[[#This Row],[1]:[11]])-1)))</f>
        <v/>
      </c>
      <c r="AC15" s="30" t="str" cm="1">
        <f t="array" ref="AC15">IF(Table2[[#This Row],[5]]="","",Table2[[#This Row],[Weight]:[Weight]]-(Table2[[#This Row],[Weight]:[Weight]]*((_xlfn.XMATCH(Table2[[#This Row],[5]],Table2[[#This Row],[1]:[11]],0))-1)/(COUNTA(Table2[[#This Row],[1]:[11]])-COUNTBLANK(Table2[[#This Row],[1]:[11]])-1)))</f>
        <v/>
      </c>
      <c r="AD15" s="30" t="str" cm="1">
        <f t="array" ref="AD15">IF(Table2[[#This Row],[6]]="","",Table2[[#This Row],[Weight]:[Weight]]-(Table2[[#This Row],[Weight]:[Weight]]*((_xlfn.XMATCH(Table2[[#This Row],[6]],Table2[[#This Row],[1]:[11]],0))-1)/(COUNTA(Table2[[#This Row],[1]:[11]])-COUNTBLANK(Table2[[#This Row],[1]:[11]])-1)))</f>
        <v/>
      </c>
      <c r="AE15" s="30" t="str" cm="1">
        <f t="array" ref="AE15">IF(Table2[[#This Row],[7]]="","",Table2[[#This Row],[Weight]:[Weight]]-(Table2[[#This Row],[Weight]:[Weight]]*((_xlfn.XMATCH(Table2[[#This Row],[7]],Table2[[#This Row],[1]:[11]],0))-1)/(COUNTA(Table2[[#This Row],[1]:[11]])-COUNTBLANK(Table2[[#This Row],[1]:[11]])-1)))</f>
        <v/>
      </c>
      <c r="AF15" s="30" t="str" cm="1">
        <f t="array" ref="AF15">IF(Table2[[#This Row],[8]]="","",Table2[[#This Row],[Weight]:[Weight]]-(Table2[[#This Row],[Weight]:[Weight]]*((_xlfn.XMATCH(Table2[[#This Row],[8]],Table2[[#This Row],[1]:[11]],0))-1)/(COUNTA(Table2[[#This Row],[1]:[11]])-COUNTBLANK(Table2[[#This Row],[1]:[11]])-1)))</f>
        <v/>
      </c>
      <c r="AG15" s="41" t="str" cm="1">
        <f t="array" ref="AG15">IF(Table2[[#This Row],[9]]="","",Table2[[#This Row],[Weight]:[Weight]]-(Table2[[#This Row],[Weight]:[Weight]]*((_xlfn.XMATCH(Table2[[#This Row],[9]],Table2[[#This Row],[1]:[11]],0))-1)/(COUNTA(Table2[[#This Row],[1]:[11]])-COUNTBLANK(Table2[[#This Row],[1]:[11]])-1)))</f>
        <v/>
      </c>
      <c r="AH15" s="41" t="str" cm="1">
        <f t="array" ref="AH15">IF(Table2[[#This Row],[10]]="","",Table2[[#This Row],[Weight]:[Weight]]-(Table2[[#This Row],[Weight]:[Weight]]*((_xlfn.XMATCH(Table2[[#This Row],[10]],Table2[[#This Row],[1]:[11]],0))-1)/(COUNTA(Table2[[#This Row],[1]:[11]])-COUNTBLANK(Table2[[#This Row],[1]:[11]])-1)))</f>
        <v/>
      </c>
      <c r="AI15" s="41" t="str" cm="1">
        <f t="array" ref="AI15">IF(Table2[[#This Row],[11]]="","",Table2[[#This Row],[Weight]:[Weight]]-(Table2[[#This Row],[Weight]:[Weight]]*((_xlfn.XMATCH(Table2[[#This Row],[11]],Table2[[#This Row],[1]:[11]],0))-1)/(COUNTA(Table2[[#This Row],[1]:[11]])-COUNTBLANK(Table2[[#This Row],[1]:[11]])-1)))</f>
        <v/>
      </c>
    </row>
    <row r="16" spans="1:35" ht="23" x14ac:dyDescent="0.25">
      <c r="A16" s="21">
        <v>4</v>
      </c>
      <c r="B16" s="191" t="s">
        <v>138</v>
      </c>
      <c r="C16" s="21" t="s">
        <v>134</v>
      </c>
      <c r="D16" s="31"/>
      <c r="E16" s="31"/>
      <c r="F16" s="22" t="s">
        <v>114</v>
      </c>
      <c r="G16" s="23" cm="1">
        <f t="array" ref="G16">_xlfn.IFS(F16="","",F16="No interest",0,F16="Nice to have",1,F16="Useful",2,F16="Important",3,F16="Very important",4,F16="Critical",5,F16="Show stopper",6)</f>
        <v>5</v>
      </c>
      <c r="H16" s="24">
        <f t="shared" si="1"/>
        <v>6.6666666666666666E-2</v>
      </c>
      <c r="I16" s="25" t="s">
        <v>135</v>
      </c>
      <c r="J16" s="25" t="str" cm="1">
        <f t="array" ref="J16">_xlfn.TEXTJOIN(","&amp;CHAR(10),,TEXT(Table2[[#This Row],[12]:[22]],"0.00%"))</f>
        <v>6.67%,
0.00%</v>
      </c>
      <c r="K16" s="26" t="s">
        <v>120</v>
      </c>
      <c r="L16" s="27">
        <f>H16-(H16*((MATCH(Table2[[#This Row],[Evaluators Response (SELECT)]],Table2[[#This Row],[1]:[11]],0)-1)/(COUNTA(Table2[[#This Row],[1]:[11]])-COUNTBLANK(Table2[[#This Row],[1]:[11]])-1)))</f>
        <v>6.6666666666666666E-2</v>
      </c>
      <c r="M16" s="28"/>
      <c r="N16" s="29" t="str" cm="1">
        <f t="array" ref="N16">IFERROR(INDEX(_xlfn.UNIQUE(TRIM(_xlfn.TEXTSPLIT(Table2[[#This Row],[Selection Options]:[Selection Options]],","))),,N$11),"")</f>
        <v>Yes</v>
      </c>
      <c r="O16" s="29" t="str" cm="1">
        <f t="array" ref="O16">IFERROR(INDEX(_xlfn.UNIQUE(TRIM(_xlfn.TEXTSPLIT(Table2[[#This Row],[Selection Options]:[Selection Options]],","))),,O$11),"")</f>
        <v xml:space="preserve">
No</v>
      </c>
      <c r="P16" s="29" t="str" cm="1">
        <f t="array" ref="P16">IFERROR(INDEX(_xlfn.UNIQUE(TRIM(_xlfn.TEXTSPLIT(Table2[[#This Row],[Selection Options]:[Selection Options]],","))),,P$11),"")</f>
        <v/>
      </c>
      <c r="Q16" s="29" t="str" cm="1">
        <f t="array" ref="Q16">IFERROR(INDEX(_xlfn.UNIQUE(TRIM(_xlfn.TEXTSPLIT(Table2[[#This Row],[Selection Options]:[Selection Options]],","))),,Q$11),"")</f>
        <v/>
      </c>
      <c r="R16" s="29" t="str" cm="1">
        <f t="array" ref="R16">IFERROR(INDEX(_xlfn.UNIQUE(TRIM(_xlfn.TEXTSPLIT(Table2[[#This Row],[Selection Options]:[Selection Options]],","))),,R$11),"")</f>
        <v/>
      </c>
      <c r="S16" s="29" t="str" cm="1">
        <f t="array" ref="S16">IFERROR(INDEX(_xlfn.UNIQUE(TRIM(_xlfn.TEXTSPLIT(Table2[[#This Row],[Selection Options]:[Selection Options]],","))),,S$11),"")</f>
        <v/>
      </c>
      <c r="T16" s="29" t="str" cm="1">
        <f t="array" ref="T16">IFERROR(INDEX(_xlfn.UNIQUE(TRIM(_xlfn.TEXTSPLIT(Table2[[#This Row],[Selection Options]:[Selection Options]],","))),,T$11),"")</f>
        <v/>
      </c>
      <c r="U16" s="29" t="str" cm="1">
        <f t="array" ref="U16">IFERROR(INDEX(_xlfn.UNIQUE(TRIM(_xlfn.TEXTSPLIT(Table2[[#This Row],[Selection Options]:[Selection Options]],","))),,U$11),"")</f>
        <v/>
      </c>
      <c r="V16" s="29" t="str" cm="1">
        <f t="array" ref="V16">IFERROR(INDEX(_xlfn.UNIQUE(TRIM(_xlfn.TEXTSPLIT(Table2[[#This Row],[Selection Options]:[Selection Options]],","))),,V$11),"")</f>
        <v/>
      </c>
      <c r="W16" s="29" t="str" cm="1">
        <f t="array" ref="W16">IFERROR(INDEX(_xlfn.UNIQUE(TRIM(_xlfn.TEXTSPLIT(Table2[[#This Row],[Selection Options]:[Selection Options]],","))),,W$11),"")</f>
        <v/>
      </c>
      <c r="X16" s="29" t="str" cm="1">
        <f t="array" ref="X16">IFERROR(INDEX(_xlfn.UNIQUE(TRIM(_xlfn.TEXTSPLIT(Table2[[#This Row],[Selection Options]:[Selection Options]],","))),,X$11),"")</f>
        <v/>
      </c>
      <c r="Y16" s="30" cm="1">
        <f t="array" ref="Y16">IF(Table2[[#This Row],[1]]="","",Table2[[#This Row],[Weight]:[Weight]]-(Table2[[#This Row],[Weight]:[Weight]]*((_xlfn.XMATCH(Table2[[#This Row],[1]],Table2[[#This Row],[1]:[11]],0))-1)/(COUNTA(Table2[[#This Row],[1]:[11]])-COUNTBLANK(Table2[[#This Row],[1]:[11]])-1)))</f>
        <v>6.6666666666666666E-2</v>
      </c>
      <c r="Z16" s="30" cm="1">
        <f t="array" ref="Z16">IF(Table2[[#This Row],[2]]="","",Table2[[#This Row],[Weight]:[Weight]]-(Table2[[#This Row],[Weight]:[Weight]]*((_xlfn.XMATCH(Table2[[#This Row],[2]],Table2[[#This Row],[1]:[11]],0))-1)/(COUNTA(Table2[[#This Row],[1]:[11]])-COUNTBLANK(Table2[[#This Row],[1]:[11]])-1)))</f>
        <v>0</v>
      </c>
      <c r="AA16" s="30" t="str" cm="1">
        <f t="array" ref="AA16">IF(Table2[[#This Row],[3]]="","",Table2[[#This Row],[Weight]:[Weight]]-(Table2[[#This Row],[Weight]:[Weight]]*((_xlfn.XMATCH(Table2[[#This Row],[3]],Table2[[#This Row],[1]:[11]],0))-1)/(COUNTA(Table2[[#This Row],[1]:[11]])-COUNTBLANK(Table2[[#This Row],[1]:[11]])-1)))</f>
        <v/>
      </c>
      <c r="AB16" s="30" t="str" cm="1">
        <f t="array" ref="AB16">IF(Table2[[#This Row],[4]]="","",Table2[[#This Row],[Weight]:[Weight]]-(Table2[[#This Row],[Weight]:[Weight]]*((_xlfn.XMATCH(Table2[[#This Row],[4]],Table2[[#This Row],[1]:[11]],0))-1)/(COUNTA(Table2[[#This Row],[1]:[11]])-COUNTBLANK(Table2[[#This Row],[1]:[11]])-1)))</f>
        <v/>
      </c>
      <c r="AC16" s="30" t="str" cm="1">
        <f t="array" ref="AC16">IF(Table2[[#This Row],[5]]="","",Table2[[#This Row],[Weight]:[Weight]]-(Table2[[#This Row],[Weight]:[Weight]]*((_xlfn.XMATCH(Table2[[#This Row],[5]],Table2[[#This Row],[1]:[11]],0))-1)/(COUNTA(Table2[[#This Row],[1]:[11]])-COUNTBLANK(Table2[[#This Row],[1]:[11]])-1)))</f>
        <v/>
      </c>
      <c r="AD16" s="30" t="str" cm="1">
        <f t="array" ref="AD16">IF(Table2[[#This Row],[6]]="","",Table2[[#This Row],[Weight]:[Weight]]-(Table2[[#This Row],[Weight]:[Weight]]*((_xlfn.XMATCH(Table2[[#This Row],[6]],Table2[[#This Row],[1]:[11]],0))-1)/(COUNTA(Table2[[#This Row],[1]:[11]])-COUNTBLANK(Table2[[#This Row],[1]:[11]])-1)))</f>
        <v/>
      </c>
      <c r="AE16" s="30" t="str" cm="1">
        <f t="array" ref="AE16">IF(Table2[[#This Row],[7]]="","",Table2[[#This Row],[Weight]:[Weight]]-(Table2[[#This Row],[Weight]:[Weight]]*((_xlfn.XMATCH(Table2[[#This Row],[7]],Table2[[#This Row],[1]:[11]],0))-1)/(COUNTA(Table2[[#This Row],[1]:[11]])-COUNTBLANK(Table2[[#This Row],[1]:[11]])-1)))</f>
        <v/>
      </c>
      <c r="AF16" s="30" t="str" cm="1">
        <f t="array" ref="AF16">IF(Table2[[#This Row],[8]]="","",Table2[[#This Row],[Weight]:[Weight]]-(Table2[[#This Row],[Weight]:[Weight]]*((_xlfn.XMATCH(Table2[[#This Row],[8]],Table2[[#This Row],[1]:[11]],0))-1)/(COUNTA(Table2[[#This Row],[1]:[11]])-COUNTBLANK(Table2[[#This Row],[1]:[11]])-1)))</f>
        <v/>
      </c>
      <c r="AG16" s="41" t="str" cm="1">
        <f t="array" ref="AG16">IF(Table2[[#This Row],[9]]="","",Table2[[#This Row],[Weight]:[Weight]]-(Table2[[#This Row],[Weight]:[Weight]]*((_xlfn.XMATCH(Table2[[#This Row],[9]],Table2[[#This Row],[1]:[11]],0))-1)/(COUNTA(Table2[[#This Row],[1]:[11]])-COUNTBLANK(Table2[[#This Row],[1]:[11]])-1)))</f>
        <v/>
      </c>
      <c r="AH16" s="41" t="str" cm="1">
        <f t="array" ref="AH16">IF(Table2[[#This Row],[10]]="","",Table2[[#This Row],[Weight]:[Weight]]-(Table2[[#This Row],[Weight]:[Weight]]*((_xlfn.XMATCH(Table2[[#This Row],[10]],Table2[[#This Row],[1]:[11]],0))-1)/(COUNTA(Table2[[#This Row],[1]:[11]])-COUNTBLANK(Table2[[#This Row],[1]:[11]])-1)))</f>
        <v/>
      </c>
      <c r="AI16" s="41" t="str" cm="1">
        <f t="array" ref="AI16">IF(Table2[[#This Row],[11]]="","",Table2[[#This Row],[Weight]:[Weight]]-(Table2[[#This Row],[Weight]:[Weight]]*((_xlfn.XMATCH(Table2[[#This Row],[11]],Table2[[#This Row],[1]:[11]],0))-1)/(COUNTA(Table2[[#This Row],[1]:[11]])-COUNTBLANK(Table2[[#This Row],[1]:[11]])-1)))</f>
        <v/>
      </c>
    </row>
    <row r="17" spans="1:35" ht="23" x14ac:dyDescent="0.25">
      <c r="A17" s="21">
        <v>5</v>
      </c>
      <c r="B17" s="191" t="s">
        <v>139</v>
      </c>
      <c r="C17" s="21" t="s">
        <v>134</v>
      </c>
      <c r="D17" s="31"/>
      <c r="E17" s="31"/>
      <c r="F17" s="22" t="s">
        <v>114</v>
      </c>
      <c r="G17" s="23" cm="1">
        <f t="array" ref="G17">_xlfn.IFS(F17="","",F17="No interest",0,F17="Nice to have",1,F17="Useful",2,F17="Important",3,F17="Very important",4,F17="Critical",5,F17="Show stopper",6)</f>
        <v>5</v>
      </c>
      <c r="H17" s="24">
        <f t="shared" si="1"/>
        <v>6.6666666666666666E-2</v>
      </c>
      <c r="I17" s="25" t="s">
        <v>135</v>
      </c>
      <c r="J17" s="25" t="str" cm="1">
        <f t="array" ref="J17">_xlfn.TEXTJOIN(","&amp;CHAR(10),,TEXT(Table2[[#This Row],[12]:[22]],"0.00%"))</f>
        <v>6.67%,
0.00%</v>
      </c>
      <c r="K17" s="26" t="s">
        <v>120</v>
      </c>
      <c r="L17" s="27">
        <f>H17-(H17*((MATCH(Table2[[#This Row],[Evaluators Response (SELECT)]],Table2[[#This Row],[1]:[11]],0)-1)/(COUNTA(Table2[[#This Row],[1]:[11]])-COUNTBLANK(Table2[[#This Row],[1]:[11]])-1)))</f>
        <v>6.6666666666666666E-2</v>
      </c>
      <c r="M17" s="28"/>
      <c r="N17" s="29" t="str" cm="1">
        <f t="array" ref="N17">IFERROR(INDEX(_xlfn.UNIQUE(TRIM(_xlfn.TEXTSPLIT(Table2[[#This Row],[Selection Options]:[Selection Options]],","))),,N$11),"")</f>
        <v>Yes</v>
      </c>
      <c r="O17" s="29" t="str" cm="1">
        <f t="array" ref="O17">IFERROR(INDEX(_xlfn.UNIQUE(TRIM(_xlfn.TEXTSPLIT(Table2[[#This Row],[Selection Options]:[Selection Options]],","))),,O$11),"")</f>
        <v xml:space="preserve">
No</v>
      </c>
      <c r="P17" s="29" t="str" cm="1">
        <f t="array" ref="P17">IFERROR(INDEX(_xlfn.UNIQUE(TRIM(_xlfn.TEXTSPLIT(Table2[[#This Row],[Selection Options]:[Selection Options]],","))),,P$11),"")</f>
        <v/>
      </c>
      <c r="Q17" s="29" t="str" cm="1">
        <f t="array" ref="Q17">IFERROR(INDEX(_xlfn.UNIQUE(TRIM(_xlfn.TEXTSPLIT(Table2[[#This Row],[Selection Options]:[Selection Options]],","))),,Q$11),"")</f>
        <v/>
      </c>
      <c r="R17" s="29" t="str" cm="1">
        <f t="array" ref="R17">IFERROR(INDEX(_xlfn.UNIQUE(TRIM(_xlfn.TEXTSPLIT(Table2[[#This Row],[Selection Options]:[Selection Options]],","))),,R$11),"")</f>
        <v/>
      </c>
      <c r="S17" s="29" t="str" cm="1">
        <f t="array" ref="S17">IFERROR(INDEX(_xlfn.UNIQUE(TRIM(_xlfn.TEXTSPLIT(Table2[[#This Row],[Selection Options]:[Selection Options]],","))),,S$11),"")</f>
        <v/>
      </c>
      <c r="T17" s="29" t="str" cm="1">
        <f t="array" ref="T17">IFERROR(INDEX(_xlfn.UNIQUE(TRIM(_xlfn.TEXTSPLIT(Table2[[#This Row],[Selection Options]:[Selection Options]],","))),,T$11),"")</f>
        <v/>
      </c>
      <c r="U17" s="29" t="str" cm="1">
        <f t="array" ref="U17">IFERROR(INDEX(_xlfn.UNIQUE(TRIM(_xlfn.TEXTSPLIT(Table2[[#This Row],[Selection Options]:[Selection Options]],","))),,U$11),"")</f>
        <v/>
      </c>
      <c r="V17" s="29" t="str" cm="1">
        <f t="array" ref="V17">IFERROR(INDEX(_xlfn.UNIQUE(TRIM(_xlfn.TEXTSPLIT(Table2[[#This Row],[Selection Options]:[Selection Options]],","))),,V$11),"")</f>
        <v/>
      </c>
      <c r="W17" s="29" t="str" cm="1">
        <f t="array" ref="W17">IFERROR(INDEX(_xlfn.UNIQUE(TRIM(_xlfn.TEXTSPLIT(Table2[[#This Row],[Selection Options]:[Selection Options]],","))),,W$11),"")</f>
        <v/>
      </c>
      <c r="X17" s="29" t="str" cm="1">
        <f t="array" ref="X17">IFERROR(INDEX(_xlfn.UNIQUE(TRIM(_xlfn.TEXTSPLIT(Table2[[#This Row],[Selection Options]:[Selection Options]],","))),,X$11),"")</f>
        <v/>
      </c>
      <c r="Y17" s="30" cm="1">
        <f t="array" ref="Y17">IF(Table2[[#This Row],[1]]="","",Table2[[#This Row],[Weight]:[Weight]]-(Table2[[#This Row],[Weight]:[Weight]]*((_xlfn.XMATCH(Table2[[#This Row],[1]],Table2[[#This Row],[1]:[11]],0))-1)/(COUNTA(Table2[[#This Row],[1]:[11]])-COUNTBLANK(Table2[[#This Row],[1]:[11]])-1)))</f>
        <v>6.6666666666666666E-2</v>
      </c>
      <c r="Z17" s="30" cm="1">
        <f t="array" ref="Z17">IF(Table2[[#This Row],[2]]="","",Table2[[#This Row],[Weight]:[Weight]]-(Table2[[#This Row],[Weight]:[Weight]]*((_xlfn.XMATCH(Table2[[#This Row],[2]],Table2[[#This Row],[1]:[11]],0))-1)/(COUNTA(Table2[[#This Row],[1]:[11]])-COUNTBLANK(Table2[[#This Row],[1]:[11]])-1)))</f>
        <v>0</v>
      </c>
      <c r="AA17" s="30" t="str" cm="1">
        <f t="array" ref="AA17">IF(Table2[[#This Row],[3]]="","",Table2[[#This Row],[Weight]:[Weight]]-(Table2[[#This Row],[Weight]:[Weight]]*((_xlfn.XMATCH(Table2[[#This Row],[3]],Table2[[#This Row],[1]:[11]],0))-1)/(COUNTA(Table2[[#This Row],[1]:[11]])-COUNTBLANK(Table2[[#This Row],[1]:[11]])-1)))</f>
        <v/>
      </c>
      <c r="AB17" s="30" t="str" cm="1">
        <f t="array" ref="AB17">IF(Table2[[#This Row],[4]]="","",Table2[[#This Row],[Weight]:[Weight]]-(Table2[[#This Row],[Weight]:[Weight]]*((_xlfn.XMATCH(Table2[[#This Row],[4]],Table2[[#This Row],[1]:[11]],0))-1)/(COUNTA(Table2[[#This Row],[1]:[11]])-COUNTBLANK(Table2[[#This Row],[1]:[11]])-1)))</f>
        <v/>
      </c>
      <c r="AC17" s="30" t="str" cm="1">
        <f t="array" ref="AC17">IF(Table2[[#This Row],[5]]="","",Table2[[#This Row],[Weight]:[Weight]]-(Table2[[#This Row],[Weight]:[Weight]]*((_xlfn.XMATCH(Table2[[#This Row],[5]],Table2[[#This Row],[1]:[11]],0))-1)/(COUNTA(Table2[[#This Row],[1]:[11]])-COUNTBLANK(Table2[[#This Row],[1]:[11]])-1)))</f>
        <v/>
      </c>
      <c r="AD17" s="30" t="str" cm="1">
        <f t="array" ref="AD17">IF(Table2[[#This Row],[6]]="","",Table2[[#This Row],[Weight]:[Weight]]-(Table2[[#This Row],[Weight]:[Weight]]*((_xlfn.XMATCH(Table2[[#This Row],[6]],Table2[[#This Row],[1]:[11]],0))-1)/(COUNTA(Table2[[#This Row],[1]:[11]])-COUNTBLANK(Table2[[#This Row],[1]:[11]])-1)))</f>
        <v/>
      </c>
      <c r="AE17" s="30" t="str" cm="1">
        <f t="array" ref="AE17">IF(Table2[[#This Row],[7]]="","",Table2[[#This Row],[Weight]:[Weight]]-(Table2[[#This Row],[Weight]:[Weight]]*((_xlfn.XMATCH(Table2[[#This Row],[7]],Table2[[#This Row],[1]:[11]],0))-1)/(COUNTA(Table2[[#This Row],[1]:[11]])-COUNTBLANK(Table2[[#This Row],[1]:[11]])-1)))</f>
        <v/>
      </c>
      <c r="AF17" s="30" t="str" cm="1">
        <f t="array" ref="AF17">IF(Table2[[#This Row],[8]]="","",Table2[[#This Row],[Weight]:[Weight]]-(Table2[[#This Row],[Weight]:[Weight]]*((_xlfn.XMATCH(Table2[[#This Row],[8]],Table2[[#This Row],[1]:[11]],0))-1)/(COUNTA(Table2[[#This Row],[1]:[11]])-COUNTBLANK(Table2[[#This Row],[1]:[11]])-1)))</f>
        <v/>
      </c>
      <c r="AG17" s="41" t="str" cm="1">
        <f t="array" ref="AG17">IF(Table2[[#This Row],[9]]="","",Table2[[#This Row],[Weight]:[Weight]]-(Table2[[#This Row],[Weight]:[Weight]]*((_xlfn.XMATCH(Table2[[#This Row],[9]],Table2[[#This Row],[1]:[11]],0))-1)/(COUNTA(Table2[[#This Row],[1]:[11]])-COUNTBLANK(Table2[[#This Row],[1]:[11]])-1)))</f>
        <v/>
      </c>
      <c r="AH17" s="41" t="str" cm="1">
        <f t="array" ref="AH17">IF(Table2[[#This Row],[10]]="","",Table2[[#This Row],[Weight]:[Weight]]-(Table2[[#This Row],[Weight]:[Weight]]*((_xlfn.XMATCH(Table2[[#This Row],[10]],Table2[[#This Row],[1]:[11]],0))-1)/(COUNTA(Table2[[#This Row],[1]:[11]])-COUNTBLANK(Table2[[#This Row],[1]:[11]])-1)))</f>
        <v/>
      </c>
      <c r="AI17" s="41" t="str" cm="1">
        <f t="array" ref="AI17">IF(Table2[[#This Row],[11]]="","",Table2[[#This Row],[Weight]:[Weight]]-(Table2[[#This Row],[Weight]:[Weight]]*((_xlfn.XMATCH(Table2[[#This Row],[11]],Table2[[#This Row],[1]:[11]],0))-1)/(COUNTA(Table2[[#This Row],[1]:[11]])-COUNTBLANK(Table2[[#This Row],[1]:[11]])-1)))</f>
        <v/>
      </c>
    </row>
    <row r="18" spans="1:35" ht="23" x14ac:dyDescent="0.25">
      <c r="A18" s="21">
        <v>6</v>
      </c>
      <c r="B18" s="21" t="s">
        <v>140</v>
      </c>
      <c r="C18" s="21" t="s">
        <v>134</v>
      </c>
      <c r="D18" s="31"/>
      <c r="E18" s="31"/>
      <c r="F18" s="22" t="s">
        <v>114</v>
      </c>
      <c r="G18" s="23" cm="1">
        <f t="array" ref="G18">_xlfn.IFS(F18="","",F18="No interest",0,F18="Nice to have",1,F18="Useful",2,F18="Important",3,F18="Very important",4,F18="Critical",5,F18="Show stopper",6)</f>
        <v>5</v>
      </c>
      <c r="H18" s="24">
        <f t="shared" si="1"/>
        <v>6.6666666666666666E-2</v>
      </c>
      <c r="I18" s="25" t="s">
        <v>135</v>
      </c>
      <c r="J18" s="25" t="str" cm="1">
        <f t="array" ref="J18">_xlfn.TEXTJOIN(","&amp;CHAR(10),,TEXT(Table2[[#This Row],[12]:[22]],"0.00%"))</f>
        <v>6.67%,
0.00%</v>
      </c>
      <c r="K18" s="26" t="s">
        <v>120</v>
      </c>
      <c r="L18" s="27">
        <f>H18-(H18*((MATCH(Table2[[#This Row],[Evaluators Response (SELECT)]],Table2[[#This Row],[1]:[11]],0)-1)/(COUNTA(Table2[[#This Row],[1]:[11]])-COUNTBLANK(Table2[[#This Row],[1]:[11]])-1)))</f>
        <v>6.6666666666666666E-2</v>
      </c>
      <c r="M18" s="28"/>
      <c r="N18" s="29" t="str" cm="1">
        <f t="array" ref="N18">IFERROR(INDEX(_xlfn.UNIQUE(TRIM(_xlfn.TEXTSPLIT(Table2[[#This Row],[Selection Options]:[Selection Options]],","))),,N$11),"")</f>
        <v>Yes</v>
      </c>
      <c r="O18" s="29" t="str" cm="1">
        <f t="array" ref="O18">IFERROR(INDEX(_xlfn.UNIQUE(TRIM(_xlfn.TEXTSPLIT(Table2[[#This Row],[Selection Options]:[Selection Options]],","))),,O$11),"")</f>
        <v xml:space="preserve">
No</v>
      </c>
      <c r="P18" s="29" t="str" cm="1">
        <f t="array" ref="P18">IFERROR(INDEX(_xlfn.UNIQUE(TRIM(_xlfn.TEXTSPLIT(Table2[[#This Row],[Selection Options]:[Selection Options]],","))),,P$11),"")</f>
        <v/>
      </c>
      <c r="Q18" s="29" t="str" cm="1">
        <f t="array" ref="Q18">IFERROR(INDEX(_xlfn.UNIQUE(TRIM(_xlfn.TEXTSPLIT(Table2[[#This Row],[Selection Options]:[Selection Options]],","))),,Q$11),"")</f>
        <v/>
      </c>
      <c r="R18" s="29" t="str" cm="1">
        <f t="array" ref="R18">IFERROR(INDEX(_xlfn.UNIQUE(TRIM(_xlfn.TEXTSPLIT(Table2[[#This Row],[Selection Options]:[Selection Options]],","))),,R$11),"")</f>
        <v/>
      </c>
      <c r="S18" s="29" t="str" cm="1">
        <f t="array" ref="S18">IFERROR(INDEX(_xlfn.UNIQUE(TRIM(_xlfn.TEXTSPLIT(Table2[[#This Row],[Selection Options]:[Selection Options]],","))),,S$11),"")</f>
        <v/>
      </c>
      <c r="T18" s="29" t="str" cm="1">
        <f t="array" ref="T18">IFERROR(INDEX(_xlfn.UNIQUE(TRIM(_xlfn.TEXTSPLIT(Table2[[#This Row],[Selection Options]:[Selection Options]],","))),,T$11),"")</f>
        <v/>
      </c>
      <c r="U18" s="29" t="str" cm="1">
        <f t="array" ref="U18">IFERROR(INDEX(_xlfn.UNIQUE(TRIM(_xlfn.TEXTSPLIT(Table2[[#This Row],[Selection Options]:[Selection Options]],","))),,U$11),"")</f>
        <v/>
      </c>
      <c r="V18" s="29" t="str" cm="1">
        <f t="array" ref="V18">IFERROR(INDEX(_xlfn.UNIQUE(TRIM(_xlfn.TEXTSPLIT(Table2[[#This Row],[Selection Options]:[Selection Options]],","))),,V$11),"")</f>
        <v/>
      </c>
      <c r="W18" s="29" t="str" cm="1">
        <f t="array" ref="W18">IFERROR(INDEX(_xlfn.UNIQUE(TRIM(_xlfn.TEXTSPLIT(Table2[[#This Row],[Selection Options]:[Selection Options]],","))),,W$11),"")</f>
        <v/>
      </c>
      <c r="X18" s="29" t="str" cm="1">
        <f t="array" ref="X18">IFERROR(INDEX(_xlfn.UNIQUE(TRIM(_xlfn.TEXTSPLIT(Table2[[#This Row],[Selection Options]:[Selection Options]],","))),,X$11),"")</f>
        <v/>
      </c>
      <c r="Y18" s="30" cm="1">
        <f t="array" ref="Y18">IF(Table2[[#This Row],[1]]="","",Table2[[#This Row],[Weight]:[Weight]]-(Table2[[#This Row],[Weight]:[Weight]]*((_xlfn.XMATCH(Table2[[#This Row],[1]],Table2[[#This Row],[1]:[11]],0))-1)/(COUNTA(Table2[[#This Row],[1]:[11]])-COUNTBLANK(Table2[[#This Row],[1]:[11]])-1)))</f>
        <v>6.6666666666666666E-2</v>
      </c>
      <c r="Z18" s="30" cm="1">
        <f t="array" ref="Z18">IF(Table2[[#This Row],[2]]="","",Table2[[#This Row],[Weight]:[Weight]]-(Table2[[#This Row],[Weight]:[Weight]]*((_xlfn.XMATCH(Table2[[#This Row],[2]],Table2[[#This Row],[1]:[11]],0))-1)/(COUNTA(Table2[[#This Row],[1]:[11]])-COUNTBLANK(Table2[[#This Row],[1]:[11]])-1)))</f>
        <v>0</v>
      </c>
      <c r="AA18" s="30" t="str" cm="1">
        <f t="array" ref="AA18">IF(Table2[[#This Row],[3]]="","",Table2[[#This Row],[Weight]:[Weight]]-(Table2[[#This Row],[Weight]:[Weight]]*((_xlfn.XMATCH(Table2[[#This Row],[3]],Table2[[#This Row],[1]:[11]],0))-1)/(COUNTA(Table2[[#This Row],[1]:[11]])-COUNTBLANK(Table2[[#This Row],[1]:[11]])-1)))</f>
        <v/>
      </c>
      <c r="AB18" s="30" t="str" cm="1">
        <f t="array" ref="AB18">IF(Table2[[#This Row],[4]]="","",Table2[[#This Row],[Weight]:[Weight]]-(Table2[[#This Row],[Weight]:[Weight]]*((_xlfn.XMATCH(Table2[[#This Row],[4]],Table2[[#This Row],[1]:[11]],0))-1)/(COUNTA(Table2[[#This Row],[1]:[11]])-COUNTBLANK(Table2[[#This Row],[1]:[11]])-1)))</f>
        <v/>
      </c>
      <c r="AC18" s="30" t="str" cm="1">
        <f t="array" ref="AC18">IF(Table2[[#This Row],[5]]="","",Table2[[#This Row],[Weight]:[Weight]]-(Table2[[#This Row],[Weight]:[Weight]]*((_xlfn.XMATCH(Table2[[#This Row],[5]],Table2[[#This Row],[1]:[11]],0))-1)/(COUNTA(Table2[[#This Row],[1]:[11]])-COUNTBLANK(Table2[[#This Row],[1]:[11]])-1)))</f>
        <v/>
      </c>
      <c r="AD18" s="30" t="str" cm="1">
        <f t="array" ref="AD18">IF(Table2[[#This Row],[6]]="","",Table2[[#This Row],[Weight]:[Weight]]-(Table2[[#This Row],[Weight]:[Weight]]*((_xlfn.XMATCH(Table2[[#This Row],[6]],Table2[[#This Row],[1]:[11]],0))-1)/(COUNTA(Table2[[#This Row],[1]:[11]])-COUNTBLANK(Table2[[#This Row],[1]:[11]])-1)))</f>
        <v/>
      </c>
      <c r="AE18" s="30" t="str" cm="1">
        <f t="array" ref="AE18">IF(Table2[[#This Row],[7]]="","",Table2[[#This Row],[Weight]:[Weight]]-(Table2[[#This Row],[Weight]:[Weight]]*((_xlfn.XMATCH(Table2[[#This Row],[7]],Table2[[#This Row],[1]:[11]],0))-1)/(COUNTA(Table2[[#This Row],[1]:[11]])-COUNTBLANK(Table2[[#This Row],[1]:[11]])-1)))</f>
        <v/>
      </c>
      <c r="AF18" s="30" t="str" cm="1">
        <f t="array" ref="AF18">IF(Table2[[#This Row],[8]]="","",Table2[[#This Row],[Weight]:[Weight]]-(Table2[[#This Row],[Weight]:[Weight]]*((_xlfn.XMATCH(Table2[[#This Row],[8]],Table2[[#This Row],[1]:[11]],0))-1)/(COUNTA(Table2[[#This Row],[1]:[11]])-COUNTBLANK(Table2[[#This Row],[1]:[11]])-1)))</f>
        <v/>
      </c>
      <c r="AG18" s="41" t="str" cm="1">
        <f t="array" ref="AG18">IF(Table2[[#This Row],[9]]="","",Table2[[#This Row],[Weight]:[Weight]]-(Table2[[#This Row],[Weight]:[Weight]]*((_xlfn.XMATCH(Table2[[#This Row],[9]],Table2[[#This Row],[1]:[11]],0))-1)/(COUNTA(Table2[[#This Row],[1]:[11]])-COUNTBLANK(Table2[[#This Row],[1]:[11]])-1)))</f>
        <v/>
      </c>
      <c r="AH18" s="41" t="str" cm="1">
        <f t="array" ref="AH18">IF(Table2[[#This Row],[10]]="","",Table2[[#This Row],[Weight]:[Weight]]-(Table2[[#This Row],[Weight]:[Weight]]*((_xlfn.XMATCH(Table2[[#This Row],[10]],Table2[[#This Row],[1]:[11]],0))-1)/(COUNTA(Table2[[#This Row],[1]:[11]])-COUNTBLANK(Table2[[#This Row],[1]:[11]])-1)))</f>
        <v/>
      </c>
      <c r="AI18" s="41" t="str" cm="1">
        <f t="array" ref="AI18">IF(Table2[[#This Row],[11]]="","",Table2[[#This Row],[Weight]:[Weight]]-(Table2[[#This Row],[Weight]:[Weight]]*((_xlfn.XMATCH(Table2[[#This Row],[11]],Table2[[#This Row],[1]:[11]],0))-1)/(COUNTA(Table2[[#This Row],[1]:[11]])-COUNTBLANK(Table2[[#This Row],[1]:[11]])-1)))</f>
        <v/>
      </c>
    </row>
  </sheetData>
  <sheetProtection insertRows="0" insertHyperlinks="0" deleteRows="0" autoFilter="0"/>
  <mergeCells count="4">
    <mergeCell ref="B10:C11"/>
    <mergeCell ref="D10:E11"/>
    <mergeCell ref="A10:A11"/>
    <mergeCell ref="E2:F3"/>
  </mergeCells>
  <phoneticPr fontId="4" type="noConversion"/>
  <conditionalFormatting sqref="K13:K18">
    <cfRule type="expression" dxfId="5" priority="1">
      <formula>COUNTIF(N13:X13,K13)&lt;&gt;1</formula>
    </cfRule>
  </conditionalFormatting>
  <dataValidations count="3">
    <dataValidation type="list" allowBlank="1" showInputMessage="1" showErrorMessage="1" sqref="F13:F18" xr:uid="{EE004A32-0050-4973-9662-15E4DA79094A}">
      <formula1>"No interest,Nice to have,Useful,Important,Very important,Critical,Show stopper"</formula1>
    </dataValidation>
    <dataValidation type="list" allowBlank="1" showInputMessage="1" showErrorMessage="1" sqref="H13:H18" xr:uid="{815A968B-A43A-460E-B8B1-C5E924AF3C02}">
      <formula1>N13:R13</formula1>
    </dataValidation>
    <dataValidation type="list" allowBlank="1" showInputMessage="1" showErrorMessage="1" sqref="K13:K18" xr:uid="{5A7D0A06-D91B-4C27-B743-41B5ED35C67E}">
      <formula1>$N13:$X13</formula1>
    </dataValidation>
  </dataValidations>
  <pageMargins left="0.7" right="0.7" top="0.75" bottom="0.75" header="0.3" footer="0.3"/>
  <pageSetup paperSize="9" scale="53" fitToHeight="0"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76A2-D97B-45A1-9659-D9B992DBB03E}">
  <sheetPr>
    <tabColor rgb="FF00B050"/>
    <pageSetUpPr fitToPage="1"/>
  </sheetPr>
  <dimension ref="A2:AI21"/>
  <sheetViews>
    <sheetView zoomScale="110" zoomScaleNormal="110" workbookViewId="0">
      <pane xSplit="1" ySplit="11" topLeftCell="B20" activePane="bottomRight" state="frozen"/>
      <selection pane="topRight" activeCell="B1" sqref="B1"/>
      <selection pane="bottomLeft" activeCell="A4" sqref="A4"/>
      <selection pane="bottomRight" activeCell="B10" sqref="B10:C21"/>
    </sheetView>
  </sheetViews>
  <sheetFormatPr defaultColWidth="5.54296875" defaultRowHeight="11.5" x14ac:dyDescent="0.25"/>
  <cols>
    <col min="1" max="1" width="3" style="6" bestFit="1" customWidth="1"/>
    <col min="2" max="2" width="38.54296875" style="6" customWidth="1"/>
    <col min="3" max="3" width="38.81640625" style="6" customWidth="1"/>
    <col min="4" max="4" width="28.54296875" style="6" bestFit="1" customWidth="1"/>
    <col min="5" max="5" width="31.26953125" style="6" bestFit="1" customWidth="1"/>
    <col min="6" max="6" width="18.54296875" style="6" bestFit="1" customWidth="1"/>
    <col min="7" max="7" width="11.26953125" style="6" bestFit="1" customWidth="1"/>
    <col min="8" max="8" width="13.7265625" style="6" bestFit="1" customWidth="1"/>
    <col min="9" max="9" width="19.453125" style="6" bestFit="1" customWidth="1"/>
    <col min="10" max="10" width="8" style="6" customWidth="1"/>
    <col min="11" max="11" width="15.81640625" style="6" customWidth="1"/>
    <col min="12" max="12" width="7.81640625" style="45" bestFit="1" customWidth="1"/>
    <col min="13" max="13" width="19.7265625" style="6" bestFit="1" customWidth="1"/>
    <col min="14" max="14" width="6.54296875" style="46" hidden="1" customWidth="1"/>
    <col min="15" max="24" width="6.453125" style="46" hidden="1" customWidth="1"/>
    <col min="25" max="25" width="8" style="6" hidden="1" customWidth="1"/>
    <col min="26" max="26" width="5.54296875" style="6" hidden="1" customWidth="1"/>
    <col min="27" max="32" width="6.1796875" style="6" hidden="1" customWidth="1"/>
    <col min="33" max="35" width="5.54296875" style="6" hidden="1" customWidth="1"/>
    <col min="36" max="16384" width="5.54296875" style="6"/>
  </cols>
  <sheetData>
    <row r="2" spans="1:35" ht="14" x14ac:dyDescent="0.3">
      <c r="B2" s="90" t="s">
        <v>82</v>
      </c>
      <c r="C2" s="91" t="s">
        <v>83</v>
      </c>
      <c r="E2" s="221" t="s">
        <v>141</v>
      </c>
      <c r="F2" s="222"/>
    </row>
    <row r="3" spans="1:35" ht="15.75" customHeight="1" x14ac:dyDescent="0.25">
      <c r="B3" s="90" t="s">
        <v>84</v>
      </c>
      <c r="C3" s="173" t="str">
        <f>+'Scoring Summary'!C3</f>
        <v>Enterprise Historian</v>
      </c>
      <c r="E3" s="223"/>
      <c r="F3" s="224"/>
    </row>
    <row r="4" spans="1:35" ht="15" customHeight="1" x14ac:dyDescent="0.35">
      <c r="B4" s="90" t="s">
        <v>86</v>
      </c>
      <c r="C4" s="93" t="s">
        <v>87</v>
      </c>
      <c r="D4" s="55"/>
      <c r="E4" s="163" t="s">
        <v>73</v>
      </c>
      <c r="F4" s="169"/>
    </row>
    <row r="5" spans="1:35" ht="15.5" x14ac:dyDescent="0.35">
      <c r="B5" s="90" t="s">
        <v>88</v>
      </c>
      <c r="C5" s="93" t="s">
        <v>87</v>
      </c>
      <c r="D5" s="55"/>
      <c r="E5" s="165"/>
      <c r="F5" s="168"/>
    </row>
    <row r="6" spans="1:35" ht="15.5" x14ac:dyDescent="0.35">
      <c r="B6" s="90" t="s">
        <v>90</v>
      </c>
      <c r="C6" s="93" t="s">
        <v>87</v>
      </c>
      <c r="D6" s="55"/>
      <c r="E6" s="55"/>
    </row>
    <row r="7" spans="1:35" ht="42.75" customHeight="1" x14ac:dyDescent="0.35">
      <c r="B7" s="90" t="s">
        <v>91</v>
      </c>
      <c r="C7" s="93"/>
      <c r="D7" s="57"/>
      <c r="E7" s="55"/>
    </row>
    <row r="10" spans="1:35" ht="15" customHeight="1" x14ac:dyDescent="0.25">
      <c r="A10" s="199"/>
      <c r="B10" s="201" t="s">
        <v>14</v>
      </c>
      <c r="C10" s="201"/>
      <c r="D10" s="203" t="s">
        <v>15</v>
      </c>
      <c r="E10" s="204"/>
      <c r="F10" s="1" t="s">
        <v>16</v>
      </c>
      <c r="G10" s="2"/>
      <c r="H10" s="3"/>
      <c r="I10" s="3"/>
      <c r="J10" s="3"/>
      <c r="K10" s="3"/>
      <c r="L10" s="4"/>
      <c r="M10" s="5"/>
      <c r="N10" s="4"/>
      <c r="O10" s="4"/>
      <c r="P10" s="4"/>
      <c r="Q10" s="4"/>
      <c r="R10" s="4"/>
      <c r="S10" s="4"/>
      <c r="T10" s="4"/>
      <c r="U10" s="4"/>
      <c r="V10" s="4"/>
      <c r="W10" s="4"/>
      <c r="X10" s="4"/>
      <c r="Y10" s="4"/>
      <c r="Z10" s="4"/>
      <c r="AA10" s="4"/>
      <c r="AB10" s="4"/>
      <c r="AC10" s="4"/>
      <c r="AD10" s="4"/>
      <c r="AE10" s="4"/>
      <c r="AF10" s="4"/>
      <c r="AG10" s="4"/>
      <c r="AH10" s="4"/>
      <c r="AI10" s="4"/>
    </row>
    <row r="11" spans="1:35" x14ac:dyDescent="0.25">
      <c r="A11" s="200"/>
      <c r="B11" s="202"/>
      <c r="C11" s="202"/>
      <c r="D11" s="205"/>
      <c r="E11" s="205"/>
      <c r="F11" s="170">
        <f>'Scoring Summary'!C16</f>
        <v>0.15</v>
      </c>
      <c r="G11" s="48">
        <f>SUM(Table26[Priority])</f>
        <v>45</v>
      </c>
      <c r="H11" s="8">
        <f>SUM(Table26[Weight])</f>
        <v>0.15</v>
      </c>
      <c r="I11" s="7"/>
      <c r="J11" s="7"/>
      <c r="K11" s="9" t="s">
        <v>17</v>
      </c>
      <c r="L11" s="8">
        <f>SUM(Table26[Score])</f>
        <v>0.15</v>
      </c>
      <c r="M11" s="7"/>
      <c r="N11" s="10">
        <v>1</v>
      </c>
      <c r="O11" s="10">
        <v>2</v>
      </c>
      <c r="P11" s="10">
        <v>3</v>
      </c>
      <c r="Q11" s="10">
        <v>4</v>
      </c>
      <c r="R11" s="10">
        <v>5</v>
      </c>
      <c r="S11" s="10">
        <v>6</v>
      </c>
      <c r="T11" s="10">
        <v>7</v>
      </c>
      <c r="U11" s="10">
        <v>8</v>
      </c>
      <c r="V11" s="10">
        <v>9</v>
      </c>
      <c r="W11" s="10">
        <v>10</v>
      </c>
      <c r="X11" s="10">
        <v>11</v>
      </c>
      <c r="Y11" s="10">
        <v>12</v>
      </c>
      <c r="Z11" s="10">
        <v>13</v>
      </c>
      <c r="AA11" s="10">
        <v>14</v>
      </c>
      <c r="AB11" s="10">
        <v>15</v>
      </c>
      <c r="AC11" s="10">
        <v>16</v>
      </c>
      <c r="AD11" s="10">
        <v>17</v>
      </c>
      <c r="AE11" s="10">
        <v>18</v>
      </c>
      <c r="AF11" s="10">
        <v>19</v>
      </c>
      <c r="AG11" s="10">
        <v>20</v>
      </c>
      <c r="AH11" s="10">
        <v>21</v>
      </c>
      <c r="AI11" s="10">
        <v>22</v>
      </c>
    </row>
    <row r="12" spans="1:35" ht="46" x14ac:dyDescent="0.25">
      <c r="A12" s="11" t="s">
        <v>18</v>
      </c>
      <c r="B12" s="12" t="s">
        <v>19</v>
      </c>
      <c r="C12" s="13" t="s">
        <v>20</v>
      </c>
      <c r="D12" s="14" t="s">
        <v>21</v>
      </c>
      <c r="E12" s="14" t="s">
        <v>22</v>
      </c>
      <c r="F12" s="15" t="s">
        <v>23</v>
      </c>
      <c r="G12" s="16" t="s">
        <v>24</v>
      </c>
      <c r="H12" s="16" t="s">
        <v>25</v>
      </c>
      <c r="I12" s="15" t="s">
        <v>132</v>
      </c>
      <c r="J12" s="16" t="s">
        <v>27</v>
      </c>
      <c r="K12" s="15" t="s">
        <v>28</v>
      </c>
      <c r="L12" s="17" t="s">
        <v>29</v>
      </c>
      <c r="M12" s="15" t="s">
        <v>30</v>
      </c>
      <c r="N12" s="18" t="s">
        <v>31</v>
      </c>
      <c r="O12" s="18" t="s">
        <v>32</v>
      </c>
      <c r="P12" s="18" t="s">
        <v>33</v>
      </c>
      <c r="Q12" s="18" t="s">
        <v>34</v>
      </c>
      <c r="R12" s="18" t="s">
        <v>35</v>
      </c>
      <c r="S12" s="18" t="s">
        <v>36</v>
      </c>
      <c r="T12" s="18" t="s">
        <v>37</v>
      </c>
      <c r="U12" s="18" t="s">
        <v>38</v>
      </c>
      <c r="V12" s="18" t="s">
        <v>39</v>
      </c>
      <c r="W12" s="18" t="s">
        <v>40</v>
      </c>
      <c r="X12" s="18" t="s">
        <v>41</v>
      </c>
      <c r="Y12" s="19" t="s">
        <v>42</v>
      </c>
      <c r="Z12" s="19" t="s">
        <v>43</v>
      </c>
      <c r="AA12" s="19" t="s">
        <v>44</v>
      </c>
      <c r="AB12" s="19" t="s">
        <v>45</v>
      </c>
      <c r="AC12" s="19" t="s">
        <v>46</v>
      </c>
      <c r="AD12" s="19" t="s">
        <v>47</v>
      </c>
      <c r="AE12" s="19" t="s">
        <v>48</v>
      </c>
      <c r="AF12" s="19" t="s">
        <v>49</v>
      </c>
      <c r="AG12" s="19" t="s">
        <v>50</v>
      </c>
      <c r="AH12" s="19" t="s">
        <v>51</v>
      </c>
      <c r="AI12" s="19" t="s">
        <v>52</v>
      </c>
    </row>
    <row r="13" spans="1:35" ht="23" x14ac:dyDescent="0.25">
      <c r="A13" s="20">
        <v>1</v>
      </c>
      <c r="B13" s="21" t="s">
        <v>142</v>
      </c>
      <c r="C13" s="21" t="s">
        <v>134</v>
      </c>
      <c r="D13" s="21"/>
      <c r="E13" s="21"/>
      <c r="F13" s="22" t="s">
        <v>114</v>
      </c>
      <c r="G13" s="23" cm="1">
        <f t="array" ref="G13">_xlfn.IFS(F13="","",F13="No interest",0,F13="Nice to have",1,F13="Useful",2,F13="Important",3,F13="Very important",4,F13="Critical",5,F13="Show stopper",6)</f>
        <v>5</v>
      </c>
      <c r="H13" s="24">
        <f t="shared" ref="H13:H15" si="0">(G13/$G$11)*$F$11</f>
        <v>1.6666666666666666E-2</v>
      </c>
      <c r="I13" s="25" t="s">
        <v>135</v>
      </c>
      <c r="J13" s="25" t="str" cm="1">
        <f t="array" ref="J13">_xlfn.TEXTJOIN(","&amp;CHAR(10),,TEXT(Table26[[#This Row],[12]:[22]],"0.00%"))</f>
        <v>1.67%,
0.00%</v>
      </c>
      <c r="K13" s="26" t="s">
        <v>120</v>
      </c>
      <c r="L13" s="27">
        <f>H13-(H13*((MATCH(Table26[[#This Row],[Evaluators Response (SELECT)]],Table26[[#This Row],[1]:[11]],0)-1)/(COUNTA(Table26[[#This Row],[1]:[11]])-COUNTBLANK(Table26[[#This Row],[1]:[11]])-1)))</f>
        <v>1.6666666666666666E-2</v>
      </c>
      <c r="M13" s="28"/>
      <c r="N13" s="29" t="str" cm="1">
        <f t="array" ref="N13">IFERROR(INDEX(_xlfn.UNIQUE(TRIM(_xlfn.TEXTSPLIT(Table26[[#This Row],[Selection Options]:[Selection Options]],","))),,N$11),"")</f>
        <v>Yes</v>
      </c>
      <c r="O13" s="29" t="str" cm="1">
        <f t="array" ref="O13">IFERROR(INDEX(_xlfn.UNIQUE(TRIM(_xlfn.TEXTSPLIT(Table26[[#This Row],[Selection Options]:[Selection Options]],","))),,O$11),"")</f>
        <v xml:space="preserve">
No</v>
      </c>
      <c r="P13" s="29" t="str" cm="1">
        <f t="array" ref="P13">IFERROR(INDEX(_xlfn.UNIQUE(TRIM(_xlfn.TEXTSPLIT(Table26[[#This Row],[Selection Options]:[Selection Options]],","))),,P$11),"")</f>
        <v/>
      </c>
      <c r="Q13" s="29" t="str" cm="1">
        <f t="array" ref="Q13">IFERROR(INDEX(_xlfn.UNIQUE(TRIM(_xlfn.TEXTSPLIT(Table26[[#This Row],[Selection Options]:[Selection Options]],","))),,Q$11),"")</f>
        <v/>
      </c>
      <c r="R13" s="29" t="str" cm="1">
        <f t="array" ref="R13">IFERROR(INDEX(_xlfn.UNIQUE(TRIM(_xlfn.TEXTSPLIT(Table26[[#This Row],[Selection Options]:[Selection Options]],","))),,R$11),"")</f>
        <v/>
      </c>
      <c r="S13" s="29" t="str" cm="1">
        <f t="array" ref="S13">IFERROR(INDEX(_xlfn.UNIQUE(TRIM(_xlfn.TEXTSPLIT(Table26[[#This Row],[Selection Options]:[Selection Options]],","))),,S$11),"")</f>
        <v/>
      </c>
      <c r="T13" s="29" t="str" cm="1">
        <f t="array" ref="T13">IFERROR(INDEX(_xlfn.UNIQUE(TRIM(_xlfn.TEXTSPLIT(Table26[[#This Row],[Selection Options]:[Selection Options]],","))),,T$11),"")</f>
        <v/>
      </c>
      <c r="U13" s="29" t="str" cm="1">
        <f t="array" ref="U13">IFERROR(INDEX(_xlfn.UNIQUE(TRIM(_xlfn.TEXTSPLIT(Table26[[#This Row],[Selection Options]:[Selection Options]],","))),,U$11),"")</f>
        <v/>
      </c>
      <c r="V13" s="29" t="str" cm="1">
        <f t="array" ref="V13">IFERROR(INDEX(_xlfn.UNIQUE(TRIM(_xlfn.TEXTSPLIT(Table26[[#This Row],[Selection Options]:[Selection Options]],","))),,V$11),"")</f>
        <v/>
      </c>
      <c r="W13" s="29" t="str" cm="1">
        <f t="array" ref="W13">IFERROR(INDEX(_xlfn.UNIQUE(TRIM(_xlfn.TEXTSPLIT(Table26[[#This Row],[Selection Options]:[Selection Options]],","))),,W$11),"")</f>
        <v/>
      </c>
      <c r="X13" s="29" t="str" cm="1">
        <f t="array" ref="X13">IFERROR(INDEX(_xlfn.UNIQUE(TRIM(_xlfn.TEXTSPLIT(Table26[[#This Row],[Selection Options]:[Selection Options]],","))),,X$11),"")</f>
        <v/>
      </c>
      <c r="Y13" s="30" cm="1">
        <f t="array" ref="Y13">IF(Table26[[#This Row],[1]]="","",Table26[[#This Row],[Weight]:[Weight]]-(Table26[[#This Row],[Weight]:[Weight]]*((_xlfn.XMATCH(Table26[[#This Row],[1]],Table26[[#This Row],[1]:[11]],0))-1)/(COUNTA(Table26[[#This Row],[1]:[11]])-COUNTBLANK(Table26[[#This Row],[1]:[11]])-1)))</f>
        <v>1.6666666666666666E-2</v>
      </c>
      <c r="Z13" s="30" cm="1">
        <f t="array" ref="Z13">IF(Table26[[#This Row],[2]]="","",Table26[[#This Row],[Weight]:[Weight]]-(Table26[[#This Row],[Weight]:[Weight]]*((_xlfn.XMATCH(Table26[[#This Row],[2]],Table26[[#This Row],[1]:[11]],0))-1)/(COUNTA(Table26[[#This Row],[1]:[11]])-COUNTBLANK(Table26[[#This Row],[1]:[11]])-1)))</f>
        <v>0</v>
      </c>
      <c r="AA13" s="30" t="str" cm="1">
        <f t="array" ref="AA13">IF(Table26[[#This Row],[3]]="","",Table26[[#This Row],[Weight]:[Weight]]-(Table26[[#This Row],[Weight]:[Weight]]*((_xlfn.XMATCH(Table26[[#This Row],[3]],Table26[[#This Row],[1]:[11]],0))-1)/(COUNTA(Table26[[#This Row],[1]:[11]])-COUNTBLANK(Table26[[#This Row],[1]:[11]])-1)))</f>
        <v/>
      </c>
      <c r="AB13" s="30" t="str" cm="1">
        <f t="array" ref="AB13">IF(Table26[[#This Row],[4]]="","",Table26[[#This Row],[Weight]:[Weight]]-(Table26[[#This Row],[Weight]:[Weight]]*((_xlfn.XMATCH(Table26[[#This Row],[4]],Table26[[#This Row],[1]:[11]],0))-1)/(COUNTA(Table26[[#This Row],[1]:[11]])-COUNTBLANK(Table26[[#This Row],[1]:[11]])-1)))</f>
        <v/>
      </c>
      <c r="AC13" s="30" t="str" cm="1">
        <f t="array" ref="AC13">IF(Table26[[#This Row],[5]]="","",Table26[[#This Row],[Weight]:[Weight]]-(Table26[[#This Row],[Weight]:[Weight]]*((_xlfn.XMATCH(Table26[[#This Row],[5]],Table26[[#This Row],[1]:[11]],0))-1)/(COUNTA(Table26[[#This Row],[1]:[11]])-COUNTBLANK(Table26[[#This Row],[1]:[11]])-1)))</f>
        <v/>
      </c>
      <c r="AD13" s="30" t="str" cm="1">
        <f t="array" ref="AD13">IF(Table26[[#This Row],[6]]="","",Table26[[#This Row],[Weight]:[Weight]]-(Table26[[#This Row],[Weight]:[Weight]]*((_xlfn.XMATCH(Table26[[#This Row],[6]],Table26[[#This Row],[1]:[11]],0))-1)/(COUNTA(Table26[[#This Row],[1]:[11]])-COUNTBLANK(Table26[[#This Row],[1]:[11]])-1)))</f>
        <v/>
      </c>
      <c r="AE13" s="30" t="str" cm="1">
        <f t="array" ref="AE13">IF(Table26[[#This Row],[7]]="","",Table26[[#This Row],[Weight]:[Weight]]-(Table26[[#This Row],[Weight]:[Weight]]*((_xlfn.XMATCH(Table26[[#This Row],[7]],Table26[[#This Row],[1]:[11]],0))-1)/(COUNTA(Table26[[#This Row],[1]:[11]])-COUNTBLANK(Table26[[#This Row],[1]:[11]])-1)))</f>
        <v/>
      </c>
      <c r="AF13" s="30" t="str" cm="1">
        <f t="array" ref="AF13">IF(Table26[[#This Row],[8]]="","",Table26[[#This Row],[Weight]:[Weight]]-(Table26[[#This Row],[Weight]:[Weight]]*((_xlfn.XMATCH(Table26[[#This Row],[8]],Table26[[#This Row],[1]:[11]],0))-1)/(COUNTA(Table26[[#This Row],[1]:[11]])-COUNTBLANK(Table26[[#This Row],[1]:[11]])-1)))</f>
        <v/>
      </c>
      <c r="AG13" s="30" t="str" cm="1">
        <f t="array" ref="AG13">IF(Table26[[#This Row],[9]]="","",Table26[[#This Row],[Weight]:[Weight]]-(Table26[[#This Row],[Weight]:[Weight]]*((_xlfn.XMATCH(Table26[[#This Row],[9]],Table26[[#This Row],[1]:[11]],0))-1)/(COUNTA(Table26[[#This Row],[1]:[11]])-COUNTBLANK(Table26[[#This Row],[1]:[11]])-1)))</f>
        <v/>
      </c>
      <c r="AH13" s="30" t="str" cm="1">
        <f t="array" ref="AH13">IF(Table26[[#This Row],[10]]="","",Table26[[#This Row],[Weight]:[Weight]]-(Table26[[#This Row],[Weight]:[Weight]]*((_xlfn.XMATCH(Table26[[#This Row],[10]],Table26[[#This Row],[1]:[11]],0))-1)/(COUNTA(Table26[[#This Row],[1]:[11]])-COUNTBLANK(Table26[[#This Row],[1]:[11]])-1)))</f>
        <v/>
      </c>
      <c r="AI13" s="30" t="str" cm="1">
        <f t="array" ref="AI13">IF(Table26[[#This Row],[11]]="","",Table26[[#This Row],[Weight]:[Weight]]-(Table26[[#This Row],[Weight]:[Weight]]*((_xlfn.XMATCH(Table26[[#This Row],[11]],Table26[[#This Row],[1]:[11]],0))-1)/(COUNTA(Table26[[#This Row],[1]:[11]])-COUNTBLANK(Table26[[#This Row],[1]:[11]])-1)))</f>
        <v/>
      </c>
    </row>
    <row r="14" spans="1:35" ht="46" x14ac:dyDescent="0.25">
      <c r="A14" s="20">
        <v>2</v>
      </c>
      <c r="B14" s="21" t="s">
        <v>245</v>
      </c>
      <c r="C14" s="21" t="s">
        <v>134</v>
      </c>
      <c r="D14" s="31"/>
      <c r="E14" s="31"/>
      <c r="F14" s="22" t="s">
        <v>114</v>
      </c>
      <c r="G14" s="23" cm="1">
        <f t="array" ref="G14">_xlfn.IFS(F14="","",F14="No interest",0,F14="Nice to have",1,F14="Useful",2,F14="Important",3,F14="Very important",4,F14="Critical",5,F14="Show stopper",6)</f>
        <v>5</v>
      </c>
      <c r="H14" s="24">
        <f t="shared" si="0"/>
        <v>1.6666666666666666E-2</v>
      </c>
      <c r="I14" s="25" t="s">
        <v>135</v>
      </c>
      <c r="J14" s="25" t="str" cm="1">
        <f t="array" ref="J14">_xlfn.TEXTJOIN(","&amp;CHAR(10),,TEXT(Table26[[#This Row],[12]:[22]],"0.00%"))</f>
        <v>1.67%,
0.00%</v>
      </c>
      <c r="K14" s="26" t="s">
        <v>120</v>
      </c>
      <c r="L14" s="27">
        <f>H14-(H14*((MATCH(Table26[[#This Row],[Evaluators Response (SELECT)]],Table26[[#This Row],[1]:[11]],0)-1)/(COUNTA(Table26[[#This Row],[1]:[11]])-COUNTBLANK(Table26[[#This Row],[1]:[11]])-1)))</f>
        <v>1.6666666666666666E-2</v>
      </c>
      <c r="M14" s="28"/>
      <c r="N14" s="29" t="str" cm="1">
        <f t="array" ref="N14">IFERROR(INDEX(_xlfn.UNIQUE(TRIM(_xlfn.TEXTSPLIT(Table26[[#This Row],[Selection Options]:[Selection Options]],","))),,N$11),"")</f>
        <v>Yes</v>
      </c>
      <c r="O14" s="29" t="str" cm="1">
        <f t="array" ref="O14">IFERROR(INDEX(_xlfn.UNIQUE(TRIM(_xlfn.TEXTSPLIT(Table26[[#This Row],[Selection Options]:[Selection Options]],","))),,O$11),"")</f>
        <v xml:space="preserve">
No</v>
      </c>
      <c r="P14" s="29" t="str" cm="1">
        <f t="array" ref="P14">IFERROR(INDEX(_xlfn.UNIQUE(TRIM(_xlfn.TEXTSPLIT(Table26[[#This Row],[Selection Options]:[Selection Options]],","))),,P$11),"")</f>
        <v/>
      </c>
      <c r="Q14" s="29" t="str" cm="1">
        <f t="array" ref="Q14">IFERROR(INDEX(_xlfn.UNIQUE(TRIM(_xlfn.TEXTSPLIT(Table26[[#This Row],[Selection Options]:[Selection Options]],","))),,Q$11),"")</f>
        <v/>
      </c>
      <c r="R14" s="29" t="str" cm="1">
        <f t="array" ref="R14">IFERROR(INDEX(_xlfn.UNIQUE(TRIM(_xlfn.TEXTSPLIT(Table26[[#This Row],[Selection Options]:[Selection Options]],","))),,R$11),"")</f>
        <v/>
      </c>
      <c r="S14" s="29" t="str" cm="1">
        <f t="array" ref="S14">IFERROR(INDEX(_xlfn.UNIQUE(TRIM(_xlfn.TEXTSPLIT(Table26[[#This Row],[Selection Options]:[Selection Options]],","))),,S$11),"")</f>
        <v/>
      </c>
      <c r="T14" s="29" t="str" cm="1">
        <f t="array" ref="T14">IFERROR(INDEX(_xlfn.UNIQUE(TRIM(_xlfn.TEXTSPLIT(Table26[[#This Row],[Selection Options]:[Selection Options]],","))),,T$11),"")</f>
        <v/>
      </c>
      <c r="U14" s="29" t="str" cm="1">
        <f t="array" ref="U14">IFERROR(INDEX(_xlfn.UNIQUE(TRIM(_xlfn.TEXTSPLIT(Table26[[#This Row],[Selection Options]:[Selection Options]],","))),,U$11),"")</f>
        <v/>
      </c>
      <c r="V14" s="29" t="str" cm="1">
        <f t="array" ref="V14">IFERROR(INDEX(_xlfn.UNIQUE(TRIM(_xlfn.TEXTSPLIT(Table26[[#This Row],[Selection Options]:[Selection Options]],","))),,V$11),"")</f>
        <v/>
      </c>
      <c r="W14" s="29" t="str" cm="1">
        <f t="array" ref="W14">IFERROR(INDEX(_xlfn.UNIQUE(TRIM(_xlfn.TEXTSPLIT(Table26[[#This Row],[Selection Options]:[Selection Options]],","))),,W$11),"")</f>
        <v/>
      </c>
      <c r="X14" s="29" t="str" cm="1">
        <f t="array" ref="X14">IFERROR(INDEX(_xlfn.UNIQUE(TRIM(_xlfn.TEXTSPLIT(Table26[[#This Row],[Selection Options]:[Selection Options]],","))),,X$11),"")</f>
        <v/>
      </c>
      <c r="Y14" s="30" cm="1">
        <f t="array" ref="Y14">IF(Table26[[#This Row],[1]]="","",Table26[[#This Row],[Weight]:[Weight]]-(Table26[[#This Row],[Weight]:[Weight]]*((_xlfn.XMATCH(Table26[[#This Row],[1]],Table26[[#This Row],[1]:[11]],0))-1)/(COUNTA(Table26[[#This Row],[1]:[11]])-COUNTBLANK(Table26[[#This Row],[1]:[11]])-1)))</f>
        <v>1.6666666666666666E-2</v>
      </c>
      <c r="Z14" s="30" cm="1">
        <f t="array" ref="Z14">IF(Table26[[#This Row],[2]]="","",Table26[[#This Row],[Weight]:[Weight]]-(Table26[[#This Row],[Weight]:[Weight]]*((_xlfn.XMATCH(Table26[[#This Row],[2]],Table26[[#This Row],[1]:[11]],0))-1)/(COUNTA(Table26[[#This Row],[1]:[11]])-COUNTBLANK(Table26[[#This Row],[1]:[11]])-1)))</f>
        <v>0</v>
      </c>
      <c r="AA14" s="30" t="str" cm="1">
        <f t="array" ref="AA14">IF(Table26[[#This Row],[3]]="","",Table26[[#This Row],[Weight]:[Weight]]-(Table26[[#This Row],[Weight]:[Weight]]*((_xlfn.XMATCH(Table26[[#This Row],[3]],Table26[[#This Row],[1]:[11]],0))-1)/(COUNTA(Table26[[#This Row],[1]:[11]])-COUNTBLANK(Table26[[#This Row],[1]:[11]])-1)))</f>
        <v/>
      </c>
      <c r="AB14" s="30" t="str" cm="1">
        <f t="array" ref="AB14">IF(Table26[[#This Row],[4]]="","",Table26[[#This Row],[Weight]:[Weight]]-(Table26[[#This Row],[Weight]:[Weight]]*((_xlfn.XMATCH(Table26[[#This Row],[4]],Table26[[#This Row],[1]:[11]],0))-1)/(COUNTA(Table26[[#This Row],[1]:[11]])-COUNTBLANK(Table26[[#This Row],[1]:[11]])-1)))</f>
        <v/>
      </c>
      <c r="AC14" s="30" t="str" cm="1">
        <f t="array" ref="AC14">IF(Table26[[#This Row],[5]]="","",Table26[[#This Row],[Weight]:[Weight]]-(Table26[[#This Row],[Weight]:[Weight]]*((_xlfn.XMATCH(Table26[[#This Row],[5]],Table26[[#This Row],[1]:[11]],0))-1)/(COUNTA(Table26[[#This Row],[1]:[11]])-COUNTBLANK(Table26[[#This Row],[1]:[11]])-1)))</f>
        <v/>
      </c>
      <c r="AD14" s="30" t="str" cm="1">
        <f t="array" ref="AD14">IF(Table26[[#This Row],[6]]="","",Table26[[#This Row],[Weight]:[Weight]]-(Table26[[#This Row],[Weight]:[Weight]]*((_xlfn.XMATCH(Table26[[#This Row],[6]],Table26[[#This Row],[1]:[11]],0))-1)/(COUNTA(Table26[[#This Row],[1]:[11]])-COUNTBLANK(Table26[[#This Row],[1]:[11]])-1)))</f>
        <v/>
      </c>
      <c r="AE14" s="30" t="str" cm="1">
        <f t="array" ref="AE14">IF(Table26[[#This Row],[7]]="","",Table26[[#This Row],[Weight]:[Weight]]-(Table26[[#This Row],[Weight]:[Weight]]*((_xlfn.XMATCH(Table26[[#This Row],[7]],Table26[[#This Row],[1]:[11]],0))-1)/(COUNTA(Table26[[#This Row],[1]:[11]])-COUNTBLANK(Table26[[#This Row],[1]:[11]])-1)))</f>
        <v/>
      </c>
      <c r="AF14" s="30" t="str" cm="1">
        <f t="array" ref="AF14">IF(Table26[[#This Row],[8]]="","",Table26[[#This Row],[Weight]:[Weight]]-(Table26[[#This Row],[Weight]:[Weight]]*((_xlfn.XMATCH(Table26[[#This Row],[8]],Table26[[#This Row],[1]:[11]],0))-1)/(COUNTA(Table26[[#This Row],[1]:[11]])-COUNTBLANK(Table26[[#This Row],[1]:[11]])-1)))</f>
        <v/>
      </c>
      <c r="AG14" s="30" t="str" cm="1">
        <f t="array" ref="AG14">IF(Table26[[#This Row],[9]]="","",Table26[[#This Row],[Weight]:[Weight]]-(Table26[[#This Row],[Weight]:[Weight]]*((_xlfn.XMATCH(Table26[[#This Row],[9]],Table26[[#This Row],[1]:[11]],0))-1)/(COUNTA(Table26[[#This Row],[1]:[11]])-COUNTBLANK(Table26[[#This Row],[1]:[11]])-1)))</f>
        <v/>
      </c>
      <c r="AH14" s="30" t="str" cm="1">
        <f t="array" ref="AH14">IF(Table26[[#This Row],[10]]="","",Table26[[#This Row],[Weight]:[Weight]]-(Table26[[#This Row],[Weight]:[Weight]]*((_xlfn.XMATCH(Table26[[#This Row],[10]],Table26[[#This Row],[1]:[11]],0))-1)/(COUNTA(Table26[[#This Row],[1]:[11]])-COUNTBLANK(Table26[[#This Row],[1]:[11]])-1)))</f>
        <v/>
      </c>
      <c r="AI14" s="30" t="str" cm="1">
        <f t="array" ref="AI14">IF(Table26[[#This Row],[11]]="","",Table26[[#This Row],[Weight]:[Weight]]-(Table26[[#This Row],[Weight]:[Weight]]*((_xlfn.XMATCH(Table26[[#This Row],[11]],Table26[[#This Row],[1]:[11]],0))-1)/(COUNTA(Table26[[#This Row],[1]:[11]])-COUNTBLANK(Table26[[#This Row],[1]:[11]])-1)))</f>
        <v/>
      </c>
    </row>
    <row r="15" spans="1:35" ht="23" x14ac:dyDescent="0.25">
      <c r="A15" s="20">
        <v>3</v>
      </c>
      <c r="B15" s="21" t="s">
        <v>143</v>
      </c>
      <c r="C15" s="21" t="s">
        <v>134</v>
      </c>
      <c r="D15" s="33"/>
      <c r="E15" s="33"/>
      <c r="F15" s="22" t="s">
        <v>114</v>
      </c>
      <c r="G15" s="35" cm="1">
        <f t="array" ref="G15">_xlfn.IFS(F15="","",F15="No interest",0,F15="Nice to have",1,F15="Useful",2,F15="Important",3,F15="Very important",4,F15="Critical",5,F15="Show stopper",6)</f>
        <v>5</v>
      </c>
      <c r="H15" s="36">
        <f t="shared" si="0"/>
        <v>1.6666666666666666E-2</v>
      </c>
      <c r="I15" s="25" t="s">
        <v>135</v>
      </c>
      <c r="J15" s="37" t="str" cm="1">
        <f t="array" ref="J15">_xlfn.TEXTJOIN(","&amp;CHAR(10),,TEXT(Table26[[#This Row],[12]:[22]],"0.00%"))</f>
        <v>1.67%,
0.00%</v>
      </c>
      <c r="K15" s="26" t="s">
        <v>120</v>
      </c>
      <c r="L15" s="39">
        <f>H15-(H15*((MATCH(Table26[[#This Row],[Evaluators Response (SELECT)]],Table26[[#This Row],[1]:[11]],0)-1)/(COUNTA(Table26[[#This Row],[1]:[11]])-COUNTBLANK(Table26[[#This Row],[1]:[11]])-1)))</f>
        <v>1.6666666666666666E-2</v>
      </c>
      <c r="M15" s="40"/>
      <c r="N15" s="29" t="str" cm="1">
        <f t="array" ref="N15">IFERROR(INDEX(_xlfn.UNIQUE(TRIM(_xlfn.TEXTSPLIT(Table26[[#This Row],[Selection Options]:[Selection Options]],","))),,N$11),"")</f>
        <v>Yes</v>
      </c>
      <c r="O15" s="29" t="str" cm="1">
        <f t="array" ref="O15">IFERROR(INDEX(_xlfn.UNIQUE(TRIM(_xlfn.TEXTSPLIT(Table26[[#This Row],[Selection Options]:[Selection Options]],","))),,O$11),"")</f>
        <v xml:space="preserve">
No</v>
      </c>
      <c r="P15" s="29" t="str" cm="1">
        <f t="array" ref="P15">IFERROR(INDEX(_xlfn.UNIQUE(TRIM(_xlfn.TEXTSPLIT(Table26[[#This Row],[Selection Options]:[Selection Options]],","))),,P$11),"")</f>
        <v/>
      </c>
      <c r="Q15" s="29" t="str" cm="1">
        <f t="array" ref="Q15">IFERROR(INDEX(_xlfn.UNIQUE(TRIM(_xlfn.TEXTSPLIT(Table26[[#This Row],[Selection Options]:[Selection Options]],","))),,Q$11),"")</f>
        <v/>
      </c>
      <c r="R15" s="29" t="str" cm="1">
        <f t="array" ref="R15">IFERROR(INDEX(_xlfn.UNIQUE(TRIM(_xlfn.TEXTSPLIT(Table26[[#This Row],[Selection Options]:[Selection Options]],","))),,R$11),"")</f>
        <v/>
      </c>
      <c r="S15" s="29" t="str" cm="1">
        <f t="array" ref="S15">IFERROR(INDEX(_xlfn.UNIQUE(TRIM(_xlfn.TEXTSPLIT(Table26[[#This Row],[Selection Options]:[Selection Options]],","))),,S$11),"")</f>
        <v/>
      </c>
      <c r="T15" s="29" t="str" cm="1">
        <f t="array" ref="T15">IFERROR(INDEX(_xlfn.UNIQUE(TRIM(_xlfn.TEXTSPLIT(Table26[[#This Row],[Selection Options]:[Selection Options]],","))),,T$11),"")</f>
        <v/>
      </c>
      <c r="U15" s="29" t="str" cm="1">
        <f t="array" ref="U15">IFERROR(INDEX(_xlfn.UNIQUE(TRIM(_xlfn.TEXTSPLIT(Table26[[#This Row],[Selection Options]:[Selection Options]],","))),,U$11),"")</f>
        <v/>
      </c>
      <c r="V15" s="29" t="str" cm="1">
        <f t="array" ref="V15">IFERROR(INDEX(_xlfn.UNIQUE(TRIM(_xlfn.TEXTSPLIT(Table26[[#This Row],[Selection Options]:[Selection Options]],","))),,V$11),"")</f>
        <v/>
      </c>
      <c r="W15" s="29" t="str" cm="1">
        <f t="array" ref="W15">IFERROR(INDEX(_xlfn.UNIQUE(TRIM(_xlfn.TEXTSPLIT(Table26[[#This Row],[Selection Options]:[Selection Options]],","))),,W$11),"")</f>
        <v/>
      </c>
      <c r="X15" s="29" t="str" cm="1">
        <f t="array" ref="X15">IFERROR(INDEX(_xlfn.UNIQUE(TRIM(_xlfn.TEXTSPLIT(Table26[[#This Row],[Selection Options]:[Selection Options]],","))),,X$11),"")</f>
        <v/>
      </c>
      <c r="Y15" s="30" cm="1">
        <f t="array" ref="Y15">IF(Table26[[#This Row],[1]]="","",Table26[[#This Row],[Weight]:[Weight]]-(Table26[[#This Row],[Weight]:[Weight]]*((_xlfn.XMATCH(Table26[[#This Row],[1]],Table26[[#This Row],[1]:[11]],0))-1)/(COUNTA(Table26[[#This Row],[1]:[11]])-COUNTBLANK(Table26[[#This Row],[1]:[11]])-1)))</f>
        <v>1.6666666666666666E-2</v>
      </c>
      <c r="Z15" s="30" cm="1">
        <f t="array" ref="Z15">IF(Table26[[#This Row],[2]]="","",Table26[[#This Row],[Weight]:[Weight]]-(Table26[[#This Row],[Weight]:[Weight]]*((_xlfn.XMATCH(Table26[[#This Row],[2]],Table26[[#This Row],[1]:[11]],0))-1)/(COUNTA(Table26[[#This Row],[1]:[11]])-COUNTBLANK(Table26[[#This Row],[1]:[11]])-1)))</f>
        <v>0</v>
      </c>
      <c r="AA15" s="30" t="str" cm="1">
        <f t="array" ref="AA15">IF(Table26[[#This Row],[3]]="","",Table26[[#This Row],[Weight]:[Weight]]-(Table26[[#This Row],[Weight]:[Weight]]*((_xlfn.XMATCH(Table26[[#This Row],[3]],Table26[[#This Row],[1]:[11]],0))-1)/(COUNTA(Table26[[#This Row],[1]:[11]])-COUNTBLANK(Table26[[#This Row],[1]:[11]])-1)))</f>
        <v/>
      </c>
      <c r="AB15" s="30" t="str" cm="1">
        <f t="array" ref="AB15">IF(Table26[[#This Row],[4]]="","",Table26[[#This Row],[Weight]:[Weight]]-(Table26[[#This Row],[Weight]:[Weight]]*((_xlfn.XMATCH(Table26[[#This Row],[4]],Table26[[#This Row],[1]:[11]],0))-1)/(COUNTA(Table26[[#This Row],[1]:[11]])-COUNTBLANK(Table26[[#This Row],[1]:[11]])-1)))</f>
        <v/>
      </c>
      <c r="AC15" s="30" t="str" cm="1">
        <f t="array" ref="AC15">IF(Table26[[#This Row],[5]]="","",Table26[[#This Row],[Weight]:[Weight]]-(Table26[[#This Row],[Weight]:[Weight]]*((_xlfn.XMATCH(Table26[[#This Row],[5]],Table26[[#This Row],[1]:[11]],0))-1)/(COUNTA(Table26[[#This Row],[1]:[11]])-COUNTBLANK(Table26[[#This Row],[1]:[11]])-1)))</f>
        <v/>
      </c>
      <c r="AD15" s="30" t="str" cm="1">
        <f t="array" ref="AD15">IF(Table26[[#This Row],[6]]="","",Table26[[#This Row],[Weight]:[Weight]]-(Table26[[#This Row],[Weight]:[Weight]]*((_xlfn.XMATCH(Table26[[#This Row],[6]],Table26[[#This Row],[1]:[11]],0))-1)/(COUNTA(Table26[[#This Row],[1]:[11]])-COUNTBLANK(Table26[[#This Row],[1]:[11]])-1)))</f>
        <v/>
      </c>
      <c r="AE15" s="30" t="str" cm="1">
        <f t="array" ref="AE15">IF(Table26[[#This Row],[7]]="","",Table26[[#This Row],[Weight]:[Weight]]-(Table26[[#This Row],[Weight]:[Weight]]*((_xlfn.XMATCH(Table26[[#This Row],[7]],Table26[[#This Row],[1]:[11]],0))-1)/(COUNTA(Table26[[#This Row],[1]:[11]])-COUNTBLANK(Table26[[#This Row],[1]:[11]])-1)))</f>
        <v/>
      </c>
      <c r="AF15" s="30" t="str" cm="1">
        <f t="array" ref="AF15">IF(Table26[[#This Row],[8]]="","",Table26[[#This Row],[Weight]:[Weight]]-(Table26[[#This Row],[Weight]:[Weight]]*((_xlfn.XMATCH(Table26[[#This Row],[8]],Table26[[#This Row],[1]:[11]],0))-1)/(COUNTA(Table26[[#This Row],[1]:[11]])-COUNTBLANK(Table26[[#This Row],[1]:[11]])-1)))</f>
        <v/>
      </c>
      <c r="AG15" s="30" t="str" cm="1">
        <f t="array" ref="AG15">IF(Table26[[#This Row],[9]]="","",Table26[[#This Row],[Weight]:[Weight]]-(Table26[[#This Row],[Weight]:[Weight]]*((_xlfn.XMATCH(Table26[[#This Row],[9]],Table26[[#This Row],[1]:[11]],0))-1)/(COUNTA(Table26[[#This Row],[1]:[11]])-COUNTBLANK(Table26[[#This Row],[1]:[11]])-1)))</f>
        <v/>
      </c>
      <c r="AH15" s="30" t="str" cm="1">
        <f t="array" ref="AH15">IF(Table26[[#This Row],[10]]="","",Table26[[#This Row],[Weight]:[Weight]]-(Table26[[#This Row],[Weight]:[Weight]]*((_xlfn.XMATCH(Table26[[#This Row],[10]],Table26[[#This Row],[1]:[11]],0))-1)/(COUNTA(Table26[[#This Row],[1]:[11]])-COUNTBLANK(Table26[[#This Row],[1]:[11]])-1)))</f>
        <v/>
      </c>
      <c r="AI15" s="30" t="str" cm="1">
        <f t="array" ref="AI15">IF(Table26[[#This Row],[11]]="","",Table26[[#This Row],[Weight]:[Weight]]-(Table26[[#This Row],[Weight]:[Weight]]*((_xlfn.XMATCH(Table26[[#This Row],[11]],Table26[[#This Row],[1]:[11]],0))-1)/(COUNTA(Table26[[#This Row],[1]:[11]])-COUNTBLANK(Table26[[#This Row],[1]:[11]])-1)))</f>
        <v/>
      </c>
    </row>
    <row r="16" spans="1:35" ht="23" x14ac:dyDescent="0.25">
      <c r="A16" s="20">
        <v>4</v>
      </c>
      <c r="B16" s="21" t="s">
        <v>144</v>
      </c>
      <c r="C16" s="21" t="s">
        <v>134</v>
      </c>
      <c r="D16" s="33"/>
      <c r="E16" s="33"/>
      <c r="F16" s="22" t="s">
        <v>114</v>
      </c>
      <c r="G16" s="35" cm="1">
        <f t="array" ref="G16">_xlfn.IFS(F16="","",F16="No interest",0,F16="Nice to have",1,F16="Useful",2,F16="Important",3,F16="Very important",4,F16="Critical",5,F16="Show stopper",6)</f>
        <v>5</v>
      </c>
      <c r="H16" s="36">
        <f t="shared" ref="H16:H21" si="1">(G16/$G$11)*$F$11</f>
        <v>1.6666666666666666E-2</v>
      </c>
      <c r="I16" s="25" t="s">
        <v>135</v>
      </c>
      <c r="J16" s="37" t="str" cm="1">
        <f t="array" ref="J16">_xlfn.TEXTJOIN(","&amp;CHAR(10),,TEXT(Table26[[#This Row],[12]:[22]],"0.00%"))</f>
        <v>1.67%,
0.00%</v>
      </c>
      <c r="K16" s="26" t="s">
        <v>120</v>
      </c>
      <c r="L16" s="39">
        <f>H16-(H16*((MATCH(Table26[[#This Row],[Evaluators Response (SELECT)]],Table26[[#This Row],[1]:[11]],0)-1)/(COUNTA(Table26[[#This Row],[1]:[11]])-COUNTBLANK(Table26[[#This Row],[1]:[11]])-1)))</f>
        <v>1.6666666666666666E-2</v>
      </c>
      <c r="M16" s="40"/>
      <c r="N16" s="29" t="str" cm="1">
        <f t="array" ref="N16">IFERROR(INDEX(_xlfn.UNIQUE(TRIM(_xlfn.TEXTSPLIT(Table26[[#This Row],[Selection Options]:[Selection Options]],","))),,N$11),"")</f>
        <v>Yes</v>
      </c>
      <c r="O16" s="29" t="str" cm="1">
        <f t="array" ref="O16">IFERROR(INDEX(_xlfn.UNIQUE(TRIM(_xlfn.TEXTSPLIT(Table26[[#This Row],[Selection Options]:[Selection Options]],","))),,O$11),"")</f>
        <v xml:space="preserve">
No</v>
      </c>
      <c r="P16" s="29" t="str" cm="1">
        <f t="array" ref="P16">IFERROR(INDEX(_xlfn.UNIQUE(TRIM(_xlfn.TEXTSPLIT(Table26[[#This Row],[Selection Options]:[Selection Options]],","))),,P$11),"")</f>
        <v/>
      </c>
      <c r="Q16" s="29" t="str" cm="1">
        <f t="array" ref="Q16">IFERROR(INDEX(_xlfn.UNIQUE(TRIM(_xlfn.TEXTSPLIT(Table26[[#This Row],[Selection Options]:[Selection Options]],","))),,Q$11),"")</f>
        <v/>
      </c>
      <c r="R16" s="29" t="str" cm="1">
        <f t="array" ref="R16">IFERROR(INDEX(_xlfn.UNIQUE(TRIM(_xlfn.TEXTSPLIT(Table26[[#This Row],[Selection Options]:[Selection Options]],","))),,R$11),"")</f>
        <v/>
      </c>
      <c r="S16" s="29" t="str" cm="1">
        <f t="array" ref="S16">IFERROR(INDEX(_xlfn.UNIQUE(TRIM(_xlfn.TEXTSPLIT(Table26[[#This Row],[Selection Options]:[Selection Options]],","))),,S$11),"")</f>
        <v/>
      </c>
      <c r="T16" s="29" t="str" cm="1">
        <f t="array" ref="T16">IFERROR(INDEX(_xlfn.UNIQUE(TRIM(_xlfn.TEXTSPLIT(Table26[[#This Row],[Selection Options]:[Selection Options]],","))),,T$11),"")</f>
        <v/>
      </c>
      <c r="U16" s="29" t="str" cm="1">
        <f t="array" ref="U16">IFERROR(INDEX(_xlfn.UNIQUE(TRIM(_xlfn.TEXTSPLIT(Table26[[#This Row],[Selection Options]:[Selection Options]],","))),,U$11),"")</f>
        <v/>
      </c>
      <c r="V16" s="29" t="str" cm="1">
        <f t="array" ref="V16">IFERROR(INDEX(_xlfn.UNIQUE(TRIM(_xlfn.TEXTSPLIT(Table26[[#This Row],[Selection Options]:[Selection Options]],","))),,V$11),"")</f>
        <v/>
      </c>
      <c r="W16" s="29" t="str" cm="1">
        <f t="array" ref="W16">IFERROR(INDEX(_xlfn.UNIQUE(TRIM(_xlfn.TEXTSPLIT(Table26[[#This Row],[Selection Options]:[Selection Options]],","))),,W$11),"")</f>
        <v/>
      </c>
      <c r="X16" s="29" t="str" cm="1">
        <f t="array" ref="X16">IFERROR(INDEX(_xlfn.UNIQUE(TRIM(_xlfn.TEXTSPLIT(Table26[[#This Row],[Selection Options]:[Selection Options]],","))),,X$11),"")</f>
        <v/>
      </c>
      <c r="Y16" s="30" cm="1">
        <f t="array" ref="Y16">IF(Table26[[#This Row],[1]]="","",Table26[[#This Row],[Weight]:[Weight]]-(Table26[[#This Row],[Weight]:[Weight]]*((_xlfn.XMATCH(Table26[[#This Row],[1]],Table26[[#This Row],[1]:[11]],0))-1)/(COUNTA(Table26[[#This Row],[1]:[11]])-COUNTBLANK(Table26[[#This Row],[1]:[11]])-1)))</f>
        <v>1.6666666666666666E-2</v>
      </c>
      <c r="Z16" s="30" cm="1">
        <f t="array" ref="Z16">IF(Table26[[#This Row],[2]]="","",Table26[[#This Row],[Weight]:[Weight]]-(Table26[[#This Row],[Weight]:[Weight]]*((_xlfn.XMATCH(Table26[[#This Row],[2]],Table26[[#This Row],[1]:[11]],0))-1)/(COUNTA(Table26[[#This Row],[1]:[11]])-COUNTBLANK(Table26[[#This Row],[1]:[11]])-1)))</f>
        <v>0</v>
      </c>
      <c r="AA16" s="30" t="str" cm="1">
        <f t="array" ref="AA16">IF(Table26[[#This Row],[3]]="","",Table26[[#This Row],[Weight]:[Weight]]-(Table26[[#This Row],[Weight]:[Weight]]*((_xlfn.XMATCH(Table26[[#This Row],[3]],Table26[[#This Row],[1]:[11]],0))-1)/(COUNTA(Table26[[#This Row],[1]:[11]])-COUNTBLANK(Table26[[#This Row],[1]:[11]])-1)))</f>
        <v/>
      </c>
      <c r="AB16" s="30" t="str" cm="1">
        <f t="array" ref="AB16">IF(Table26[[#This Row],[4]]="","",Table26[[#This Row],[Weight]:[Weight]]-(Table26[[#This Row],[Weight]:[Weight]]*((_xlfn.XMATCH(Table26[[#This Row],[4]],Table26[[#This Row],[1]:[11]],0))-1)/(COUNTA(Table26[[#This Row],[1]:[11]])-COUNTBLANK(Table26[[#This Row],[1]:[11]])-1)))</f>
        <v/>
      </c>
      <c r="AC16" s="30" t="str" cm="1">
        <f t="array" ref="AC16">IF(Table26[[#This Row],[5]]="","",Table26[[#This Row],[Weight]:[Weight]]-(Table26[[#This Row],[Weight]:[Weight]]*((_xlfn.XMATCH(Table26[[#This Row],[5]],Table26[[#This Row],[1]:[11]],0))-1)/(COUNTA(Table26[[#This Row],[1]:[11]])-COUNTBLANK(Table26[[#This Row],[1]:[11]])-1)))</f>
        <v/>
      </c>
      <c r="AD16" s="30" t="str" cm="1">
        <f t="array" ref="AD16">IF(Table26[[#This Row],[6]]="","",Table26[[#This Row],[Weight]:[Weight]]-(Table26[[#This Row],[Weight]:[Weight]]*((_xlfn.XMATCH(Table26[[#This Row],[6]],Table26[[#This Row],[1]:[11]],0))-1)/(COUNTA(Table26[[#This Row],[1]:[11]])-COUNTBLANK(Table26[[#This Row],[1]:[11]])-1)))</f>
        <v/>
      </c>
      <c r="AE16" s="30" t="str" cm="1">
        <f t="array" ref="AE16">IF(Table26[[#This Row],[7]]="","",Table26[[#This Row],[Weight]:[Weight]]-(Table26[[#This Row],[Weight]:[Weight]]*((_xlfn.XMATCH(Table26[[#This Row],[7]],Table26[[#This Row],[1]:[11]],0))-1)/(COUNTA(Table26[[#This Row],[1]:[11]])-COUNTBLANK(Table26[[#This Row],[1]:[11]])-1)))</f>
        <v/>
      </c>
      <c r="AF16" s="30" t="str" cm="1">
        <f t="array" ref="AF16">IF(Table26[[#This Row],[8]]="","",Table26[[#This Row],[Weight]:[Weight]]-(Table26[[#This Row],[Weight]:[Weight]]*((_xlfn.XMATCH(Table26[[#This Row],[8]],Table26[[#This Row],[1]:[11]],0))-1)/(COUNTA(Table26[[#This Row],[1]:[11]])-COUNTBLANK(Table26[[#This Row],[1]:[11]])-1)))</f>
        <v/>
      </c>
      <c r="AG16" s="30" t="str" cm="1">
        <f t="array" ref="AG16">IF(Table26[[#This Row],[9]]="","",Table26[[#This Row],[Weight]:[Weight]]-(Table26[[#This Row],[Weight]:[Weight]]*((_xlfn.XMATCH(Table26[[#This Row],[9]],Table26[[#This Row],[1]:[11]],0))-1)/(COUNTA(Table26[[#This Row],[1]:[11]])-COUNTBLANK(Table26[[#This Row],[1]:[11]])-1)))</f>
        <v/>
      </c>
      <c r="AH16" s="30" t="str" cm="1">
        <f t="array" ref="AH16">IF(Table26[[#This Row],[10]]="","",Table26[[#This Row],[Weight]:[Weight]]-(Table26[[#This Row],[Weight]:[Weight]]*((_xlfn.XMATCH(Table26[[#This Row],[10]],Table26[[#This Row],[1]:[11]],0))-1)/(COUNTA(Table26[[#This Row],[1]:[11]])-COUNTBLANK(Table26[[#This Row],[1]:[11]])-1)))</f>
        <v/>
      </c>
      <c r="AI16" s="30" t="str" cm="1">
        <f t="array" ref="AI16">IF(Table26[[#This Row],[11]]="","",Table26[[#This Row],[Weight]:[Weight]]-(Table26[[#This Row],[Weight]:[Weight]]*((_xlfn.XMATCH(Table26[[#This Row],[11]],Table26[[#This Row],[1]:[11]],0))-1)/(COUNTA(Table26[[#This Row],[1]:[11]])-COUNTBLANK(Table26[[#This Row],[1]:[11]])-1)))</f>
        <v/>
      </c>
    </row>
    <row r="17" spans="1:35" ht="23" x14ac:dyDescent="0.25">
      <c r="A17" s="20">
        <v>5</v>
      </c>
      <c r="B17" s="33" t="s">
        <v>145</v>
      </c>
      <c r="C17" s="21" t="s">
        <v>134</v>
      </c>
      <c r="D17" s="33"/>
      <c r="E17" s="33"/>
      <c r="F17" s="22" t="s">
        <v>114</v>
      </c>
      <c r="G17" s="35" cm="1">
        <f t="array" ref="G17">_xlfn.IFS(F17="","",F17="No interest",0,F17="Nice to have",1,F17="Useful",2,F17="Important",3,F17="Very important",4,F17="Critical",5,F17="Show stopper",6)</f>
        <v>5</v>
      </c>
      <c r="H17" s="36">
        <f t="shared" si="1"/>
        <v>1.6666666666666666E-2</v>
      </c>
      <c r="I17" s="25" t="s">
        <v>135</v>
      </c>
      <c r="J17" s="37" t="str" cm="1">
        <f t="array" ref="J17">_xlfn.TEXTJOIN(","&amp;CHAR(10),,TEXT(Table26[[#This Row],[12]:[22]],"0.00%"))</f>
        <v>1.67%,
0.00%</v>
      </c>
      <c r="K17" s="26" t="s">
        <v>120</v>
      </c>
      <c r="L17" s="39">
        <f>H17-(H17*((MATCH(Table26[[#This Row],[Evaluators Response (SELECT)]],Table26[[#This Row],[1]:[11]],0)-1)/(COUNTA(Table26[[#This Row],[1]:[11]])-COUNTBLANK(Table26[[#This Row],[1]:[11]])-1)))</f>
        <v>1.6666666666666666E-2</v>
      </c>
      <c r="M17" s="40"/>
      <c r="N17" s="29" t="str" cm="1">
        <f t="array" ref="N17">IFERROR(INDEX(_xlfn.UNIQUE(TRIM(_xlfn.TEXTSPLIT(Table26[[#This Row],[Selection Options]:[Selection Options]],","))),,N$11),"")</f>
        <v>Yes</v>
      </c>
      <c r="O17" s="29" t="str" cm="1">
        <f t="array" ref="O17">IFERROR(INDEX(_xlfn.UNIQUE(TRIM(_xlfn.TEXTSPLIT(Table26[[#This Row],[Selection Options]:[Selection Options]],","))),,O$11),"")</f>
        <v xml:space="preserve">
No</v>
      </c>
      <c r="P17" s="29" t="str" cm="1">
        <f t="array" ref="P17">IFERROR(INDEX(_xlfn.UNIQUE(TRIM(_xlfn.TEXTSPLIT(Table26[[#This Row],[Selection Options]:[Selection Options]],","))),,P$11),"")</f>
        <v/>
      </c>
      <c r="Q17" s="29" t="str" cm="1">
        <f t="array" ref="Q17">IFERROR(INDEX(_xlfn.UNIQUE(TRIM(_xlfn.TEXTSPLIT(Table26[[#This Row],[Selection Options]:[Selection Options]],","))),,Q$11),"")</f>
        <v/>
      </c>
      <c r="R17" s="29" t="str" cm="1">
        <f t="array" ref="R17">IFERROR(INDEX(_xlfn.UNIQUE(TRIM(_xlfn.TEXTSPLIT(Table26[[#This Row],[Selection Options]:[Selection Options]],","))),,R$11),"")</f>
        <v/>
      </c>
      <c r="S17" s="29" t="str" cm="1">
        <f t="array" ref="S17">IFERROR(INDEX(_xlfn.UNIQUE(TRIM(_xlfn.TEXTSPLIT(Table26[[#This Row],[Selection Options]:[Selection Options]],","))),,S$11),"")</f>
        <v/>
      </c>
      <c r="T17" s="29" t="str" cm="1">
        <f t="array" ref="T17">IFERROR(INDEX(_xlfn.UNIQUE(TRIM(_xlfn.TEXTSPLIT(Table26[[#This Row],[Selection Options]:[Selection Options]],","))),,T$11),"")</f>
        <v/>
      </c>
      <c r="U17" s="29" t="str" cm="1">
        <f t="array" ref="U17">IFERROR(INDEX(_xlfn.UNIQUE(TRIM(_xlfn.TEXTSPLIT(Table26[[#This Row],[Selection Options]:[Selection Options]],","))),,U$11),"")</f>
        <v/>
      </c>
      <c r="V17" s="29" t="str" cm="1">
        <f t="array" ref="V17">IFERROR(INDEX(_xlfn.UNIQUE(TRIM(_xlfn.TEXTSPLIT(Table26[[#This Row],[Selection Options]:[Selection Options]],","))),,V$11),"")</f>
        <v/>
      </c>
      <c r="W17" s="29" t="str" cm="1">
        <f t="array" ref="W17">IFERROR(INDEX(_xlfn.UNIQUE(TRIM(_xlfn.TEXTSPLIT(Table26[[#This Row],[Selection Options]:[Selection Options]],","))),,W$11),"")</f>
        <v/>
      </c>
      <c r="X17" s="29" t="str" cm="1">
        <f t="array" ref="X17">IFERROR(INDEX(_xlfn.UNIQUE(TRIM(_xlfn.TEXTSPLIT(Table26[[#This Row],[Selection Options]:[Selection Options]],","))),,X$11),"")</f>
        <v/>
      </c>
      <c r="Y17" s="30" cm="1">
        <f t="array" ref="Y17">IF(Table26[[#This Row],[1]]="","",Table26[[#This Row],[Weight]:[Weight]]-(Table26[[#This Row],[Weight]:[Weight]]*((_xlfn.XMATCH(Table26[[#This Row],[1]],Table26[[#This Row],[1]:[11]],0))-1)/(COUNTA(Table26[[#This Row],[1]:[11]])-COUNTBLANK(Table26[[#This Row],[1]:[11]])-1)))</f>
        <v>1.6666666666666666E-2</v>
      </c>
      <c r="Z17" s="30" cm="1">
        <f t="array" ref="Z17">IF(Table26[[#This Row],[2]]="","",Table26[[#This Row],[Weight]:[Weight]]-(Table26[[#This Row],[Weight]:[Weight]]*((_xlfn.XMATCH(Table26[[#This Row],[2]],Table26[[#This Row],[1]:[11]],0))-1)/(COUNTA(Table26[[#This Row],[1]:[11]])-COUNTBLANK(Table26[[#This Row],[1]:[11]])-1)))</f>
        <v>0</v>
      </c>
      <c r="AA17" s="30" t="str" cm="1">
        <f t="array" ref="AA17">IF(Table26[[#This Row],[3]]="","",Table26[[#This Row],[Weight]:[Weight]]-(Table26[[#This Row],[Weight]:[Weight]]*((_xlfn.XMATCH(Table26[[#This Row],[3]],Table26[[#This Row],[1]:[11]],0))-1)/(COUNTA(Table26[[#This Row],[1]:[11]])-COUNTBLANK(Table26[[#This Row],[1]:[11]])-1)))</f>
        <v/>
      </c>
      <c r="AB17" s="30" t="str" cm="1">
        <f t="array" ref="AB17">IF(Table26[[#This Row],[4]]="","",Table26[[#This Row],[Weight]:[Weight]]-(Table26[[#This Row],[Weight]:[Weight]]*((_xlfn.XMATCH(Table26[[#This Row],[4]],Table26[[#This Row],[1]:[11]],0))-1)/(COUNTA(Table26[[#This Row],[1]:[11]])-COUNTBLANK(Table26[[#This Row],[1]:[11]])-1)))</f>
        <v/>
      </c>
      <c r="AC17" s="30" t="str" cm="1">
        <f t="array" ref="AC17">IF(Table26[[#This Row],[5]]="","",Table26[[#This Row],[Weight]:[Weight]]-(Table26[[#This Row],[Weight]:[Weight]]*((_xlfn.XMATCH(Table26[[#This Row],[5]],Table26[[#This Row],[1]:[11]],0))-1)/(COUNTA(Table26[[#This Row],[1]:[11]])-COUNTBLANK(Table26[[#This Row],[1]:[11]])-1)))</f>
        <v/>
      </c>
      <c r="AD17" s="30" t="str" cm="1">
        <f t="array" ref="AD17">IF(Table26[[#This Row],[6]]="","",Table26[[#This Row],[Weight]:[Weight]]-(Table26[[#This Row],[Weight]:[Weight]]*((_xlfn.XMATCH(Table26[[#This Row],[6]],Table26[[#This Row],[1]:[11]],0))-1)/(COUNTA(Table26[[#This Row],[1]:[11]])-COUNTBLANK(Table26[[#This Row],[1]:[11]])-1)))</f>
        <v/>
      </c>
      <c r="AE17" s="30" t="str" cm="1">
        <f t="array" ref="AE17">IF(Table26[[#This Row],[7]]="","",Table26[[#This Row],[Weight]:[Weight]]-(Table26[[#This Row],[Weight]:[Weight]]*((_xlfn.XMATCH(Table26[[#This Row],[7]],Table26[[#This Row],[1]:[11]],0))-1)/(COUNTA(Table26[[#This Row],[1]:[11]])-COUNTBLANK(Table26[[#This Row],[1]:[11]])-1)))</f>
        <v/>
      </c>
      <c r="AF17" s="30" t="str" cm="1">
        <f t="array" ref="AF17">IF(Table26[[#This Row],[8]]="","",Table26[[#This Row],[Weight]:[Weight]]-(Table26[[#This Row],[Weight]:[Weight]]*((_xlfn.XMATCH(Table26[[#This Row],[8]],Table26[[#This Row],[1]:[11]],0))-1)/(COUNTA(Table26[[#This Row],[1]:[11]])-COUNTBLANK(Table26[[#This Row],[1]:[11]])-1)))</f>
        <v/>
      </c>
      <c r="AG17" s="30" t="str" cm="1">
        <f t="array" ref="AG17">IF(Table26[[#This Row],[9]]="","",Table26[[#This Row],[Weight]:[Weight]]-(Table26[[#This Row],[Weight]:[Weight]]*((_xlfn.XMATCH(Table26[[#This Row],[9]],Table26[[#This Row],[1]:[11]],0))-1)/(COUNTA(Table26[[#This Row],[1]:[11]])-COUNTBLANK(Table26[[#This Row],[1]:[11]])-1)))</f>
        <v/>
      </c>
      <c r="AH17" s="30" t="str" cm="1">
        <f t="array" ref="AH17">IF(Table26[[#This Row],[10]]="","",Table26[[#This Row],[Weight]:[Weight]]-(Table26[[#This Row],[Weight]:[Weight]]*((_xlfn.XMATCH(Table26[[#This Row],[10]],Table26[[#This Row],[1]:[11]],0))-1)/(COUNTA(Table26[[#This Row],[1]:[11]])-COUNTBLANK(Table26[[#This Row],[1]:[11]])-1)))</f>
        <v/>
      </c>
      <c r="AI17" s="30" t="str" cm="1">
        <f t="array" ref="AI17">IF(Table26[[#This Row],[11]]="","",Table26[[#This Row],[Weight]:[Weight]]-(Table26[[#This Row],[Weight]:[Weight]]*((_xlfn.XMATCH(Table26[[#This Row],[11]],Table26[[#This Row],[1]:[11]],0))-1)/(COUNTA(Table26[[#This Row],[1]:[11]])-COUNTBLANK(Table26[[#This Row],[1]:[11]])-1)))</f>
        <v/>
      </c>
    </row>
    <row r="18" spans="1:35" ht="23" x14ac:dyDescent="0.25">
      <c r="A18" s="20">
        <v>6</v>
      </c>
      <c r="B18" s="33" t="s">
        <v>146</v>
      </c>
      <c r="C18" s="21" t="s">
        <v>147</v>
      </c>
      <c r="D18" s="33"/>
      <c r="E18" s="33"/>
      <c r="F18" s="22" t="s">
        <v>114</v>
      </c>
      <c r="G18" s="35" cm="1">
        <f t="array" ref="G18">_xlfn.IFS(F18="","",F18="No interest",0,F18="Nice to have",1,F18="Useful",2,F18="Important",3,F18="Very important",4,F18="Critical",5,F18="Show stopper",6)</f>
        <v>5</v>
      </c>
      <c r="H18" s="36">
        <f t="shared" si="1"/>
        <v>1.6666666666666666E-2</v>
      </c>
      <c r="I18" s="25" t="s">
        <v>135</v>
      </c>
      <c r="J18" s="37" t="str" cm="1">
        <f t="array" ref="J18">_xlfn.TEXTJOIN(","&amp;CHAR(10),,TEXT(Table26[[#This Row],[12]:[22]],"0.00%"))</f>
        <v>1.67%,
0.00%</v>
      </c>
      <c r="K18" s="26" t="s">
        <v>120</v>
      </c>
      <c r="L18" s="39">
        <f>H18-(H18*((MATCH(Table26[[#This Row],[Evaluators Response (SELECT)]],Table26[[#This Row],[1]:[11]],0)-1)/(COUNTA(Table26[[#This Row],[1]:[11]])-COUNTBLANK(Table26[[#This Row],[1]:[11]])-1)))</f>
        <v>1.6666666666666666E-2</v>
      </c>
      <c r="M18" s="40"/>
      <c r="N18" s="29" t="str" cm="1">
        <f t="array" ref="N18">IFERROR(INDEX(_xlfn.UNIQUE(TRIM(_xlfn.TEXTSPLIT(Table26[[#This Row],[Selection Options]:[Selection Options]],","))),,N$11),"")</f>
        <v>Yes</v>
      </c>
      <c r="O18" s="29" t="str" cm="1">
        <f t="array" ref="O18">IFERROR(INDEX(_xlfn.UNIQUE(TRIM(_xlfn.TEXTSPLIT(Table26[[#This Row],[Selection Options]:[Selection Options]],","))),,O$11),"")</f>
        <v xml:space="preserve">
No</v>
      </c>
      <c r="P18" s="29" t="str" cm="1">
        <f t="array" ref="P18">IFERROR(INDEX(_xlfn.UNIQUE(TRIM(_xlfn.TEXTSPLIT(Table26[[#This Row],[Selection Options]:[Selection Options]],","))),,P$11),"")</f>
        <v/>
      </c>
      <c r="Q18" s="29" t="str" cm="1">
        <f t="array" ref="Q18">IFERROR(INDEX(_xlfn.UNIQUE(TRIM(_xlfn.TEXTSPLIT(Table26[[#This Row],[Selection Options]:[Selection Options]],","))),,Q$11),"")</f>
        <v/>
      </c>
      <c r="R18" s="29" t="str" cm="1">
        <f t="array" ref="R18">IFERROR(INDEX(_xlfn.UNIQUE(TRIM(_xlfn.TEXTSPLIT(Table26[[#This Row],[Selection Options]:[Selection Options]],","))),,R$11),"")</f>
        <v/>
      </c>
      <c r="S18" s="29" t="str" cm="1">
        <f t="array" ref="S18">IFERROR(INDEX(_xlfn.UNIQUE(TRIM(_xlfn.TEXTSPLIT(Table26[[#This Row],[Selection Options]:[Selection Options]],","))),,S$11),"")</f>
        <v/>
      </c>
      <c r="T18" s="29" t="str" cm="1">
        <f t="array" ref="T18">IFERROR(INDEX(_xlfn.UNIQUE(TRIM(_xlfn.TEXTSPLIT(Table26[[#This Row],[Selection Options]:[Selection Options]],","))),,T$11),"")</f>
        <v/>
      </c>
      <c r="U18" s="29" t="str" cm="1">
        <f t="array" ref="U18">IFERROR(INDEX(_xlfn.UNIQUE(TRIM(_xlfn.TEXTSPLIT(Table26[[#This Row],[Selection Options]:[Selection Options]],","))),,U$11),"")</f>
        <v/>
      </c>
      <c r="V18" s="29" t="str" cm="1">
        <f t="array" ref="V18">IFERROR(INDEX(_xlfn.UNIQUE(TRIM(_xlfn.TEXTSPLIT(Table26[[#This Row],[Selection Options]:[Selection Options]],","))),,V$11),"")</f>
        <v/>
      </c>
      <c r="W18" s="29" t="str" cm="1">
        <f t="array" ref="W18">IFERROR(INDEX(_xlfn.UNIQUE(TRIM(_xlfn.TEXTSPLIT(Table26[[#This Row],[Selection Options]:[Selection Options]],","))),,W$11),"")</f>
        <v/>
      </c>
      <c r="X18" s="29" t="str" cm="1">
        <f t="array" ref="X18">IFERROR(INDEX(_xlfn.UNIQUE(TRIM(_xlfn.TEXTSPLIT(Table26[[#This Row],[Selection Options]:[Selection Options]],","))),,X$11),"")</f>
        <v/>
      </c>
      <c r="Y18" s="30" cm="1">
        <f t="array" ref="Y18">IF(Table26[[#This Row],[1]]="","",Table26[[#This Row],[Weight]:[Weight]]-(Table26[[#This Row],[Weight]:[Weight]]*((_xlfn.XMATCH(Table26[[#This Row],[1]],Table26[[#This Row],[1]:[11]],0))-1)/(COUNTA(Table26[[#This Row],[1]:[11]])-COUNTBLANK(Table26[[#This Row],[1]:[11]])-1)))</f>
        <v>1.6666666666666666E-2</v>
      </c>
      <c r="Z18" s="30" cm="1">
        <f t="array" ref="Z18">IF(Table26[[#This Row],[2]]="","",Table26[[#This Row],[Weight]:[Weight]]-(Table26[[#This Row],[Weight]:[Weight]]*((_xlfn.XMATCH(Table26[[#This Row],[2]],Table26[[#This Row],[1]:[11]],0))-1)/(COUNTA(Table26[[#This Row],[1]:[11]])-COUNTBLANK(Table26[[#This Row],[1]:[11]])-1)))</f>
        <v>0</v>
      </c>
      <c r="AA18" s="30" t="str" cm="1">
        <f t="array" ref="AA18">IF(Table26[[#This Row],[3]]="","",Table26[[#This Row],[Weight]:[Weight]]-(Table26[[#This Row],[Weight]:[Weight]]*((_xlfn.XMATCH(Table26[[#This Row],[3]],Table26[[#This Row],[1]:[11]],0))-1)/(COUNTA(Table26[[#This Row],[1]:[11]])-COUNTBLANK(Table26[[#This Row],[1]:[11]])-1)))</f>
        <v/>
      </c>
      <c r="AB18" s="30" t="str" cm="1">
        <f t="array" ref="AB18">IF(Table26[[#This Row],[4]]="","",Table26[[#This Row],[Weight]:[Weight]]-(Table26[[#This Row],[Weight]:[Weight]]*((_xlfn.XMATCH(Table26[[#This Row],[4]],Table26[[#This Row],[1]:[11]],0))-1)/(COUNTA(Table26[[#This Row],[1]:[11]])-COUNTBLANK(Table26[[#This Row],[1]:[11]])-1)))</f>
        <v/>
      </c>
      <c r="AC18" s="30" t="str" cm="1">
        <f t="array" ref="AC18">IF(Table26[[#This Row],[5]]="","",Table26[[#This Row],[Weight]:[Weight]]-(Table26[[#This Row],[Weight]:[Weight]]*((_xlfn.XMATCH(Table26[[#This Row],[5]],Table26[[#This Row],[1]:[11]],0))-1)/(COUNTA(Table26[[#This Row],[1]:[11]])-COUNTBLANK(Table26[[#This Row],[1]:[11]])-1)))</f>
        <v/>
      </c>
      <c r="AD18" s="30" t="str" cm="1">
        <f t="array" ref="AD18">IF(Table26[[#This Row],[6]]="","",Table26[[#This Row],[Weight]:[Weight]]-(Table26[[#This Row],[Weight]:[Weight]]*((_xlfn.XMATCH(Table26[[#This Row],[6]],Table26[[#This Row],[1]:[11]],0))-1)/(COUNTA(Table26[[#This Row],[1]:[11]])-COUNTBLANK(Table26[[#This Row],[1]:[11]])-1)))</f>
        <v/>
      </c>
      <c r="AE18" s="30" t="str" cm="1">
        <f t="array" ref="AE18">IF(Table26[[#This Row],[7]]="","",Table26[[#This Row],[Weight]:[Weight]]-(Table26[[#This Row],[Weight]:[Weight]]*((_xlfn.XMATCH(Table26[[#This Row],[7]],Table26[[#This Row],[1]:[11]],0))-1)/(COUNTA(Table26[[#This Row],[1]:[11]])-COUNTBLANK(Table26[[#This Row],[1]:[11]])-1)))</f>
        <v/>
      </c>
      <c r="AF18" s="30" t="str" cm="1">
        <f t="array" ref="AF18">IF(Table26[[#This Row],[8]]="","",Table26[[#This Row],[Weight]:[Weight]]-(Table26[[#This Row],[Weight]:[Weight]]*((_xlfn.XMATCH(Table26[[#This Row],[8]],Table26[[#This Row],[1]:[11]],0))-1)/(COUNTA(Table26[[#This Row],[1]:[11]])-COUNTBLANK(Table26[[#This Row],[1]:[11]])-1)))</f>
        <v/>
      </c>
      <c r="AG18" s="30" t="str" cm="1">
        <f t="array" ref="AG18">IF(Table26[[#This Row],[9]]="","",Table26[[#This Row],[Weight]:[Weight]]-(Table26[[#This Row],[Weight]:[Weight]]*((_xlfn.XMATCH(Table26[[#This Row],[9]],Table26[[#This Row],[1]:[11]],0))-1)/(COUNTA(Table26[[#This Row],[1]:[11]])-COUNTBLANK(Table26[[#This Row],[1]:[11]])-1)))</f>
        <v/>
      </c>
      <c r="AH18" s="30" t="str" cm="1">
        <f t="array" ref="AH18">IF(Table26[[#This Row],[10]]="","",Table26[[#This Row],[Weight]:[Weight]]-(Table26[[#This Row],[Weight]:[Weight]]*((_xlfn.XMATCH(Table26[[#This Row],[10]],Table26[[#This Row],[1]:[11]],0))-1)/(COUNTA(Table26[[#This Row],[1]:[11]])-COUNTBLANK(Table26[[#This Row],[1]:[11]])-1)))</f>
        <v/>
      </c>
      <c r="AI18" s="30" t="str" cm="1">
        <f t="array" ref="AI18">IF(Table26[[#This Row],[11]]="","",Table26[[#This Row],[Weight]:[Weight]]-(Table26[[#This Row],[Weight]:[Weight]]*((_xlfn.XMATCH(Table26[[#This Row],[11]],Table26[[#This Row],[1]:[11]],0))-1)/(COUNTA(Table26[[#This Row],[1]:[11]])-COUNTBLANK(Table26[[#This Row],[1]:[11]])-1)))</f>
        <v/>
      </c>
    </row>
    <row r="19" spans="1:35" ht="23" x14ac:dyDescent="0.25">
      <c r="A19" s="20">
        <v>7</v>
      </c>
      <c r="B19" s="33" t="s">
        <v>148</v>
      </c>
      <c r="C19" s="21" t="s">
        <v>149</v>
      </c>
      <c r="D19" s="33"/>
      <c r="E19" s="33"/>
      <c r="F19" s="22" t="s">
        <v>114</v>
      </c>
      <c r="G19" s="35" cm="1">
        <f t="array" ref="G19">_xlfn.IFS(F19="","",F19="No interest",0,F19="Nice to have",1,F19="Useful",2,F19="Important",3,F19="Very important",4,F19="Critical",5,F19="Show stopper",6)</f>
        <v>5</v>
      </c>
      <c r="H19" s="36">
        <f t="shared" si="1"/>
        <v>1.6666666666666666E-2</v>
      </c>
      <c r="I19" s="25" t="s">
        <v>135</v>
      </c>
      <c r="J19" s="37" t="str" cm="1">
        <f t="array" ref="J19">_xlfn.TEXTJOIN(","&amp;CHAR(10),,TEXT(Table26[[#This Row],[12]:[22]],"0.00%"))</f>
        <v>1.67%,
0.00%</v>
      </c>
      <c r="K19" s="26" t="s">
        <v>120</v>
      </c>
      <c r="L19" s="39">
        <f>H19-(H19*((MATCH(Table26[[#This Row],[Evaluators Response (SELECT)]],Table26[[#This Row],[1]:[11]],0)-1)/(COUNTA(Table26[[#This Row],[1]:[11]])-COUNTBLANK(Table26[[#This Row],[1]:[11]])-1)))</f>
        <v>1.6666666666666666E-2</v>
      </c>
      <c r="M19" s="40"/>
      <c r="N19" s="29" t="str" cm="1">
        <f t="array" ref="N19">IFERROR(INDEX(_xlfn.UNIQUE(TRIM(_xlfn.TEXTSPLIT(Table26[[#This Row],[Selection Options]:[Selection Options]],","))),,N$11),"")</f>
        <v>Yes</v>
      </c>
      <c r="O19" s="29" t="str" cm="1">
        <f t="array" ref="O19">IFERROR(INDEX(_xlfn.UNIQUE(TRIM(_xlfn.TEXTSPLIT(Table26[[#This Row],[Selection Options]:[Selection Options]],","))),,O$11),"")</f>
        <v xml:space="preserve">
No</v>
      </c>
      <c r="P19" s="29" t="str" cm="1">
        <f t="array" ref="P19">IFERROR(INDEX(_xlfn.UNIQUE(TRIM(_xlfn.TEXTSPLIT(Table26[[#This Row],[Selection Options]:[Selection Options]],","))),,P$11),"")</f>
        <v/>
      </c>
      <c r="Q19" s="29" t="str" cm="1">
        <f t="array" ref="Q19">IFERROR(INDEX(_xlfn.UNIQUE(TRIM(_xlfn.TEXTSPLIT(Table26[[#This Row],[Selection Options]:[Selection Options]],","))),,Q$11),"")</f>
        <v/>
      </c>
      <c r="R19" s="29" t="str" cm="1">
        <f t="array" ref="R19">IFERROR(INDEX(_xlfn.UNIQUE(TRIM(_xlfn.TEXTSPLIT(Table26[[#This Row],[Selection Options]:[Selection Options]],","))),,R$11),"")</f>
        <v/>
      </c>
      <c r="S19" s="29" t="str" cm="1">
        <f t="array" ref="S19">IFERROR(INDEX(_xlfn.UNIQUE(TRIM(_xlfn.TEXTSPLIT(Table26[[#This Row],[Selection Options]:[Selection Options]],","))),,S$11),"")</f>
        <v/>
      </c>
      <c r="T19" s="29" t="str" cm="1">
        <f t="array" ref="T19">IFERROR(INDEX(_xlfn.UNIQUE(TRIM(_xlfn.TEXTSPLIT(Table26[[#This Row],[Selection Options]:[Selection Options]],","))),,T$11),"")</f>
        <v/>
      </c>
      <c r="U19" s="29" t="str" cm="1">
        <f t="array" ref="U19">IFERROR(INDEX(_xlfn.UNIQUE(TRIM(_xlfn.TEXTSPLIT(Table26[[#This Row],[Selection Options]:[Selection Options]],","))),,U$11),"")</f>
        <v/>
      </c>
      <c r="V19" s="29" t="str" cm="1">
        <f t="array" ref="V19">IFERROR(INDEX(_xlfn.UNIQUE(TRIM(_xlfn.TEXTSPLIT(Table26[[#This Row],[Selection Options]:[Selection Options]],","))),,V$11),"")</f>
        <v/>
      </c>
      <c r="W19" s="29" t="str" cm="1">
        <f t="array" ref="W19">IFERROR(INDEX(_xlfn.UNIQUE(TRIM(_xlfn.TEXTSPLIT(Table26[[#This Row],[Selection Options]:[Selection Options]],","))),,W$11),"")</f>
        <v/>
      </c>
      <c r="X19" s="29" t="str" cm="1">
        <f t="array" ref="X19">IFERROR(INDEX(_xlfn.UNIQUE(TRIM(_xlfn.TEXTSPLIT(Table26[[#This Row],[Selection Options]:[Selection Options]],","))),,X$11),"")</f>
        <v/>
      </c>
      <c r="Y19" s="30" cm="1">
        <f t="array" ref="Y19">IF(Table26[[#This Row],[1]]="","",Table26[[#This Row],[Weight]:[Weight]]-(Table26[[#This Row],[Weight]:[Weight]]*((_xlfn.XMATCH(Table26[[#This Row],[1]],Table26[[#This Row],[1]:[11]],0))-1)/(COUNTA(Table26[[#This Row],[1]:[11]])-COUNTBLANK(Table26[[#This Row],[1]:[11]])-1)))</f>
        <v>1.6666666666666666E-2</v>
      </c>
      <c r="Z19" s="30" cm="1">
        <f t="array" ref="Z19">IF(Table26[[#This Row],[2]]="","",Table26[[#This Row],[Weight]:[Weight]]-(Table26[[#This Row],[Weight]:[Weight]]*((_xlfn.XMATCH(Table26[[#This Row],[2]],Table26[[#This Row],[1]:[11]],0))-1)/(COUNTA(Table26[[#This Row],[1]:[11]])-COUNTBLANK(Table26[[#This Row],[1]:[11]])-1)))</f>
        <v>0</v>
      </c>
      <c r="AA19" s="30" t="str" cm="1">
        <f t="array" ref="AA19">IF(Table26[[#This Row],[3]]="","",Table26[[#This Row],[Weight]:[Weight]]-(Table26[[#This Row],[Weight]:[Weight]]*((_xlfn.XMATCH(Table26[[#This Row],[3]],Table26[[#This Row],[1]:[11]],0))-1)/(COUNTA(Table26[[#This Row],[1]:[11]])-COUNTBLANK(Table26[[#This Row],[1]:[11]])-1)))</f>
        <v/>
      </c>
      <c r="AB19" s="30" t="str" cm="1">
        <f t="array" ref="AB19">IF(Table26[[#This Row],[4]]="","",Table26[[#This Row],[Weight]:[Weight]]-(Table26[[#This Row],[Weight]:[Weight]]*((_xlfn.XMATCH(Table26[[#This Row],[4]],Table26[[#This Row],[1]:[11]],0))-1)/(COUNTA(Table26[[#This Row],[1]:[11]])-COUNTBLANK(Table26[[#This Row],[1]:[11]])-1)))</f>
        <v/>
      </c>
      <c r="AC19" s="30" t="str" cm="1">
        <f t="array" ref="AC19">IF(Table26[[#This Row],[5]]="","",Table26[[#This Row],[Weight]:[Weight]]-(Table26[[#This Row],[Weight]:[Weight]]*((_xlfn.XMATCH(Table26[[#This Row],[5]],Table26[[#This Row],[1]:[11]],0))-1)/(COUNTA(Table26[[#This Row],[1]:[11]])-COUNTBLANK(Table26[[#This Row],[1]:[11]])-1)))</f>
        <v/>
      </c>
      <c r="AD19" s="30" t="str" cm="1">
        <f t="array" ref="AD19">IF(Table26[[#This Row],[6]]="","",Table26[[#This Row],[Weight]:[Weight]]-(Table26[[#This Row],[Weight]:[Weight]]*((_xlfn.XMATCH(Table26[[#This Row],[6]],Table26[[#This Row],[1]:[11]],0))-1)/(COUNTA(Table26[[#This Row],[1]:[11]])-COUNTBLANK(Table26[[#This Row],[1]:[11]])-1)))</f>
        <v/>
      </c>
      <c r="AE19" s="30" t="str" cm="1">
        <f t="array" ref="AE19">IF(Table26[[#This Row],[7]]="","",Table26[[#This Row],[Weight]:[Weight]]-(Table26[[#This Row],[Weight]:[Weight]]*((_xlfn.XMATCH(Table26[[#This Row],[7]],Table26[[#This Row],[1]:[11]],0))-1)/(COUNTA(Table26[[#This Row],[1]:[11]])-COUNTBLANK(Table26[[#This Row],[1]:[11]])-1)))</f>
        <v/>
      </c>
      <c r="AF19" s="30" t="str" cm="1">
        <f t="array" ref="AF19">IF(Table26[[#This Row],[8]]="","",Table26[[#This Row],[Weight]:[Weight]]-(Table26[[#This Row],[Weight]:[Weight]]*((_xlfn.XMATCH(Table26[[#This Row],[8]],Table26[[#This Row],[1]:[11]],0))-1)/(COUNTA(Table26[[#This Row],[1]:[11]])-COUNTBLANK(Table26[[#This Row],[1]:[11]])-1)))</f>
        <v/>
      </c>
      <c r="AG19" s="30" t="str" cm="1">
        <f t="array" ref="AG19">IF(Table26[[#This Row],[9]]="","",Table26[[#This Row],[Weight]:[Weight]]-(Table26[[#This Row],[Weight]:[Weight]]*((_xlfn.XMATCH(Table26[[#This Row],[9]],Table26[[#This Row],[1]:[11]],0))-1)/(COUNTA(Table26[[#This Row],[1]:[11]])-COUNTBLANK(Table26[[#This Row],[1]:[11]])-1)))</f>
        <v/>
      </c>
      <c r="AH19" s="30" t="str" cm="1">
        <f t="array" ref="AH19">IF(Table26[[#This Row],[10]]="","",Table26[[#This Row],[Weight]:[Weight]]-(Table26[[#This Row],[Weight]:[Weight]]*((_xlfn.XMATCH(Table26[[#This Row],[10]],Table26[[#This Row],[1]:[11]],0))-1)/(COUNTA(Table26[[#This Row],[1]:[11]])-COUNTBLANK(Table26[[#This Row],[1]:[11]])-1)))</f>
        <v/>
      </c>
      <c r="AI19" s="30" t="str" cm="1">
        <f t="array" ref="AI19">IF(Table26[[#This Row],[11]]="","",Table26[[#This Row],[Weight]:[Weight]]-(Table26[[#This Row],[Weight]:[Weight]]*((_xlfn.XMATCH(Table26[[#This Row],[11]],Table26[[#This Row],[1]:[11]],0))-1)/(COUNTA(Table26[[#This Row],[1]:[11]])-COUNTBLANK(Table26[[#This Row],[1]:[11]])-1)))</f>
        <v/>
      </c>
    </row>
    <row r="20" spans="1:35" ht="23" x14ac:dyDescent="0.25">
      <c r="A20" s="20">
        <v>8</v>
      </c>
      <c r="B20" s="33" t="s">
        <v>150</v>
      </c>
      <c r="C20" s="40" t="s">
        <v>244</v>
      </c>
      <c r="D20" s="40"/>
      <c r="E20" s="40"/>
      <c r="F20" s="22" t="s">
        <v>114</v>
      </c>
      <c r="G20" s="35" cm="1">
        <f t="array" ref="G20">_xlfn.IFS(F20="","",F20="No interest",0,F20="Nice to have",1,F20="Useful",2,F20="Important",3,F20="Very important",4,F20="Critical",5,F20="Show stopper",6)</f>
        <v>5</v>
      </c>
      <c r="H20" s="36">
        <f t="shared" si="1"/>
        <v>1.6666666666666666E-2</v>
      </c>
      <c r="I20" s="25" t="s">
        <v>135</v>
      </c>
      <c r="J20" s="37" t="str" cm="1">
        <f t="array" ref="J20">_xlfn.TEXTJOIN(","&amp;CHAR(10),,TEXT(Table26[[#This Row],[12]:[22]],"0.00%"))</f>
        <v>1.67%,
0.00%</v>
      </c>
      <c r="K20" s="26" t="s">
        <v>120</v>
      </c>
      <c r="L20" s="39">
        <f>H20-(H20*((MATCH(Table26[[#This Row],[Evaluators Response (SELECT)]],Table26[[#This Row],[1]:[11]],0)-1)/(COUNTA(Table26[[#This Row],[1]:[11]])-COUNTBLANK(Table26[[#This Row],[1]:[11]])-1)))</f>
        <v>1.6666666666666666E-2</v>
      </c>
      <c r="M20" s="40"/>
      <c r="N20" s="29" t="str" cm="1">
        <f t="array" ref="N20">IFERROR(INDEX(_xlfn.UNIQUE(TRIM(_xlfn.TEXTSPLIT(Table26[[#This Row],[Selection Options]:[Selection Options]],","))),,N$11),"")</f>
        <v>Yes</v>
      </c>
      <c r="O20" s="29" t="str" cm="1">
        <f t="array" ref="O20">IFERROR(INDEX(_xlfn.UNIQUE(TRIM(_xlfn.TEXTSPLIT(Table26[[#This Row],[Selection Options]:[Selection Options]],","))),,O$11),"")</f>
        <v xml:space="preserve">
No</v>
      </c>
      <c r="P20" s="29" t="str" cm="1">
        <f t="array" ref="P20">IFERROR(INDEX(_xlfn.UNIQUE(TRIM(_xlfn.TEXTSPLIT(Table26[[#This Row],[Selection Options]:[Selection Options]],","))),,P$11),"")</f>
        <v/>
      </c>
      <c r="Q20" s="29" t="str" cm="1">
        <f t="array" ref="Q20">IFERROR(INDEX(_xlfn.UNIQUE(TRIM(_xlfn.TEXTSPLIT(Table26[[#This Row],[Selection Options]:[Selection Options]],","))),,Q$11),"")</f>
        <v/>
      </c>
      <c r="R20" s="29" t="str" cm="1">
        <f t="array" ref="R20">IFERROR(INDEX(_xlfn.UNIQUE(TRIM(_xlfn.TEXTSPLIT(Table26[[#This Row],[Selection Options]:[Selection Options]],","))),,R$11),"")</f>
        <v/>
      </c>
      <c r="S20" s="29" t="str" cm="1">
        <f t="array" ref="S20">IFERROR(INDEX(_xlfn.UNIQUE(TRIM(_xlfn.TEXTSPLIT(Table26[[#This Row],[Selection Options]:[Selection Options]],","))),,S$11),"")</f>
        <v/>
      </c>
      <c r="T20" s="29" t="str" cm="1">
        <f t="array" ref="T20">IFERROR(INDEX(_xlfn.UNIQUE(TRIM(_xlfn.TEXTSPLIT(Table26[[#This Row],[Selection Options]:[Selection Options]],","))),,T$11),"")</f>
        <v/>
      </c>
      <c r="U20" s="29" t="str" cm="1">
        <f t="array" ref="U20">IFERROR(INDEX(_xlfn.UNIQUE(TRIM(_xlfn.TEXTSPLIT(Table26[[#This Row],[Selection Options]:[Selection Options]],","))),,U$11),"")</f>
        <v/>
      </c>
      <c r="V20" s="29" t="str" cm="1">
        <f t="array" ref="V20">IFERROR(INDEX(_xlfn.UNIQUE(TRIM(_xlfn.TEXTSPLIT(Table26[[#This Row],[Selection Options]:[Selection Options]],","))),,V$11),"")</f>
        <v/>
      </c>
      <c r="W20" s="29" t="str" cm="1">
        <f t="array" ref="W20">IFERROR(INDEX(_xlfn.UNIQUE(TRIM(_xlfn.TEXTSPLIT(Table26[[#This Row],[Selection Options]:[Selection Options]],","))),,W$11),"")</f>
        <v/>
      </c>
      <c r="X20" s="29" t="str" cm="1">
        <f t="array" ref="X20">IFERROR(INDEX(_xlfn.UNIQUE(TRIM(_xlfn.TEXTSPLIT(Table26[[#This Row],[Selection Options]:[Selection Options]],","))),,X$11),"")</f>
        <v/>
      </c>
      <c r="Y20" s="30" cm="1">
        <f t="array" ref="Y20">IF(Table26[[#This Row],[1]]="","",Table26[[#This Row],[Weight]:[Weight]]-(Table26[[#This Row],[Weight]:[Weight]]*((_xlfn.XMATCH(Table26[[#This Row],[1]],Table26[[#This Row],[1]:[11]],0))-1)/(COUNTA(Table26[[#This Row],[1]:[11]])-COUNTBLANK(Table26[[#This Row],[1]:[11]])-1)))</f>
        <v>1.6666666666666666E-2</v>
      </c>
      <c r="Z20" s="30" cm="1">
        <f t="array" ref="Z20">IF(Table26[[#This Row],[2]]="","",Table26[[#This Row],[Weight]:[Weight]]-(Table26[[#This Row],[Weight]:[Weight]]*((_xlfn.XMATCH(Table26[[#This Row],[2]],Table26[[#This Row],[1]:[11]],0))-1)/(COUNTA(Table26[[#This Row],[1]:[11]])-COUNTBLANK(Table26[[#This Row],[1]:[11]])-1)))</f>
        <v>0</v>
      </c>
      <c r="AA20" s="30" t="str" cm="1">
        <f t="array" ref="AA20">IF(Table26[[#This Row],[3]]="","",Table26[[#This Row],[Weight]:[Weight]]-(Table26[[#This Row],[Weight]:[Weight]]*((_xlfn.XMATCH(Table26[[#This Row],[3]],Table26[[#This Row],[1]:[11]],0))-1)/(COUNTA(Table26[[#This Row],[1]:[11]])-COUNTBLANK(Table26[[#This Row],[1]:[11]])-1)))</f>
        <v/>
      </c>
      <c r="AB20" s="30" t="str" cm="1">
        <f t="array" ref="AB20">IF(Table26[[#This Row],[4]]="","",Table26[[#This Row],[Weight]:[Weight]]-(Table26[[#This Row],[Weight]:[Weight]]*((_xlfn.XMATCH(Table26[[#This Row],[4]],Table26[[#This Row],[1]:[11]],0))-1)/(COUNTA(Table26[[#This Row],[1]:[11]])-COUNTBLANK(Table26[[#This Row],[1]:[11]])-1)))</f>
        <v/>
      </c>
      <c r="AC20" s="30" t="str" cm="1">
        <f t="array" ref="AC20">IF(Table26[[#This Row],[5]]="","",Table26[[#This Row],[Weight]:[Weight]]-(Table26[[#This Row],[Weight]:[Weight]]*((_xlfn.XMATCH(Table26[[#This Row],[5]],Table26[[#This Row],[1]:[11]],0))-1)/(COUNTA(Table26[[#This Row],[1]:[11]])-COUNTBLANK(Table26[[#This Row],[1]:[11]])-1)))</f>
        <v/>
      </c>
      <c r="AD20" s="30" t="str" cm="1">
        <f t="array" ref="AD20">IF(Table26[[#This Row],[6]]="","",Table26[[#This Row],[Weight]:[Weight]]-(Table26[[#This Row],[Weight]:[Weight]]*((_xlfn.XMATCH(Table26[[#This Row],[6]],Table26[[#This Row],[1]:[11]],0))-1)/(COUNTA(Table26[[#This Row],[1]:[11]])-COUNTBLANK(Table26[[#This Row],[1]:[11]])-1)))</f>
        <v/>
      </c>
      <c r="AE20" s="30" t="str" cm="1">
        <f t="array" ref="AE20">IF(Table26[[#This Row],[7]]="","",Table26[[#This Row],[Weight]:[Weight]]-(Table26[[#This Row],[Weight]:[Weight]]*((_xlfn.XMATCH(Table26[[#This Row],[7]],Table26[[#This Row],[1]:[11]],0))-1)/(COUNTA(Table26[[#This Row],[1]:[11]])-COUNTBLANK(Table26[[#This Row],[1]:[11]])-1)))</f>
        <v/>
      </c>
      <c r="AF20" s="30" t="str" cm="1">
        <f t="array" ref="AF20">IF(Table26[[#This Row],[8]]="","",Table26[[#This Row],[Weight]:[Weight]]-(Table26[[#This Row],[Weight]:[Weight]]*((_xlfn.XMATCH(Table26[[#This Row],[8]],Table26[[#This Row],[1]:[11]],0))-1)/(COUNTA(Table26[[#This Row],[1]:[11]])-COUNTBLANK(Table26[[#This Row],[1]:[11]])-1)))</f>
        <v/>
      </c>
      <c r="AG20" s="30" t="str" cm="1">
        <f t="array" ref="AG20">IF(Table26[[#This Row],[9]]="","",Table26[[#This Row],[Weight]:[Weight]]-(Table26[[#This Row],[Weight]:[Weight]]*((_xlfn.XMATCH(Table26[[#This Row],[9]],Table26[[#This Row],[1]:[11]],0))-1)/(COUNTA(Table26[[#This Row],[1]:[11]])-COUNTBLANK(Table26[[#This Row],[1]:[11]])-1)))</f>
        <v/>
      </c>
      <c r="AH20" s="30" t="str" cm="1">
        <f t="array" ref="AH20">IF(Table26[[#This Row],[10]]="","",Table26[[#This Row],[Weight]:[Weight]]-(Table26[[#This Row],[Weight]:[Weight]]*((_xlfn.XMATCH(Table26[[#This Row],[10]],Table26[[#This Row],[1]:[11]],0))-1)/(COUNTA(Table26[[#This Row],[1]:[11]])-COUNTBLANK(Table26[[#This Row],[1]:[11]])-1)))</f>
        <v/>
      </c>
      <c r="AI20" s="30" t="str" cm="1">
        <f t="array" ref="AI20">IF(Table26[[#This Row],[11]]="","",Table26[[#This Row],[Weight]:[Weight]]-(Table26[[#This Row],[Weight]:[Weight]]*((_xlfn.XMATCH(Table26[[#This Row],[11]],Table26[[#This Row],[1]:[11]],0))-1)/(COUNTA(Table26[[#This Row],[1]:[11]])-COUNTBLANK(Table26[[#This Row],[1]:[11]])-1)))</f>
        <v/>
      </c>
    </row>
    <row r="21" spans="1:35" ht="23" x14ac:dyDescent="0.25">
      <c r="A21" s="20">
        <v>9</v>
      </c>
      <c r="B21" s="33" t="s">
        <v>151</v>
      </c>
      <c r="C21" s="21" t="s">
        <v>152</v>
      </c>
      <c r="D21" s="40"/>
      <c r="E21" s="40"/>
      <c r="F21" s="22" t="s">
        <v>114</v>
      </c>
      <c r="G21" s="35" cm="1">
        <f t="array" ref="G21">_xlfn.IFS(F21="","",F21="No interest",0,F21="Nice to have",1,F21="Useful",2,F21="Important",3,F21="Very important",4,F21="Critical",5,F21="Show stopper",6)</f>
        <v>5</v>
      </c>
      <c r="H21" s="36">
        <f t="shared" si="1"/>
        <v>1.6666666666666666E-2</v>
      </c>
      <c r="I21" s="25" t="s">
        <v>135</v>
      </c>
      <c r="J21" s="37" t="str" cm="1">
        <f t="array" ref="J21">_xlfn.TEXTJOIN(","&amp;CHAR(10),,TEXT(Table26[[#This Row],[12]:[22]],"0.00%"))</f>
        <v>1.67%,
0.00%</v>
      </c>
      <c r="K21" s="26" t="s">
        <v>120</v>
      </c>
      <c r="L21" s="39">
        <f>H21-(H21*((MATCH(Table26[[#This Row],[Evaluators Response (SELECT)]],Table26[[#This Row],[1]:[11]],0)-1)/(COUNTA(Table26[[#This Row],[1]:[11]])-COUNTBLANK(Table26[[#This Row],[1]:[11]])-1)))</f>
        <v>1.6666666666666666E-2</v>
      </c>
      <c r="M21" s="40"/>
      <c r="N21" s="29" t="str" cm="1">
        <f t="array" ref="N21">IFERROR(INDEX(_xlfn.UNIQUE(TRIM(_xlfn.TEXTSPLIT(Table26[[#This Row],[Selection Options]:[Selection Options]],","))),,N$11),"")</f>
        <v>Yes</v>
      </c>
      <c r="O21" s="29" t="str" cm="1">
        <f t="array" ref="O21">IFERROR(INDEX(_xlfn.UNIQUE(TRIM(_xlfn.TEXTSPLIT(Table26[[#This Row],[Selection Options]:[Selection Options]],","))),,O$11),"")</f>
        <v xml:space="preserve">
No</v>
      </c>
      <c r="P21" s="29" t="str" cm="1">
        <f t="array" ref="P21">IFERROR(INDEX(_xlfn.UNIQUE(TRIM(_xlfn.TEXTSPLIT(Table26[[#This Row],[Selection Options]:[Selection Options]],","))),,P$11),"")</f>
        <v/>
      </c>
      <c r="Q21" s="29" t="str" cm="1">
        <f t="array" ref="Q21">IFERROR(INDEX(_xlfn.UNIQUE(TRIM(_xlfn.TEXTSPLIT(Table26[[#This Row],[Selection Options]:[Selection Options]],","))),,Q$11),"")</f>
        <v/>
      </c>
      <c r="R21" s="29" t="str" cm="1">
        <f t="array" ref="R21">IFERROR(INDEX(_xlfn.UNIQUE(TRIM(_xlfn.TEXTSPLIT(Table26[[#This Row],[Selection Options]:[Selection Options]],","))),,R$11),"")</f>
        <v/>
      </c>
      <c r="S21" s="29" t="str" cm="1">
        <f t="array" ref="S21">IFERROR(INDEX(_xlfn.UNIQUE(TRIM(_xlfn.TEXTSPLIT(Table26[[#This Row],[Selection Options]:[Selection Options]],","))),,S$11),"")</f>
        <v/>
      </c>
      <c r="T21" s="29" t="str" cm="1">
        <f t="array" ref="T21">IFERROR(INDEX(_xlfn.UNIQUE(TRIM(_xlfn.TEXTSPLIT(Table26[[#This Row],[Selection Options]:[Selection Options]],","))),,T$11),"")</f>
        <v/>
      </c>
      <c r="U21" s="29" t="str" cm="1">
        <f t="array" ref="U21">IFERROR(INDEX(_xlfn.UNIQUE(TRIM(_xlfn.TEXTSPLIT(Table26[[#This Row],[Selection Options]:[Selection Options]],","))),,U$11),"")</f>
        <v/>
      </c>
      <c r="V21" s="29" t="str" cm="1">
        <f t="array" ref="V21">IFERROR(INDEX(_xlfn.UNIQUE(TRIM(_xlfn.TEXTSPLIT(Table26[[#This Row],[Selection Options]:[Selection Options]],","))),,V$11),"")</f>
        <v/>
      </c>
      <c r="W21" s="29" t="str" cm="1">
        <f t="array" ref="W21">IFERROR(INDEX(_xlfn.UNIQUE(TRIM(_xlfn.TEXTSPLIT(Table26[[#This Row],[Selection Options]:[Selection Options]],","))),,W$11),"")</f>
        <v/>
      </c>
      <c r="X21" s="29" t="str" cm="1">
        <f t="array" ref="X21">IFERROR(INDEX(_xlfn.UNIQUE(TRIM(_xlfn.TEXTSPLIT(Table26[[#This Row],[Selection Options]:[Selection Options]],","))),,X$11),"")</f>
        <v/>
      </c>
      <c r="Y21" s="30" cm="1">
        <f t="array" ref="Y21">IF(Table26[[#This Row],[1]]="","",Table26[[#This Row],[Weight]:[Weight]]-(Table26[[#This Row],[Weight]:[Weight]]*((_xlfn.XMATCH(Table26[[#This Row],[1]],Table26[[#This Row],[1]:[11]],0))-1)/(COUNTA(Table26[[#This Row],[1]:[11]])-COUNTBLANK(Table26[[#This Row],[1]:[11]])-1)))</f>
        <v>1.6666666666666666E-2</v>
      </c>
      <c r="Z21" s="30" cm="1">
        <f t="array" ref="Z21">IF(Table26[[#This Row],[2]]="","",Table26[[#This Row],[Weight]:[Weight]]-(Table26[[#This Row],[Weight]:[Weight]]*((_xlfn.XMATCH(Table26[[#This Row],[2]],Table26[[#This Row],[1]:[11]],0))-1)/(COUNTA(Table26[[#This Row],[1]:[11]])-COUNTBLANK(Table26[[#This Row],[1]:[11]])-1)))</f>
        <v>0</v>
      </c>
      <c r="AA21" s="30" t="str" cm="1">
        <f t="array" ref="AA21">IF(Table26[[#This Row],[3]]="","",Table26[[#This Row],[Weight]:[Weight]]-(Table26[[#This Row],[Weight]:[Weight]]*((_xlfn.XMATCH(Table26[[#This Row],[3]],Table26[[#This Row],[1]:[11]],0))-1)/(COUNTA(Table26[[#This Row],[1]:[11]])-COUNTBLANK(Table26[[#This Row],[1]:[11]])-1)))</f>
        <v/>
      </c>
      <c r="AB21" s="30" t="str" cm="1">
        <f t="array" ref="AB21">IF(Table26[[#This Row],[4]]="","",Table26[[#This Row],[Weight]:[Weight]]-(Table26[[#This Row],[Weight]:[Weight]]*((_xlfn.XMATCH(Table26[[#This Row],[4]],Table26[[#This Row],[1]:[11]],0))-1)/(COUNTA(Table26[[#This Row],[1]:[11]])-COUNTBLANK(Table26[[#This Row],[1]:[11]])-1)))</f>
        <v/>
      </c>
      <c r="AC21" s="30" t="str" cm="1">
        <f t="array" ref="AC21">IF(Table26[[#This Row],[5]]="","",Table26[[#This Row],[Weight]:[Weight]]-(Table26[[#This Row],[Weight]:[Weight]]*((_xlfn.XMATCH(Table26[[#This Row],[5]],Table26[[#This Row],[1]:[11]],0))-1)/(COUNTA(Table26[[#This Row],[1]:[11]])-COUNTBLANK(Table26[[#This Row],[1]:[11]])-1)))</f>
        <v/>
      </c>
      <c r="AD21" s="30" t="str" cm="1">
        <f t="array" ref="AD21">IF(Table26[[#This Row],[6]]="","",Table26[[#This Row],[Weight]:[Weight]]-(Table26[[#This Row],[Weight]:[Weight]]*((_xlfn.XMATCH(Table26[[#This Row],[6]],Table26[[#This Row],[1]:[11]],0))-1)/(COUNTA(Table26[[#This Row],[1]:[11]])-COUNTBLANK(Table26[[#This Row],[1]:[11]])-1)))</f>
        <v/>
      </c>
      <c r="AE21" s="30" t="str" cm="1">
        <f t="array" ref="AE21">IF(Table26[[#This Row],[7]]="","",Table26[[#This Row],[Weight]:[Weight]]-(Table26[[#This Row],[Weight]:[Weight]]*((_xlfn.XMATCH(Table26[[#This Row],[7]],Table26[[#This Row],[1]:[11]],0))-1)/(COUNTA(Table26[[#This Row],[1]:[11]])-COUNTBLANK(Table26[[#This Row],[1]:[11]])-1)))</f>
        <v/>
      </c>
      <c r="AF21" s="30" t="str" cm="1">
        <f t="array" ref="AF21">IF(Table26[[#This Row],[8]]="","",Table26[[#This Row],[Weight]:[Weight]]-(Table26[[#This Row],[Weight]:[Weight]]*((_xlfn.XMATCH(Table26[[#This Row],[8]],Table26[[#This Row],[1]:[11]],0))-1)/(COUNTA(Table26[[#This Row],[1]:[11]])-COUNTBLANK(Table26[[#This Row],[1]:[11]])-1)))</f>
        <v/>
      </c>
      <c r="AG21" s="30" t="str" cm="1">
        <f t="array" ref="AG21">IF(Table26[[#This Row],[9]]="","",Table26[[#This Row],[Weight]:[Weight]]-(Table26[[#This Row],[Weight]:[Weight]]*((_xlfn.XMATCH(Table26[[#This Row],[9]],Table26[[#This Row],[1]:[11]],0))-1)/(COUNTA(Table26[[#This Row],[1]:[11]])-COUNTBLANK(Table26[[#This Row],[1]:[11]])-1)))</f>
        <v/>
      </c>
      <c r="AH21" s="30" t="str" cm="1">
        <f t="array" ref="AH21">IF(Table26[[#This Row],[10]]="","",Table26[[#This Row],[Weight]:[Weight]]-(Table26[[#This Row],[Weight]:[Weight]]*((_xlfn.XMATCH(Table26[[#This Row],[10]],Table26[[#This Row],[1]:[11]],0))-1)/(COUNTA(Table26[[#This Row],[1]:[11]])-COUNTBLANK(Table26[[#This Row],[1]:[11]])-1)))</f>
        <v/>
      </c>
      <c r="AI21" s="30" t="str" cm="1">
        <f t="array" ref="AI21">IF(Table26[[#This Row],[11]]="","",Table26[[#This Row],[Weight]:[Weight]]-(Table26[[#This Row],[Weight]:[Weight]]*((_xlfn.XMATCH(Table26[[#This Row],[11]],Table26[[#This Row],[1]:[11]],0))-1)/(COUNTA(Table26[[#This Row],[1]:[11]])-COUNTBLANK(Table26[[#This Row],[1]:[11]])-1)))</f>
        <v/>
      </c>
    </row>
  </sheetData>
  <sheetProtection insertRows="0" insertHyperlinks="0" deleteRows="0" autoFilter="0"/>
  <mergeCells count="4">
    <mergeCell ref="A10:A11"/>
    <mergeCell ref="B10:C11"/>
    <mergeCell ref="D10:E11"/>
    <mergeCell ref="E2:F3"/>
  </mergeCells>
  <conditionalFormatting sqref="K13:K21">
    <cfRule type="expression" dxfId="4" priority="1">
      <formula>COUNTIF(N13:X13,K13)&lt;&gt;1</formula>
    </cfRule>
  </conditionalFormatting>
  <dataValidations count="4">
    <dataValidation type="list" allowBlank="1" showInputMessage="1" showErrorMessage="1" sqref="M14" xr:uid="{789DCAF9-F524-4F4E-9E30-9DA3A46D8A4B}">
      <formula1>_xlfn.UNIQUE(TRIM(_xlfn.TEXTSPLIT(#REF!,",")))</formula1>
    </dataValidation>
    <dataValidation type="list" allowBlank="1" showInputMessage="1" showErrorMessage="1" sqref="F13:F21" xr:uid="{21CC083E-34C5-4534-A1EE-1E925571396A}">
      <formula1>"No interest,Nice to have,Useful,Important,Very important,Critical,Show stopper"</formula1>
    </dataValidation>
    <dataValidation type="list" allowBlank="1" showInputMessage="1" showErrorMessage="1" sqref="K13:K21" xr:uid="{BBE5822D-5345-45C9-A72E-4C42FF91B008}">
      <formula1>$N13:$X13</formula1>
    </dataValidation>
    <dataValidation type="list" allowBlank="1" showInputMessage="1" showErrorMessage="1" sqref="H13:H21" xr:uid="{09490514-F660-4040-892B-668D8BE19FD5}">
      <formula1>N13:R13</formula1>
    </dataValidation>
  </dataValidations>
  <pageMargins left="0.7" right="0.7" top="0.75" bottom="0.75" header="0.3" footer="0.3"/>
  <pageSetup paperSize="9" scale="50"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F7925-27A1-4E69-AA22-11FE9C045D19}">
  <sheetPr>
    <tabColor theme="2" tint="-0.499984740745262"/>
  </sheetPr>
  <dimension ref="A2:AI31"/>
  <sheetViews>
    <sheetView zoomScaleNormal="100" workbookViewId="0">
      <pane xSplit="1" ySplit="11" topLeftCell="B12" activePane="bottomRight" state="frozen"/>
      <selection pane="topRight" activeCell="B1" sqref="B1"/>
      <selection pane="bottomLeft" activeCell="A4" sqref="A4"/>
      <selection pane="bottomRight" activeCell="E13" sqref="E13"/>
    </sheetView>
  </sheetViews>
  <sheetFormatPr defaultColWidth="5.54296875" defaultRowHeight="11.5" x14ac:dyDescent="0.25"/>
  <cols>
    <col min="1" max="1" width="3" style="6" bestFit="1" customWidth="1"/>
    <col min="2" max="2" width="45" style="6" customWidth="1"/>
    <col min="3" max="3" width="38.81640625" style="6" customWidth="1"/>
    <col min="4" max="4" width="28.54296875" style="6" bestFit="1" customWidth="1"/>
    <col min="5" max="5" width="31.26953125" style="6" bestFit="1" customWidth="1"/>
    <col min="6" max="6" width="18.54296875" style="6" bestFit="1" customWidth="1"/>
    <col min="7" max="7" width="11.26953125" style="6" bestFit="1" customWidth="1"/>
    <col min="8" max="8" width="13.7265625" style="6" bestFit="1" customWidth="1"/>
    <col min="9" max="9" width="19.453125" style="6" bestFit="1" customWidth="1"/>
    <col min="10" max="10" width="8" style="6" customWidth="1"/>
    <col min="11" max="11" width="15.81640625" style="6" customWidth="1"/>
    <col min="12" max="12" width="7.81640625" style="45" bestFit="1" customWidth="1"/>
    <col min="13" max="13" width="19.7265625" style="6" bestFit="1" customWidth="1"/>
    <col min="14" max="14" width="6.54296875" style="46" hidden="1" customWidth="1"/>
    <col min="15" max="24" width="6.453125" style="46" hidden="1" customWidth="1"/>
    <col min="25" max="25" width="8" style="6" hidden="1" customWidth="1"/>
    <col min="26" max="26" width="5.54296875" style="6" hidden="1" customWidth="1"/>
    <col min="27" max="32" width="6.1796875" style="6" hidden="1" customWidth="1"/>
    <col min="33" max="35" width="5.54296875" style="6" hidden="1" customWidth="1"/>
    <col min="36" max="16384" width="5.54296875" style="6"/>
  </cols>
  <sheetData>
    <row r="2" spans="1:35" ht="14" x14ac:dyDescent="0.3">
      <c r="B2" s="90" t="s">
        <v>82</v>
      </c>
      <c r="C2" s="91" t="s">
        <v>83</v>
      </c>
      <c r="E2" s="226" t="s">
        <v>141</v>
      </c>
      <c r="F2" s="226"/>
    </row>
    <row r="3" spans="1:35" ht="15.75" customHeight="1" x14ac:dyDescent="0.25">
      <c r="B3" s="90" t="s">
        <v>84</v>
      </c>
      <c r="C3" s="173" t="str">
        <f>+'Scoring Summary'!C3</f>
        <v>Enterprise Historian</v>
      </c>
      <c r="E3" s="226"/>
      <c r="F3" s="226"/>
    </row>
    <row r="4" spans="1:35" ht="15.5" x14ac:dyDescent="0.35">
      <c r="B4" s="90" t="s">
        <v>86</v>
      </c>
      <c r="C4" s="93" t="s">
        <v>87</v>
      </c>
      <c r="D4" s="55"/>
      <c r="E4" s="92" t="s">
        <v>74</v>
      </c>
      <c r="F4" s="116"/>
    </row>
    <row r="5" spans="1:35" ht="15.5" x14ac:dyDescent="0.35">
      <c r="B5" s="90" t="s">
        <v>88</v>
      </c>
      <c r="C5" s="93" t="s">
        <v>87</v>
      </c>
      <c r="D5" s="55"/>
      <c r="E5" s="55"/>
    </row>
    <row r="6" spans="1:35" ht="15.5" x14ac:dyDescent="0.35">
      <c r="B6" s="90" t="s">
        <v>90</v>
      </c>
      <c r="C6" s="93" t="s">
        <v>87</v>
      </c>
      <c r="D6" s="55"/>
      <c r="E6" s="55"/>
    </row>
    <row r="7" spans="1:35" ht="42.75" customHeight="1" x14ac:dyDescent="0.35">
      <c r="B7" s="90" t="s">
        <v>91</v>
      </c>
      <c r="C7" s="93"/>
      <c r="D7" s="57"/>
      <c r="E7" s="55"/>
    </row>
    <row r="10" spans="1:35" ht="15" customHeight="1" x14ac:dyDescent="0.25">
      <c r="A10" s="199"/>
      <c r="B10" s="201" t="s">
        <v>14</v>
      </c>
      <c r="C10" s="201"/>
      <c r="D10" s="203" t="s">
        <v>15</v>
      </c>
      <c r="E10" s="204"/>
      <c r="F10" s="1" t="s">
        <v>16</v>
      </c>
      <c r="G10" s="2"/>
      <c r="H10" s="3"/>
      <c r="I10" s="3"/>
      <c r="J10" s="3"/>
      <c r="K10" s="3"/>
      <c r="L10" s="4"/>
      <c r="M10" s="5"/>
      <c r="N10" s="4"/>
      <c r="O10" s="4"/>
      <c r="P10" s="4"/>
      <c r="Q10" s="4"/>
      <c r="R10" s="4"/>
      <c r="S10" s="4"/>
      <c r="T10" s="4"/>
      <c r="U10" s="4"/>
      <c r="V10" s="4"/>
      <c r="W10" s="4"/>
      <c r="X10" s="4"/>
      <c r="Y10" s="4"/>
      <c r="Z10" s="4"/>
      <c r="AA10" s="4"/>
      <c r="AB10" s="4"/>
      <c r="AC10" s="4"/>
      <c r="AD10" s="4"/>
      <c r="AE10" s="4"/>
      <c r="AF10" s="4"/>
      <c r="AG10" s="4"/>
      <c r="AH10" s="4"/>
      <c r="AI10" s="4"/>
    </row>
    <row r="11" spans="1:35" x14ac:dyDescent="0.25">
      <c r="A11" s="200"/>
      <c r="B11" s="202"/>
      <c r="C11" s="202"/>
      <c r="D11" s="205"/>
      <c r="E11" s="205"/>
      <c r="F11" s="170">
        <f>'Scoring Summary'!C17</f>
        <v>0</v>
      </c>
      <c r="G11" s="48">
        <f>SUM(Table25[Priority])</f>
        <v>74</v>
      </c>
      <c r="H11" s="8">
        <f>SUM(Table25[Weight])</f>
        <v>0</v>
      </c>
      <c r="I11" s="7"/>
      <c r="J11" s="7"/>
      <c r="K11" s="9" t="s">
        <v>17</v>
      </c>
      <c r="L11" s="8">
        <f>SUM(Table25[Score])</f>
        <v>0</v>
      </c>
      <c r="M11" s="7"/>
      <c r="N11" s="10">
        <v>1</v>
      </c>
      <c r="O11" s="10">
        <v>2</v>
      </c>
      <c r="P11" s="10">
        <v>3</v>
      </c>
      <c r="Q11" s="10">
        <v>4</v>
      </c>
      <c r="R11" s="10">
        <v>5</v>
      </c>
      <c r="S11" s="10">
        <v>6</v>
      </c>
      <c r="T11" s="10">
        <v>7</v>
      </c>
      <c r="U11" s="10">
        <v>8</v>
      </c>
      <c r="V11" s="10">
        <v>9</v>
      </c>
      <c r="W11" s="10">
        <v>10</v>
      </c>
      <c r="X11" s="10">
        <v>11</v>
      </c>
      <c r="Y11" s="10">
        <v>12</v>
      </c>
      <c r="Z11" s="10">
        <v>13</v>
      </c>
      <c r="AA11" s="10">
        <v>14</v>
      </c>
      <c r="AB11" s="10">
        <v>15</v>
      </c>
      <c r="AC11" s="10">
        <v>16</v>
      </c>
      <c r="AD11" s="10">
        <v>17</v>
      </c>
      <c r="AE11" s="10">
        <v>18</v>
      </c>
      <c r="AF11" s="10">
        <v>19</v>
      </c>
      <c r="AG11" s="10">
        <v>20</v>
      </c>
      <c r="AH11" s="10">
        <v>21</v>
      </c>
      <c r="AI11" s="10">
        <v>22</v>
      </c>
    </row>
    <row r="12" spans="1:35" ht="46" x14ac:dyDescent="0.25">
      <c r="A12" s="11" t="s">
        <v>18</v>
      </c>
      <c r="B12" s="12" t="s">
        <v>19</v>
      </c>
      <c r="C12" s="13" t="s">
        <v>20</v>
      </c>
      <c r="D12" s="14" t="s">
        <v>21</v>
      </c>
      <c r="E12" s="14" t="s">
        <v>22</v>
      </c>
      <c r="F12" s="15" t="s">
        <v>23</v>
      </c>
      <c r="G12" s="16" t="s">
        <v>24</v>
      </c>
      <c r="H12" s="16" t="s">
        <v>25</v>
      </c>
      <c r="I12" s="15" t="s">
        <v>26</v>
      </c>
      <c r="J12" s="16" t="s">
        <v>27</v>
      </c>
      <c r="K12" s="15" t="s">
        <v>28</v>
      </c>
      <c r="L12" s="17" t="s">
        <v>29</v>
      </c>
      <c r="M12" s="15" t="s">
        <v>30</v>
      </c>
      <c r="N12" s="18" t="s">
        <v>31</v>
      </c>
      <c r="O12" s="18" t="s">
        <v>32</v>
      </c>
      <c r="P12" s="18" t="s">
        <v>33</v>
      </c>
      <c r="Q12" s="18" t="s">
        <v>34</v>
      </c>
      <c r="R12" s="18" t="s">
        <v>35</v>
      </c>
      <c r="S12" s="18" t="s">
        <v>36</v>
      </c>
      <c r="T12" s="18" t="s">
        <v>37</v>
      </c>
      <c r="U12" s="18" t="s">
        <v>38</v>
      </c>
      <c r="V12" s="18" t="s">
        <v>39</v>
      </c>
      <c r="W12" s="18" t="s">
        <v>40</v>
      </c>
      <c r="X12" s="18" t="s">
        <v>41</v>
      </c>
      <c r="Y12" s="19" t="s">
        <v>42</v>
      </c>
      <c r="Z12" s="19" t="s">
        <v>43</v>
      </c>
      <c r="AA12" s="19" t="s">
        <v>44</v>
      </c>
      <c r="AB12" s="19" t="s">
        <v>45</v>
      </c>
      <c r="AC12" s="19" t="s">
        <v>46</v>
      </c>
      <c r="AD12" s="19" t="s">
        <v>47</v>
      </c>
      <c r="AE12" s="19" t="s">
        <v>48</v>
      </c>
      <c r="AF12" s="19" t="s">
        <v>49</v>
      </c>
      <c r="AG12" s="19" t="s">
        <v>50</v>
      </c>
      <c r="AH12" s="19" t="s">
        <v>51</v>
      </c>
      <c r="AI12" s="19" t="s">
        <v>52</v>
      </c>
    </row>
    <row r="13" spans="1:35" ht="69" x14ac:dyDescent="0.25">
      <c r="A13" s="20">
        <v>1</v>
      </c>
      <c r="B13" s="21" t="s">
        <v>153</v>
      </c>
      <c r="C13" s="21" t="s">
        <v>154</v>
      </c>
      <c r="D13" s="21"/>
      <c r="E13" s="21" t="s">
        <v>55</v>
      </c>
      <c r="F13" s="22" t="s">
        <v>155</v>
      </c>
      <c r="G13" s="23" cm="1">
        <f t="array" ref="G13">_xlfn.IFS(F13="","",F13="No interest",0,F13="Nice to have",1,F13="Useful",2,F13="Important",3,F13="Very important",4,F13="Critical",5,F13="Show stopper",6)</f>
        <v>1</v>
      </c>
      <c r="H13" s="24">
        <f t="shared" ref="H13:H16" si="0">(G13/$G$11)*$F$11</f>
        <v>0</v>
      </c>
      <c r="I13" s="25" t="s">
        <v>156</v>
      </c>
      <c r="J13" s="25" t="str" cm="1">
        <f t="array" ref="J13">_xlfn.TEXTJOIN(","&amp;CHAR(10),,TEXT(Table25[[#This Row],[12]:[22]],"0,00%"))</f>
        <v>0,00%,
0,00%</v>
      </c>
      <c r="K13" s="26" t="s">
        <v>157</v>
      </c>
      <c r="L13" s="27">
        <f>H13-(H13*((MATCH(Table25[[#This Row],[Evaluators Response (SELECT)]],Table25[[#This Row],[1]:[11]],0)-1)/(COUNTA(Table25[[#This Row],[1]:[11]])-COUNTBLANK(Table25[[#This Row],[1]:[11]])-1)))</f>
        <v>0</v>
      </c>
      <c r="M13" s="28"/>
      <c r="N13" s="29" t="str" cm="1">
        <f t="array" ref="N13">IFERROR(INDEX(_xlfn.UNIQUE(TRIM(_xlfn.TEXTSPLIT(Table25[[#This Row],[Selection Option]:[Selection Option]],","))),,N$11),"")</f>
        <v>Compatible</v>
      </c>
      <c r="O13" s="29" t="str" cm="1">
        <f t="array" ref="O13">IFERROR(INDEX(_xlfn.UNIQUE(TRIM(_xlfn.TEXTSPLIT(Table25[[#This Row],[Selection Option]:[Selection Option]],","))),,O$11),"")</f>
        <v xml:space="preserve">
Incompatible</v>
      </c>
      <c r="P13" s="29" t="str" cm="1">
        <f t="array" ref="P13">IFERROR(INDEX(_xlfn.UNIQUE(TRIM(_xlfn.TEXTSPLIT(Table25[[#This Row],[Selection Option]:[Selection Option]],","))),,P$11),"")</f>
        <v/>
      </c>
      <c r="Q13" s="29" t="str" cm="1">
        <f t="array" ref="Q13">IFERROR(INDEX(_xlfn.UNIQUE(TRIM(_xlfn.TEXTSPLIT(Table25[[#This Row],[Selection Option]:[Selection Option]],","))),,Q$11),"")</f>
        <v/>
      </c>
      <c r="R13" s="29" t="str" cm="1">
        <f t="array" ref="R13">IFERROR(INDEX(_xlfn.UNIQUE(TRIM(_xlfn.TEXTSPLIT(Table25[[#This Row],[Selection Option]:[Selection Option]],","))),,R$11),"")</f>
        <v/>
      </c>
      <c r="S13" s="29" t="str" cm="1">
        <f t="array" ref="S13">IFERROR(INDEX(_xlfn.UNIQUE(TRIM(_xlfn.TEXTSPLIT(Table25[[#This Row],[Selection Option]:[Selection Option]],","))),,S$11),"")</f>
        <v/>
      </c>
      <c r="T13" s="29" t="str" cm="1">
        <f t="array" ref="T13">IFERROR(INDEX(_xlfn.UNIQUE(TRIM(_xlfn.TEXTSPLIT(Table25[[#This Row],[Selection Option]:[Selection Option]],","))),,T$11),"")</f>
        <v/>
      </c>
      <c r="U13" s="29" t="str" cm="1">
        <f t="array" ref="U13">IFERROR(INDEX(_xlfn.UNIQUE(TRIM(_xlfn.TEXTSPLIT(Table25[[#This Row],[Selection Option]:[Selection Option]],","))),,U$11),"")</f>
        <v/>
      </c>
      <c r="V13" s="29" t="str" cm="1">
        <f t="array" ref="V13">IFERROR(INDEX(_xlfn.UNIQUE(TRIM(_xlfn.TEXTSPLIT(Table25[[#This Row],[Selection Option]:[Selection Option]],","))),,V$11),"")</f>
        <v/>
      </c>
      <c r="W13" s="29" t="str" cm="1">
        <f t="array" ref="W13">IFERROR(INDEX(_xlfn.UNIQUE(TRIM(_xlfn.TEXTSPLIT(Table25[[#This Row],[Selection Option]:[Selection Option]],","))),,W$11),"")</f>
        <v/>
      </c>
      <c r="X13" s="29" t="str" cm="1">
        <f t="array" ref="X13">IFERROR(INDEX(_xlfn.UNIQUE(TRIM(_xlfn.TEXTSPLIT(Table25[[#This Row],[Selection Option]:[Selection Option]],","))),,X$11),"")</f>
        <v/>
      </c>
      <c r="Y13" s="30" cm="1">
        <f t="array" ref="Y13">IF(Table25[[#This Row],[1]]="","",Table25[[#This Row],[Weight]:[Weight]]-(Table25[[#This Row],[Weight]:[Weight]]*((_xlfn.XMATCH(Table25[[#This Row],[1]],Table25[[#This Row],[1]:[11]],0))-1)/(COUNTA(Table25[[#This Row],[1]:[11]])-COUNTBLANK(Table25[[#This Row],[1]:[11]])-1)))</f>
        <v>0</v>
      </c>
      <c r="Z13" s="30" cm="1">
        <f t="array" ref="Z13">IF(Table25[[#This Row],[2]]="","",Table25[[#This Row],[Weight]:[Weight]]-(Table25[[#This Row],[Weight]:[Weight]]*((_xlfn.XMATCH(Table25[[#This Row],[2]],Table25[[#This Row],[1]:[11]],0))-1)/(COUNTA(Table25[[#This Row],[1]:[11]])-COUNTBLANK(Table25[[#This Row],[1]:[11]])-1)))</f>
        <v>0</v>
      </c>
      <c r="AA13" s="30" t="str" cm="1">
        <f t="array" ref="AA13">IF(Table25[[#This Row],[3]]="","",Table25[[#This Row],[Weight]:[Weight]]-(Table25[[#This Row],[Weight]:[Weight]]*((_xlfn.XMATCH(Table25[[#This Row],[3]],Table25[[#This Row],[1]:[11]],0))-1)/(COUNTA(Table25[[#This Row],[1]:[11]])-COUNTBLANK(Table25[[#This Row],[1]:[11]])-1)))</f>
        <v/>
      </c>
      <c r="AB13" s="30" t="str" cm="1">
        <f t="array" ref="AB13">IF(Table25[[#This Row],[4]]="","",Table25[[#This Row],[Weight]:[Weight]]-(Table25[[#This Row],[Weight]:[Weight]]*((_xlfn.XMATCH(Table25[[#This Row],[4]],Table25[[#This Row],[1]:[11]],0))-1)/(COUNTA(Table25[[#This Row],[1]:[11]])-COUNTBLANK(Table25[[#This Row],[1]:[11]])-1)))</f>
        <v/>
      </c>
      <c r="AC13" s="30" t="str" cm="1">
        <f t="array" ref="AC13">IF(Table25[[#This Row],[5]]="","",Table25[[#This Row],[Weight]:[Weight]]-(Table25[[#This Row],[Weight]:[Weight]]*((_xlfn.XMATCH(Table25[[#This Row],[5]],Table25[[#This Row],[1]:[11]],0))-1)/(COUNTA(Table25[[#This Row],[1]:[11]])-COUNTBLANK(Table25[[#This Row],[1]:[11]])-1)))</f>
        <v/>
      </c>
      <c r="AD13" s="30" t="str" cm="1">
        <f t="array" ref="AD13">IF(Table25[[#This Row],[6]]="","",Table25[[#This Row],[Weight]:[Weight]]-(Table25[[#This Row],[Weight]:[Weight]]*((_xlfn.XMATCH(Table25[[#This Row],[6]],Table25[[#This Row],[1]:[11]],0))-1)/(COUNTA(Table25[[#This Row],[1]:[11]])-COUNTBLANK(Table25[[#This Row],[1]:[11]])-1)))</f>
        <v/>
      </c>
      <c r="AE13" s="30" t="str" cm="1">
        <f t="array" ref="AE13">IF(Table25[[#This Row],[7]]="","",Table25[[#This Row],[Weight]:[Weight]]-(Table25[[#This Row],[Weight]:[Weight]]*((_xlfn.XMATCH(Table25[[#This Row],[7]],Table25[[#This Row],[1]:[11]],0))-1)/(COUNTA(Table25[[#This Row],[1]:[11]])-COUNTBLANK(Table25[[#This Row],[1]:[11]])-1)))</f>
        <v/>
      </c>
      <c r="AF13" s="30" t="str" cm="1">
        <f t="array" ref="AF13">IF(Table25[[#This Row],[8]]="","",Table25[[#This Row],[Weight]:[Weight]]-(Table25[[#This Row],[Weight]:[Weight]]*((_xlfn.XMATCH(Table25[[#This Row],[8]],Table25[[#This Row],[1]:[11]],0))-1)/(COUNTA(Table25[[#This Row],[1]:[11]])-COUNTBLANK(Table25[[#This Row],[1]:[11]])-1)))</f>
        <v/>
      </c>
      <c r="AG13" s="30" t="str" cm="1">
        <f t="array" ref="AG13">IF(Table25[[#This Row],[9]]="","",Table25[[#This Row],[Weight]:[Weight]]-(Table25[[#This Row],[Weight]:[Weight]]*((_xlfn.XMATCH(Table25[[#This Row],[9]],Table25[[#This Row],[1]:[11]],0))-1)/(COUNTA(Table25[[#This Row],[1]:[11]])-COUNTBLANK(Table25[[#This Row],[1]:[11]])-1)))</f>
        <v/>
      </c>
      <c r="AH13" s="30" t="str" cm="1">
        <f t="array" ref="AH13">IF(Table25[[#This Row],[10]]="","",Table25[[#This Row],[Weight]:[Weight]]-(Table25[[#This Row],[Weight]:[Weight]]*((_xlfn.XMATCH(Table25[[#This Row],[10]],Table25[[#This Row],[1]:[11]],0))-1)/(COUNTA(Table25[[#This Row],[1]:[11]])-COUNTBLANK(Table25[[#This Row],[1]:[11]])-1)))</f>
        <v/>
      </c>
      <c r="AI13" s="30" t="str" cm="1">
        <f t="array" ref="AI13">IF(Table25[[#This Row],[11]]="","",Table25[[#This Row],[Weight]:[Weight]]-(Table25[[#This Row],[Weight]:[Weight]]*((_xlfn.XMATCH(Table25[[#This Row],[11]],Table25[[#This Row],[1]:[11]],0))-1)/(COUNTA(Table25[[#This Row],[1]:[11]])-COUNTBLANK(Table25[[#This Row],[1]:[11]])-1)))</f>
        <v/>
      </c>
    </row>
    <row r="14" spans="1:35" ht="33" customHeight="1" x14ac:dyDescent="0.25">
      <c r="A14" s="20">
        <v>2</v>
      </c>
      <c r="B14" s="31"/>
      <c r="C14" s="31"/>
      <c r="D14" s="31"/>
      <c r="E14" s="31"/>
      <c r="F14" s="22" t="s">
        <v>114</v>
      </c>
      <c r="G14" s="23" cm="1">
        <f t="array" ref="G14">_xlfn.IFS(F14="","",F14="No interest",0,F14="Nice to have",1,F14="Useful",2,F14="Important",3,F14="Very important",4,F14="Critical",5,F14="Show stopper",6)</f>
        <v>5</v>
      </c>
      <c r="H14" s="24">
        <f t="shared" si="0"/>
        <v>0</v>
      </c>
      <c r="I14" s="25" t="s">
        <v>61</v>
      </c>
      <c r="J14" s="25" t="str" cm="1">
        <f t="array" ref="J14">_xlfn.TEXTJOIN(","&amp;CHAR(10),,TEXT(Table25[[#This Row],[12]:[22]],"0,00%"))</f>
        <v>0,00%,
0,00%,
0,00%,
0,00%</v>
      </c>
      <c r="K14" s="26" t="s">
        <v>62</v>
      </c>
      <c r="L14" s="27">
        <f>H14-(H14*((MATCH(Table25[[#This Row],[Evaluators Response (SELECT)]],Table25[[#This Row],[1]:[11]],0)-1)/(COUNTA(Table25[[#This Row],[1]:[11]])-COUNTBLANK(Table25[[#This Row],[1]:[11]])-1)))</f>
        <v>0</v>
      </c>
      <c r="M14" s="28"/>
      <c r="N14" s="29" t="str" cm="1">
        <f t="array" ref="N14">IFERROR(INDEX(_xlfn.UNIQUE(TRIM(_xlfn.TEXTSPLIT(Table25[[#This Row],[Selection Option]:[Selection Option]],","))),,N$11),"")</f>
        <v>abc</v>
      </c>
      <c r="O14" s="29" t="str" cm="1">
        <f t="array" ref="O14">IFERROR(INDEX(_xlfn.UNIQUE(TRIM(_xlfn.TEXTSPLIT(Table25[[#This Row],[Selection Option]:[Selection Option]],","))),,O$11),"")</f>
        <v xml:space="preserve">
klm</v>
      </c>
      <c r="P14" s="29" t="str" cm="1">
        <f t="array" ref="P14">IFERROR(INDEX(_xlfn.UNIQUE(TRIM(_xlfn.TEXTSPLIT(Table25[[#This Row],[Selection Option]:[Selection Option]],","))),,P$11),"")</f>
        <v xml:space="preserve">
pqr</v>
      </c>
      <c r="Q14" s="29" t="str" cm="1">
        <f t="array" ref="Q14">IFERROR(INDEX(_xlfn.UNIQUE(TRIM(_xlfn.TEXTSPLIT(Table25[[#This Row],[Selection Option]:[Selection Option]],","))),,Q$11),"")</f>
        <v xml:space="preserve">
xyz</v>
      </c>
      <c r="R14" s="29" t="str" cm="1">
        <f t="array" ref="R14">IFERROR(INDEX(_xlfn.UNIQUE(TRIM(_xlfn.TEXTSPLIT(Table25[[#This Row],[Selection Option]:[Selection Option]],","))),,R$11),"")</f>
        <v/>
      </c>
      <c r="S14" s="29" t="str" cm="1">
        <f t="array" ref="S14">IFERROR(INDEX(_xlfn.UNIQUE(TRIM(_xlfn.TEXTSPLIT(Table25[[#This Row],[Selection Option]:[Selection Option]],","))),,S$11),"")</f>
        <v/>
      </c>
      <c r="T14" s="29" t="str" cm="1">
        <f t="array" ref="T14">IFERROR(INDEX(_xlfn.UNIQUE(TRIM(_xlfn.TEXTSPLIT(Table25[[#This Row],[Selection Option]:[Selection Option]],","))),,T$11),"")</f>
        <v/>
      </c>
      <c r="U14" s="29" t="str" cm="1">
        <f t="array" ref="U14">IFERROR(INDEX(_xlfn.UNIQUE(TRIM(_xlfn.TEXTSPLIT(Table25[[#This Row],[Selection Option]:[Selection Option]],","))),,U$11),"")</f>
        <v/>
      </c>
      <c r="V14" s="29" t="str" cm="1">
        <f t="array" ref="V14">IFERROR(INDEX(_xlfn.UNIQUE(TRIM(_xlfn.TEXTSPLIT(Table25[[#This Row],[Selection Option]:[Selection Option]],","))),,V$11),"")</f>
        <v/>
      </c>
      <c r="W14" s="29" t="str" cm="1">
        <f t="array" ref="W14">IFERROR(INDEX(_xlfn.UNIQUE(TRIM(_xlfn.TEXTSPLIT(Table25[[#This Row],[Selection Option]:[Selection Option]],","))),,W$11),"")</f>
        <v/>
      </c>
      <c r="X14" s="29" t="str" cm="1">
        <f t="array" ref="X14">IFERROR(INDEX(_xlfn.UNIQUE(TRIM(_xlfn.TEXTSPLIT(Table25[[#This Row],[Selection Option]:[Selection Option]],","))),,X$11),"")</f>
        <v/>
      </c>
      <c r="Y14" s="30" cm="1">
        <f t="array" ref="Y14">IF(Table25[[#This Row],[1]]="","",Table25[[#This Row],[Weight]:[Weight]]-(Table25[[#This Row],[Weight]:[Weight]]*((_xlfn.XMATCH(Table25[[#This Row],[1]],Table25[[#This Row],[1]:[11]],0))-1)/(COUNTA(Table25[[#This Row],[1]:[11]])-COUNTBLANK(Table25[[#This Row],[1]:[11]])-1)))</f>
        <v>0</v>
      </c>
      <c r="Z14" s="30" cm="1">
        <f t="array" ref="Z14">IF(Table25[[#This Row],[2]]="","",Table25[[#This Row],[Weight]:[Weight]]-(Table25[[#This Row],[Weight]:[Weight]]*((_xlfn.XMATCH(Table25[[#This Row],[2]],Table25[[#This Row],[1]:[11]],0))-1)/(COUNTA(Table25[[#This Row],[1]:[11]])-COUNTBLANK(Table25[[#This Row],[1]:[11]])-1)))</f>
        <v>0</v>
      </c>
      <c r="AA14" s="30" cm="1">
        <f t="array" ref="AA14">IF(Table25[[#This Row],[3]]="","",Table25[[#This Row],[Weight]:[Weight]]-(Table25[[#This Row],[Weight]:[Weight]]*((_xlfn.XMATCH(Table25[[#This Row],[3]],Table25[[#This Row],[1]:[11]],0))-1)/(COUNTA(Table25[[#This Row],[1]:[11]])-COUNTBLANK(Table25[[#This Row],[1]:[11]])-1)))</f>
        <v>0</v>
      </c>
      <c r="AB14" s="30" cm="1">
        <f t="array" ref="AB14">IF(Table25[[#This Row],[4]]="","",Table25[[#This Row],[Weight]:[Weight]]-(Table25[[#This Row],[Weight]:[Weight]]*((_xlfn.XMATCH(Table25[[#This Row],[4]],Table25[[#This Row],[1]:[11]],0))-1)/(COUNTA(Table25[[#This Row],[1]:[11]])-COUNTBLANK(Table25[[#This Row],[1]:[11]])-1)))</f>
        <v>0</v>
      </c>
      <c r="AC14" s="30" t="str" cm="1">
        <f t="array" ref="AC14">IF(Table25[[#This Row],[5]]="","",Table25[[#This Row],[Weight]:[Weight]]-(Table25[[#This Row],[Weight]:[Weight]]*((_xlfn.XMATCH(Table25[[#This Row],[5]],Table25[[#This Row],[1]:[11]],0))-1)/(COUNTA(Table25[[#This Row],[1]:[11]])-COUNTBLANK(Table25[[#This Row],[1]:[11]])-1)))</f>
        <v/>
      </c>
      <c r="AD14" s="30" t="str" cm="1">
        <f t="array" ref="AD14">IF(Table25[[#This Row],[6]]="","",Table25[[#This Row],[Weight]:[Weight]]-(Table25[[#This Row],[Weight]:[Weight]]*((_xlfn.XMATCH(Table25[[#This Row],[6]],Table25[[#This Row],[1]:[11]],0))-1)/(COUNTA(Table25[[#This Row],[1]:[11]])-COUNTBLANK(Table25[[#This Row],[1]:[11]])-1)))</f>
        <v/>
      </c>
      <c r="AE14" s="30" t="str" cm="1">
        <f t="array" ref="AE14">IF(Table25[[#This Row],[7]]="","",Table25[[#This Row],[Weight]:[Weight]]-(Table25[[#This Row],[Weight]:[Weight]]*((_xlfn.XMATCH(Table25[[#This Row],[7]],Table25[[#This Row],[1]:[11]],0))-1)/(COUNTA(Table25[[#This Row],[1]:[11]])-COUNTBLANK(Table25[[#This Row],[1]:[11]])-1)))</f>
        <v/>
      </c>
      <c r="AF14" s="30" t="str" cm="1">
        <f t="array" ref="AF14">IF(Table25[[#This Row],[8]]="","",Table25[[#This Row],[Weight]:[Weight]]-(Table25[[#This Row],[Weight]:[Weight]]*((_xlfn.XMATCH(Table25[[#This Row],[8]],Table25[[#This Row],[1]:[11]],0))-1)/(COUNTA(Table25[[#This Row],[1]:[11]])-COUNTBLANK(Table25[[#This Row],[1]:[11]])-1)))</f>
        <v/>
      </c>
      <c r="AG14" s="30" t="str" cm="1">
        <f t="array" ref="AG14">IF(Table25[[#This Row],[9]]="","",Table25[[#This Row],[Weight]:[Weight]]-(Table25[[#This Row],[Weight]:[Weight]]*((_xlfn.XMATCH(Table25[[#This Row],[9]],Table25[[#This Row],[1]:[11]],0))-1)/(COUNTA(Table25[[#This Row],[1]:[11]])-COUNTBLANK(Table25[[#This Row],[1]:[11]])-1)))</f>
        <v/>
      </c>
      <c r="AH14" s="30" t="str" cm="1">
        <f t="array" ref="AH14">IF(Table25[[#This Row],[10]]="","",Table25[[#This Row],[Weight]:[Weight]]-(Table25[[#This Row],[Weight]:[Weight]]*((_xlfn.XMATCH(Table25[[#This Row],[10]],Table25[[#This Row],[1]:[11]],0))-1)/(COUNTA(Table25[[#This Row],[1]:[11]])-COUNTBLANK(Table25[[#This Row],[1]:[11]])-1)))</f>
        <v/>
      </c>
      <c r="AI14" s="30" t="str" cm="1">
        <f t="array" ref="AI14">IF(Table25[[#This Row],[11]]="","",Table25[[#This Row],[Weight]:[Weight]]-(Table25[[#This Row],[Weight]:[Weight]]*((_xlfn.XMATCH(Table25[[#This Row],[11]],Table25[[#This Row],[1]:[11]],0))-1)/(COUNTA(Table25[[#This Row],[1]:[11]])-COUNTBLANK(Table25[[#This Row],[1]:[11]])-1)))</f>
        <v/>
      </c>
    </row>
    <row r="15" spans="1:35" ht="33" customHeight="1" x14ac:dyDescent="0.25">
      <c r="A15" s="32">
        <v>3</v>
      </c>
      <c r="B15" s="33"/>
      <c r="C15" s="33"/>
      <c r="D15" s="33"/>
      <c r="E15" s="33"/>
      <c r="F15" s="34" t="s">
        <v>114</v>
      </c>
      <c r="G15" s="35" cm="1">
        <f t="array" ref="G15">_xlfn.IFS(F15="","",F15="No interest",0,F15="Nice to have",1,F15="Useful",2,F15="Important",3,F15="Very important",4,F15="Critical",5,F15="Show stopper",6)</f>
        <v>5</v>
      </c>
      <c r="H15" s="36">
        <f t="shared" si="0"/>
        <v>0</v>
      </c>
      <c r="I15" s="37" t="s">
        <v>158</v>
      </c>
      <c r="J15" s="37" t="str" cm="1">
        <f t="array" ref="J15">_xlfn.TEXTJOIN(","&amp;CHAR(10),,TEXT(Table25[[#This Row],[12]:[22]],"0,00%"))</f>
        <v>0,00%,
0,00%,
0,00%</v>
      </c>
      <c r="K15" s="38" t="s">
        <v>159</v>
      </c>
      <c r="L15" s="39">
        <f>H15-(H15*((MATCH(Table25[[#This Row],[Evaluators Response (SELECT)]],Table25[[#This Row],[1]:[11]],0)-1)/(COUNTA(Table25[[#This Row],[1]:[11]])-COUNTBLANK(Table25[[#This Row],[1]:[11]])-1)))</f>
        <v>0</v>
      </c>
      <c r="M15" s="40"/>
      <c r="N15" s="29" t="str" cm="1">
        <f t="array" ref="N15">IFERROR(INDEX(_xlfn.UNIQUE(TRIM(_xlfn.TEXTSPLIT(Table25[[#This Row],[Selection Option]:[Selection Option]],","))),,N$11),"")</f>
        <v>10 or more clients</v>
      </c>
      <c r="O15" s="29" t="str" cm="1">
        <f t="array" ref="O15">IFERROR(INDEX(_xlfn.UNIQUE(TRIM(_xlfn.TEXTSPLIT(Table25[[#This Row],[Selection Option]:[Selection Option]],","))),,O$11),"")</f>
        <v xml:space="preserve">
4-7 clients</v>
      </c>
      <c r="P15" s="29" t="str" cm="1">
        <f t="array" ref="P15">IFERROR(INDEX(_xlfn.UNIQUE(TRIM(_xlfn.TEXTSPLIT(Table25[[#This Row],[Selection Option]:[Selection Option]],","))),,P$11),"")</f>
        <v xml:space="preserve">
3 or less clients.</v>
      </c>
      <c r="Q15" s="29" t="str" cm="1">
        <f t="array" ref="Q15">IFERROR(INDEX(_xlfn.UNIQUE(TRIM(_xlfn.TEXTSPLIT(Table25[[#This Row],[Selection Option]:[Selection Option]],","))),,Q$11),"")</f>
        <v/>
      </c>
      <c r="R15" s="29" t="str" cm="1">
        <f t="array" ref="R15">IFERROR(INDEX(_xlfn.UNIQUE(TRIM(_xlfn.TEXTSPLIT(Table25[[#This Row],[Selection Option]:[Selection Option]],","))),,R$11),"")</f>
        <v/>
      </c>
      <c r="S15" s="29" t="str" cm="1">
        <f t="array" ref="S15">IFERROR(INDEX(_xlfn.UNIQUE(TRIM(_xlfn.TEXTSPLIT(Table25[[#This Row],[Selection Option]:[Selection Option]],","))),,S$11),"")</f>
        <v/>
      </c>
      <c r="T15" s="29" t="str" cm="1">
        <f t="array" ref="T15">IFERROR(INDEX(_xlfn.UNIQUE(TRIM(_xlfn.TEXTSPLIT(Table25[[#This Row],[Selection Option]:[Selection Option]],","))),,T$11),"")</f>
        <v/>
      </c>
      <c r="U15" s="29" t="str" cm="1">
        <f t="array" ref="U15">IFERROR(INDEX(_xlfn.UNIQUE(TRIM(_xlfn.TEXTSPLIT(Table25[[#This Row],[Selection Option]:[Selection Option]],","))),,U$11),"")</f>
        <v/>
      </c>
      <c r="V15" s="29" t="str" cm="1">
        <f t="array" ref="V15">IFERROR(INDEX(_xlfn.UNIQUE(TRIM(_xlfn.TEXTSPLIT(Table25[[#This Row],[Selection Option]:[Selection Option]],","))),,V$11),"")</f>
        <v/>
      </c>
      <c r="W15" s="29" t="str" cm="1">
        <f t="array" ref="W15">IFERROR(INDEX(_xlfn.UNIQUE(TRIM(_xlfn.TEXTSPLIT(Table25[[#This Row],[Selection Option]:[Selection Option]],","))),,W$11),"")</f>
        <v/>
      </c>
      <c r="X15" s="29" t="str" cm="1">
        <f t="array" ref="X15">IFERROR(INDEX(_xlfn.UNIQUE(TRIM(_xlfn.TEXTSPLIT(Table25[[#This Row],[Selection Option]:[Selection Option]],","))),,X$11),"")</f>
        <v/>
      </c>
      <c r="Y15" s="30" cm="1">
        <f t="array" ref="Y15">IF(Table25[[#This Row],[1]]="","",Table25[[#This Row],[Weight]:[Weight]]-(Table25[[#This Row],[Weight]:[Weight]]*((_xlfn.XMATCH(Table25[[#This Row],[1]],Table25[[#This Row],[1]:[11]],0))-1)/(COUNTA(Table25[[#This Row],[1]:[11]])-COUNTBLANK(Table25[[#This Row],[1]:[11]])-1)))</f>
        <v>0</v>
      </c>
      <c r="Z15" s="30" cm="1">
        <f t="array" ref="Z15">IF(Table25[[#This Row],[2]]="","",Table25[[#This Row],[Weight]:[Weight]]-(Table25[[#This Row],[Weight]:[Weight]]*((_xlfn.XMATCH(Table25[[#This Row],[2]],Table25[[#This Row],[1]:[11]],0))-1)/(COUNTA(Table25[[#This Row],[1]:[11]])-COUNTBLANK(Table25[[#This Row],[1]:[11]])-1)))</f>
        <v>0</v>
      </c>
      <c r="AA15" s="30" cm="1">
        <f t="array" ref="AA15">IF(Table25[[#This Row],[3]]="","",Table25[[#This Row],[Weight]:[Weight]]-(Table25[[#This Row],[Weight]:[Weight]]*((_xlfn.XMATCH(Table25[[#This Row],[3]],Table25[[#This Row],[1]:[11]],0))-1)/(COUNTA(Table25[[#This Row],[1]:[11]])-COUNTBLANK(Table25[[#This Row],[1]:[11]])-1)))</f>
        <v>0</v>
      </c>
      <c r="AB15" s="30" t="str" cm="1">
        <f t="array" ref="AB15">IF(Table25[[#This Row],[4]]="","",Table25[[#This Row],[Weight]:[Weight]]-(Table25[[#This Row],[Weight]:[Weight]]*((_xlfn.XMATCH(Table25[[#This Row],[4]],Table25[[#This Row],[1]:[11]],0))-1)/(COUNTA(Table25[[#This Row],[1]:[11]])-COUNTBLANK(Table25[[#This Row],[1]:[11]])-1)))</f>
        <v/>
      </c>
      <c r="AC15" s="30" t="str" cm="1">
        <f t="array" ref="AC15">IF(Table25[[#This Row],[5]]="","",Table25[[#This Row],[Weight]:[Weight]]-(Table25[[#This Row],[Weight]:[Weight]]*((_xlfn.XMATCH(Table25[[#This Row],[5]],Table25[[#This Row],[1]:[11]],0))-1)/(COUNTA(Table25[[#This Row],[1]:[11]])-COUNTBLANK(Table25[[#This Row],[1]:[11]])-1)))</f>
        <v/>
      </c>
      <c r="AD15" s="30" t="str" cm="1">
        <f t="array" ref="AD15">IF(Table25[[#This Row],[6]]="","",Table25[[#This Row],[Weight]:[Weight]]-(Table25[[#This Row],[Weight]:[Weight]]*((_xlfn.XMATCH(Table25[[#This Row],[6]],Table25[[#This Row],[1]:[11]],0))-1)/(COUNTA(Table25[[#This Row],[1]:[11]])-COUNTBLANK(Table25[[#This Row],[1]:[11]])-1)))</f>
        <v/>
      </c>
      <c r="AE15" s="30" t="str" cm="1">
        <f t="array" ref="AE15">IF(Table25[[#This Row],[7]]="","",Table25[[#This Row],[Weight]:[Weight]]-(Table25[[#This Row],[Weight]:[Weight]]*((_xlfn.XMATCH(Table25[[#This Row],[7]],Table25[[#This Row],[1]:[11]],0))-1)/(COUNTA(Table25[[#This Row],[1]:[11]])-COUNTBLANK(Table25[[#This Row],[1]:[11]])-1)))</f>
        <v/>
      </c>
      <c r="AF15" s="30" t="str" cm="1">
        <f t="array" ref="AF15">IF(Table25[[#This Row],[8]]="","",Table25[[#This Row],[Weight]:[Weight]]-(Table25[[#This Row],[Weight]:[Weight]]*((_xlfn.XMATCH(Table25[[#This Row],[8]],Table25[[#This Row],[1]:[11]],0))-1)/(COUNTA(Table25[[#This Row],[1]:[11]])-COUNTBLANK(Table25[[#This Row],[1]:[11]])-1)))</f>
        <v/>
      </c>
      <c r="AG15" s="30" t="str" cm="1">
        <f t="array" ref="AG15">IF(Table25[[#This Row],[9]]="","",Table25[[#This Row],[Weight]:[Weight]]-(Table25[[#This Row],[Weight]:[Weight]]*((_xlfn.XMATCH(Table25[[#This Row],[9]],Table25[[#This Row],[1]:[11]],0))-1)/(COUNTA(Table25[[#This Row],[1]:[11]])-COUNTBLANK(Table25[[#This Row],[1]:[11]])-1)))</f>
        <v/>
      </c>
      <c r="AH15" s="30" t="str" cm="1">
        <f t="array" ref="AH15">IF(Table25[[#This Row],[10]]="","",Table25[[#This Row],[Weight]:[Weight]]-(Table25[[#This Row],[Weight]:[Weight]]*((_xlfn.XMATCH(Table25[[#This Row],[10]],Table25[[#This Row],[1]:[11]],0))-1)/(COUNTA(Table25[[#This Row],[1]:[11]])-COUNTBLANK(Table25[[#This Row],[1]:[11]])-1)))</f>
        <v/>
      </c>
      <c r="AI15" s="30" t="str" cm="1">
        <f t="array" ref="AI15">IF(Table25[[#This Row],[11]]="","",Table25[[#This Row],[Weight]:[Weight]]-(Table25[[#This Row],[Weight]:[Weight]]*((_xlfn.XMATCH(Table25[[#This Row],[11]],Table25[[#This Row],[1]:[11]],0))-1)/(COUNTA(Table25[[#This Row],[1]:[11]])-COUNTBLANK(Table25[[#This Row],[1]:[11]])-1)))</f>
        <v/>
      </c>
    </row>
    <row r="16" spans="1:35" ht="23" x14ac:dyDescent="0.25">
      <c r="A16" s="20"/>
      <c r="B16" s="31"/>
      <c r="C16" s="31"/>
      <c r="D16" s="31"/>
      <c r="E16" s="31"/>
      <c r="F16" s="22" t="s">
        <v>160</v>
      </c>
      <c r="G16" s="23" cm="1">
        <f t="array" ref="G16">_xlfn.IFS(F16="","",F16="No interest",0,F16="Nice to have",1,F16="Useful",2,F16="Important",3,F16="Very important",4,F16="Critical",5,F16="Show stopper",6)</f>
        <v>2</v>
      </c>
      <c r="H16" s="24">
        <f t="shared" si="0"/>
        <v>0</v>
      </c>
      <c r="I16" s="25" t="s">
        <v>135</v>
      </c>
      <c r="J16" s="25" t="str" cm="1">
        <f t="array" ref="J16">_xlfn.TEXTJOIN(","&amp;CHAR(10),,TEXT(Table25[[#This Row],[12]:[22]],"0,00%"))</f>
        <v>0,00%,
0,00%</v>
      </c>
      <c r="K16" s="26" t="s">
        <v>161</v>
      </c>
      <c r="L16" s="27">
        <f>H16-(H16*((MATCH(Table25[[#This Row],[Evaluators Response (SELECT)]],Table25[[#This Row],[1]:[11]],0)-1)/(COUNTA(Table25[[#This Row],[1]:[11]])-COUNTBLANK(Table25[[#This Row],[1]:[11]])-1)))</f>
        <v>0</v>
      </c>
      <c r="M16" s="28"/>
      <c r="N16" s="29" t="str" cm="1">
        <f t="array" ref="N16">IFERROR(INDEX(_xlfn.UNIQUE(TRIM(_xlfn.TEXTSPLIT(Table25[[#This Row],[Selection Option]:[Selection Option]],","))),,N$11),"")</f>
        <v>Yes</v>
      </c>
      <c r="O16" s="29" t="str" cm="1">
        <f t="array" ref="O16">IFERROR(INDEX(_xlfn.UNIQUE(TRIM(_xlfn.TEXTSPLIT(Table25[[#This Row],[Selection Option]:[Selection Option]],","))),,O$11),"")</f>
        <v xml:space="preserve">
No</v>
      </c>
      <c r="P16" s="29" t="str" cm="1">
        <f t="array" ref="P16">IFERROR(INDEX(_xlfn.UNIQUE(TRIM(_xlfn.TEXTSPLIT(Table25[[#This Row],[Selection Option]:[Selection Option]],","))),,P$11),"")</f>
        <v/>
      </c>
      <c r="Q16" s="29" t="str" cm="1">
        <f t="array" ref="Q16">IFERROR(INDEX(_xlfn.UNIQUE(TRIM(_xlfn.TEXTSPLIT(Table25[[#This Row],[Selection Option]:[Selection Option]],","))),,Q$11),"")</f>
        <v/>
      </c>
      <c r="R16" s="29" t="str" cm="1">
        <f t="array" ref="R16">IFERROR(INDEX(_xlfn.UNIQUE(TRIM(_xlfn.TEXTSPLIT(Table25[[#This Row],[Selection Option]:[Selection Option]],","))),,R$11),"")</f>
        <v/>
      </c>
      <c r="S16" s="29" t="str" cm="1">
        <f t="array" ref="S16">IFERROR(INDEX(_xlfn.UNIQUE(TRIM(_xlfn.TEXTSPLIT(Table25[[#This Row],[Selection Option]:[Selection Option]],","))),,S$11),"")</f>
        <v/>
      </c>
      <c r="T16" s="29" t="str" cm="1">
        <f t="array" ref="T16">IFERROR(INDEX(_xlfn.UNIQUE(TRIM(_xlfn.TEXTSPLIT(Table25[[#This Row],[Selection Option]:[Selection Option]],","))),,T$11),"")</f>
        <v/>
      </c>
      <c r="U16" s="29" t="str" cm="1">
        <f t="array" ref="U16">IFERROR(INDEX(_xlfn.UNIQUE(TRIM(_xlfn.TEXTSPLIT(Table25[[#This Row],[Selection Option]:[Selection Option]],","))),,U$11),"")</f>
        <v/>
      </c>
      <c r="V16" s="29" t="str" cm="1">
        <f t="array" ref="V16">IFERROR(INDEX(_xlfn.UNIQUE(TRIM(_xlfn.TEXTSPLIT(Table25[[#This Row],[Selection Option]:[Selection Option]],","))),,V$11),"")</f>
        <v/>
      </c>
      <c r="W16" s="29" t="str" cm="1">
        <f t="array" ref="W16">IFERROR(INDEX(_xlfn.UNIQUE(TRIM(_xlfn.TEXTSPLIT(Table25[[#This Row],[Selection Option]:[Selection Option]],","))),,W$11),"")</f>
        <v/>
      </c>
      <c r="X16" s="29" t="str" cm="1">
        <f t="array" ref="X16">IFERROR(INDEX(_xlfn.UNIQUE(TRIM(_xlfn.TEXTSPLIT(Table25[[#This Row],[Selection Option]:[Selection Option]],","))),,X$11),"")</f>
        <v/>
      </c>
      <c r="Y16" s="30" cm="1">
        <f t="array" ref="Y16">IF(Table25[[#This Row],[1]]="","",Table25[[#This Row],[Weight]:[Weight]]-(Table25[[#This Row],[Weight]:[Weight]]*((_xlfn.XMATCH(Table25[[#This Row],[1]],Table25[[#This Row],[1]:[11]],0))-1)/(COUNTA(Table25[[#This Row],[1]:[11]])-COUNTBLANK(Table25[[#This Row],[1]:[11]])-1)))</f>
        <v>0</v>
      </c>
      <c r="Z16" s="30" cm="1">
        <f t="array" ref="Z16">IF(Table25[[#This Row],[2]]="","",Table25[[#This Row],[Weight]:[Weight]]-(Table25[[#This Row],[Weight]:[Weight]]*((_xlfn.XMATCH(Table25[[#This Row],[2]],Table25[[#This Row],[1]:[11]],0))-1)/(COUNTA(Table25[[#This Row],[1]:[11]])-COUNTBLANK(Table25[[#This Row],[1]:[11]])-1)))</f>
        <v>0</v>
      </c>
      <c r="AA16" s="30" t="str" cm="1">
        <f t="array" ref="AA16">IF(Table25[[#This Row],[3]]="","",Table25[[#This Row],[Weight]:[Weight]]-(Table25[[#This Row],[Weight]:[Weight]]*((_xlfn.XMATCH(Table25[[#This Row],[3]],Table25[[#This Row],[1]:[11]],0))-1)/(COUNTA(Table25[[#This Row],[1]:[11]])-COUNTBLANK(Table25[[#This Row],[1]:[11]])-1)))</f>
        <v/>
      </c>
      <c r="AB16" s="30" t="str" cm="1">
        <f t="array" ref="AB16">IF(Table25[[#This Row],[4]]="","",Table25[[#This Row],[Weight]:[Weight]]-(Table25[[#This Row],[Weight]:[Weight]]*((_xlfn.XMATCH(Table25[[#This Row],[4]],Table25[[#This Row],[1]:[11]],0))-1)/(COUNTA(Table25[[#This Row],[1]:[11]])-COUNTBLANK(Table25[[#This Row],[1]:[11]])-1)))</f>
        <v/>
      </c>
      <c r="AC16" s="30" t="str" cm="1">
        <f t="array" ref="AC16">IF(Table25[[#This Row],[5]]="","",Table25[[#This Row],[Weight]:[Weight]]-(Table25[[#This Row],[Weight]:[Weight]]*((_xlfn.XMATCH(Table25[[#This Row],[5]],Table25[[#This Row],[1]:[11]],0))-1)/(COUNTA(Table25[[#This Row],[1]:[11]])-COUNTBLANK(Table25[[#This Row],[1]:[11]])-1)))</f>
        <v/>
      </c>
      <c r="AD16" s="30" t="str" cm="1">
        <f t="array" ref="AD16">IF(Table25[[#This Row],[6]]="","",Table25[[#This Row],[Weight]:[Weight]]-(Table25[[#This Row],[Weight]:[Weight]]*((_xlfn.XMATCH(Table25[[#This Row],[6]],Table25[[#This Row],[1]:[11]],0))-1)/(COUNTA(Table25[[#This Row],[1]:[11]])-COUNTBLANK(Table25[[#This Row],[1]:[11]])-1)))</f>
        <v/>
      </c>
      <c r="AE16" s="30" t="str" cm="1">
        <f t="array" ref="AE16">IF(Table25[[#This Row],[7]]="","",Table25[[#This Row],[Weight]:[Weight]]-(Table25[[#This Row],[Weight]:[Weight]]*((_xlfn.XMATCH(Table25[[#This Row],[7]],Table25[[#This Row],[1]:[11]],0))-1)/(COUNTA(Table25[[#This Row],[1]:[11]])-COUNTBLANK(Table25[[#This Row],[1]:[11]])-1)))</f>
        <v/>
      </c>
      <c r="AF16" s="30" t="str" cm="1">
        <f t="array" ref="AF16">IF(Table25[[#This Row],[8]]="","",Table25[[#This Row],[Weight]:[Weight]]-(Table25[[#This Row],[Weight]:[Weight]]*((_xlfn.XMATCH(Table25[[#This Row],[8]],Table25[[#This Row],[1]:[11]],0))-1)/(COUNTA(Table25[[#This Row],[1]:[11]])-COUNTBLANK(Table25[[#This Row],[1]:[11]])-1)))</f>
        <v/>
      </c>
      <c r="AG16" s="30" t="str" cm="1">
        <f t="array" ref="AG16">IF(Table25[[#This Row],[9]]="","",Table25[[#This Row],[Weight]:[Weight]]-(Table25[[#This Row],[Weight]:[Weight]]*((_xlfn.XMATCH(Table25[[#This Row],[9]],Table25[[#This Row],[1]:[11]],0))-1)/(COUNTA(Table25[[#This Row],[1]:[11]])-COUNTBLANK(Table25[[#This Row],[1]:[11]])-1)))</f>
        <v/>
      </c>
      <c r="AH16" s="30" t="str" cm="1">
        <f t="array" ref="AH16">IF(Table25[[#This Row],[10]]="","",Table25[[#This Row],[Weight]:[Weight]]-(Table25[[#This Row],[Weight]:[Weight]]*((_xlfn.XMATCH(Table25[[#This Row],[10]],Table25[[#This Row],[1]:[11]],0))-1)/(COUNTA(Table25[[#This Row],[1]:[11]])-COUNTBLANK(Table25[[#This Row],[1]:[11]])-1)))</f>
        <v/>
      </c>
      <c r="AI16" s="30" t="str" cm="1">
        <f t="array" ref="AI16">IF(Table25[[#This Row],[11]]="","",Table25[[#This Row],[Weight]:[Weight]]-(Table25[[#This Row],[Weight]:[Weight]]*((_xlfn.XMATCH(Table25[[#This Row],[11]],Table25[[#This Row],[1]:[11]],0))-1)/(COUNTA(Table25[[#This Row],[1]:[11]])-COUNTBLANK(Table25[[#This Row],[1]:[11]])-1)))</f>
        <v/>
      </c>
    </row>
    <row r="17" spans="1:35" ht="57.5" x14ac:dyDescent="0.25">
      <c r="A17" s="20"/>
      <c r="B17" s="31"/>
      <c r="C17" s="31"/>
      <c r="D17" s="31"/>
      <c r="E17" s="31"/>
      <c r="F17" s="22" t="s">
        <v>56</v>
      </c>
      <c r="G17" s="23" cm="1">
        <f t="array" ref="G17">_xlfn.IFS(F17="","",F17="No interest",0,F17="Nice to have",1,F17="Useful",2,F17="Important",3,F17="Very important",4,F17="Critical",5,F17="Show stopper",6)</f>
        <v>3</v>
      </c>
      <c r="H17" s="24">
        <f>(G17/$G$11)*$F$11</f>
        <v>0</v>
      </c>
      <c r="I17" s="25" t="s">
        <v>162</v>
      </c>
      <c r="J17" s="37" t="str" cm="1">
        <f t="array" ref="J17">_xlfn.TEXTJOIN(","&amp;CHAR(10),,TEXT(Table25[[#This Row],[12]:[22]],"0,00%"))</f>
        <v>0,00%,
0,00%,
0,00%,
0,00%,
0,00%</v>
      </c>
      <c r="K17" s="26" t="s">
        <v>34</v>
      </c>
      <c r="L17" s="27">
        <f>H17-(H17*((MATCH(Table25[[#This Row],[Evaluators Response (SELECT)]],Table25[[#This Row],[1]:[11]],0)-1)/(COUNTA(Table25[[#This Row],[1]:[11]])-COUNTBLANK(Table25[[#This Row],[1]:[11]])-1)))</f>
        <v>0</v>
      </c>
      <c r="M17" s="28"/>
      <c r="N17" s="29" t="str" cm="1">
        <f t="array" ref="N17">IFERROR(INDEX(_xlfn.UNIQUE(TRIM(_xlfn.TEXTSPLIT(Table25[[#This Row],[Selection Option]:[Selection Option]],","))),,N$11),"")</f>
        <v>5</v>
      </c>
      <c r="O17" s="29" t="str" cm="1">
        <f t="array" ref="O17">IFERROR(INDEX(_xlfn.UNIQUE(TRIM(_xlfn.TEXTSPLIT(Table25[[#This Row],[Selection Option]:[Selection Option]],","))),,O$11),"")</f>
        <v>4</v>
      </c>
      <c r="P17" s="29" t="str" cm="1">
        <f t="array" ref="P17">IFERROR(INDEX(_xlfn.UNIQUE(TRIM(_xlfn.TEXTSPLIT(Table25[[#This Row],[Selection Option]:[Selection Option]],","))),,P$11),"")</f>
        <v>3</v>
      </c>
      <c r="Q17" s="29" t="str" cm="1">
        <f t="array" ref="Q17">IFERROR(INDEX(_xlfn.UNIQUE(TRIM(_xlfn.TEXTSPLIT(Table25[[#This Row],[Selection Option]:[Selection Option]],","))),,Q$11),"")</f>
        <v>2</v>
      </c>
      <c r="R17" s="29" t="str" cm="1">
        <f t="array" ref="R17">IFERROR(INDEX(_xlfn.UNIQUE(TRIM(_xlfn.TEXTSPLIT(Table25[[#This Row],[Selection Option]:[Selection Option]],","))),,R$11),"")</f>
        <v>1</v>
      </c>
      <c r="S17" s="29" t="str" cm="1">
        <f t="array" ref="S17">IFERROR(INDEX(_xlfn.UNIQUE(TRIM(_xlfn.TEXTSPLIT(Table25[[#This Row],[Selection Option]:[Selection Option]],","))),,S$11),"")</f>
        <v/>
      </c>
      <c r="T17" s="29" t="str" cm="1">
        <f t="array" ref="T17">IFERROR(INDEX(_xlfn.UNIQUE(TRIM(_xlfn.TEXTSPLIT(Table25[[#This Row],[Selection Option]:[Selection Option]],","))),,T$11),"")</f>
        <v/>
      </c>
      <c r="U17" s="29" t="str" cm="1">
        <f t="array" ref="U17">IFERROR(INDEX(_xlfn.UNIQUE(TRIM(_xlfn.TEXTSPLIT(Table25[[#This Row],[Selection Option]:[Selection Option]],","))),,U$11),"")</f>
        <v/>
      </c>
      <c r="V17" s="29" t="str" cm="1">
        <f t="array" ref="V17">IFERROR(INDEX(_xlfn.UNIQUE(TRIM(_xlfn.TEXTSPLIT(Table25[[#This Row],[Selection Option]:[Selection Option]],","))),,V$11),"")</f>
        <v/>
      </c>
      <c r="W17" s="29" t="str" cm="1">
        <f t="array" ref="W17">IFERROR(INDEX(_xlfn.UNIQUE(TRIM(_xlfn.TEXTSPLIT(Table25[[#This Row],[Selection Option]:[Selection Option]],","))),,W$11),"")</f>
        <v/>
      </c>
      <c r="X17" s="29" t="str" cm="1">
        <f t="array" ref="X17">IFERROR(INDEX(_xlfn.UNIQUE(TRIM(_xlfn.TEXTSPLIT(Table25[[#This Row],[Selection Option]:[Selection Option]],","))),,X$11),"")</f>
        <v/>
      </c>
      <c r="Y17" s="30" cm="1">
        <f t="array" ref="Y17">IF(Table25[[#This Row],[1]]="","",Table25[[#This Row],[Weight]:[Weight]]-(Table25[[#This Row],[Weight]:[Weight]]*((_xlfn.XMATCH(Table25[[#This Row],[1]],Table25[[#This Row],[1]:[11]],0))-1)/(COUNTA(Table25[[#This Row],[1]:[11]])-COUNTBLANK(Table25[[#This Row],[1]:[11]])-1)))</f>
        <v>0</v>
      </c>
      <c r="Z17" s="30" cm="1">
        <f t="array" ref="Z17">IF(Table25[[#This Row],[2]]="","",Table25[[#This Row],[Weight]:[Weight]]-(Table25[[#This Row],[Weight]:[Weight]]*((_xlfn.XMATCH(Table25[[#This Row],[2]],Table25[[#This Row],[1]:[11]],0))-1)/(COUNTA(Table25[[#This Row],[1]:[11]])-COUNTBLANK(Table25[[#This Row],[1]:[11]])-1)))</f>
        <v>0</v>
      </c>
      <c r="AA17" s="30" cm="1">
        <f t="array" ref="AA17">IF(Table25[[#This Row],[3]]="","",Table25[[#This Row],[Weight]:[Weight]]-(Table25[[#This Row],[Weight]:[Weight]]*((_xlfn.XMATCH(Table25[[#This Row],[3]],Table25[[#This Row],[1]:[11]],0))-1)/(COUNTA(Table25[[#This Row],[1]:[11]])-COUNTBLANK(Table25[[#This Row],[1]:[11]])-1)))</f>
        <v>0</v>
      </c>
      <c r="AB17" s="30" cm="1">
        <f t="array" ref="AB17">IF(Table25[[#This Row],[4]]="","",Table25[[#This Row],[Weight]:[Weight]]-(Table25[[#This Row],[Weight]:[Weight]]*((_xlfn.XMATCH(Table25[[#This Row],[4]],Table25[[#This Row],[1]:[11]],0))-1)/(COUNTA(Table25[[#This Row],[1]:[11]])-COUNTBLANK(Table25[[#This Row],[1]:[11]])-1)))</f>
        <v>0</v>
      </c>
      <c r="AC17" s="30" cm="1">
        <f t="array" ref="AC17">IF(Table25[[#This Row],[5]]="","",Table25[[#This Row],[Weight]:[Weight]]-(Table25[[#This Row],[Weight]:[Weight]]*((_xlfn.XMATCH(Table25[[#This Row],[5]],Table25[[#This Row],[1]:[11]],0))-1)/(COUNTA(Table25[[#This Row],[1]:[11]])-COUNTBLANK(Table25[[#This Row],[1]:[11]])-1)))</f>
        <v>0</v>
      </c>
      <c r="AD17" s="30" t="str" cm="1">
        <f t="array" ref="AD17">IF(Table25[[#This Row],[6]]="","",Table25[[#This Row],[Weight]:[Weight]]-(Table25[[#This Row],[Weight]:[Weight]]*((_xlfn.XMATCH(Table25[[#This Row],[6]],Table25[[#This Row],[1]:[11]],0))-1)/(COUNTA(Table25[[#This Row],[1]:[11]])-COUNTBLANK(Table25[[#This Row],[1]:[11]])-1)))</f>
        <v/>
      </c>
      <c r="AE17" s="30" t="str" cm="1">
        <f t="array" ref="AE17">IF(Table25[[#This Row],[7]]="","",Table25[[#This Row],[Weight]:[Weight]]-(Table25[[#This Row],[Weight]:[Weight]]*((_xlfn.XMATCH(Table25[[#This Row],[7]],Table25[[#This Row],[1]:[11]],0))-1)/(COUNTA(Table25[[#This Row],[1]:[11]])-COUNTBLANK(Table25[[#This Row],[1]:[11]])-1)))</f>
        <v/>
      </c>
      <c r="AF17" s="30" t="str" cm="1">
        <f t="array" ref="AF17">IF(Table25[[#This Row],[8]]="","",Table25[[#This Row],[Weight]:[Weight]]-(Table25[[#This Row],[Weight]:[Weight]]*((_xlfn.XMATCH(Table25[[#This Row],[8]],Table25[[#This Row],[1]:[11]],0))-1)/(COUNTA(Table25[[#This Row],[1]:[11]])-COUNTBLANK(Table25[[#This Row],[1]:[11]])-1)))</f>
        <v/>
      </c>
      <c r="AG17" s="30" t="str" cm="1">
        <f t="array" ref="AG17">IF(Table25[[#This Row],[9]]="","",Table25[[#This Row],[Weight]:[Weight]]-(Table25[[#This Row],[Weight]:[Weight]]*((_xlfn.XMATCH(Table25[[#This Row],[9]],Table25[[#This Row],[1]:[11]],0))-1)/(COUNTA(Table25[[#This Row],[1]:[11]])-COUNTBLANK(Table25[[#This Row],[1]:[11]])-1)))</f>
        <v/>
      </c>
      <c r="AH17" s="30" t="str" cm="1">
        <f t="array" ref="AH17">IF(Table25[[#This Row],[10]]="","",Table25[[#This Row],[Weight]:[Weight]]-(Table25[[#This Row],[Weight]:[Weight]]*((_xlfn.XMATCH(Table25[[#This Row],[10]],Table25[[#This Row],[1]:[11]],0))-1)/(COUNTA(Table25[[#This Row],[1]:[11]])-COUNTBLANK(Table25[[#This Row],[1]:[11]])-1)))</f>
        <v/>
      </c>
      <c r="AI17" s="30" t="str" cm="1">
        <f t="array" ref="AI17">IF(Table25[[#This Row],[11]]="","",Table25[[#This Row],[Weight]:[Weight]]-(Table25[[#This Row],[Weight]:[Weight]]*((_xlfn.XMATCH(Table25[[#This Row],[11]],Table25[[#This Row],[1]:[11]],0))-1)/(COUNTA(Table25[[#This Row],[1]:[11]])-COUNTBLANK(Table25[[#This Row],[1]:[11]])-1)))</f>
        <v/>
      </c>
    </row>
    <row r="18" spans="1:35" ht="57.5" x14ac:dyDescent="0.25">
      <c r="A18" s="32">
        <v>4</v>
      </c>
      <c r="B18" s="33"/>
      <c r="C18" s="33"/>
      <c r="D18" s="33"/>
      <c r="E18" s="33"/>
      <c r="F18" s="34" t="s">
        <v>60</v>
      </c>
      <c r="G18" s="35" cm="1">
        <f t="array" ref="G18">_xlfn.IFS(F18="","",F18="No interest",0,F18="Nice to have",1,F18="Useful",2,F18="Important",3,F18="Very important",4,F18="Critical",5,F18="Show stopper",6)</f>
        <v>6</v>
      </c>
      <c r="H18" s="36">
        <f t="shared" ref="H18:H31" si="1">(G18/$G$11)*$F$11</f>
        <v>0</v>
      </c>
      <c r="I18" s="37" t="s">
        <v>163</v>
      </c>
      <c r="J18" s="37" t="str" cm="1">
        <f t="array" ref="J18">_xlfn.TEXTJOIN(","&amp;CHAR(10),,TEXT(Table25[[#This Row],[12]:[22]],"0,00%"))</f>
        <v>0,00%,
0,00%,
0,00%,
0,00%,
0,00%</v>
      </c>
      <c r="K18" s="38" t="s">
        <v>164</v>
      </c>
      <c r="L18" s="39">
        <f>H18-(H18*((MATCH(Table25[[#This Row],[Evaluators Response (SELECT)]],Table25[[#This Row],[1]:[11]],0)-1)/(COUNTA(Table25[[#This Row],[1]:[11]])-COUNTBLANK(Table25[[#This Row],[1]:[11]])-1)))</f>
        <v>0</v>
      </c>
      <c r="M18" s="40"/>
      <c r="N18" s="29" t="str" cm="1">
        <f t="array" ref="N18">IFERROR(INDEX(_xlfn.UNIQUE(TRIM(_xlfn.TEXTSPLIT(Table25[[#This Row],[Selection Option]:[Selection Option]],","))),,N$11),"")</f>
        <v>op1</v>
      </c>
      <c r="O18" s="29" t="str" cm="1">
        <f t="array" ref="O18">IFERROR(INDEX(_xlfn.UNIQUE(TRIM(_xlfn.TEXTSPLIT(Table25[[#This Row],[Selection Option]:[Selection Option]],","))),,O$11),"")</f>
        <v xml:space="preserve">
op2</v>
      </c>
      <c r="P18" s="29" t="str" cm="1">
        <f t="array" ref="P18">IFERROR(INDEX(_xlfn.UNIQUE(TRIM(_xlfn.TEXTSPLIT(Table25[[#This Row],[Selection Option]:[Selection Option]],","))),,P$11),"")</f>
        <v xml:space="preserve">
op3</v>
      </c>
      <c r="Q18" s="29" t="str" cm="1">
        <f t="array" ref="Q18">IFERROR(INDEX(_xlfn.UNIQUE(TRIM(_xlfn.TEXTSPLIT(Table25[[#This Row],[Selection Option]:[Selection Option]],","))),,Q$11),"")</f>
        <v xml:space="preserve">
op4</v>
      </c>
      <c r="R18" s="29" t="str" cm="1">
        <f t="array" ref="R18">IFERROR(INDEX(_xlfn.UNIQUE(TRIM(_xlfn.TEXTSPLIT(Table25[[#This Row],[Selection Option]:[Selection Option]],","))),,R$11),"")</f>
        <v xml:space="preserve">
op5</v>
      </c>
      <c r="S18" s="29" t="str" cm="1">
        <f t="array" ref="S18">IFERROR(INDEX(_xlfn.UNIQUE(TRIM(_xlfn.TEXTSPLIT(Table25[[#This Row],[Selection Option]:[Selection Option]],","))),,S$11),"")</f>
        <v/>
      </c>
      <c r="T18" s="29" t="str" cm="1">
        <f t="array" ref="T18">IFERROR(INDEX(_xlfn.UNIQUE(TRIM(_xlfn.TEXTSPLIT(Table25[[#This Row],[Selection Option]:[Selection Option]],","))),,T$11),"")</f>
        <v/>
      </c>
      <c r="U18" s="29" t="str" cm="1">
        <f t="array" ref="U18">IFERROR(INDEX(_xlfn.UNIQUE(TRIM(_xlfn.TEXTSPLIT(Table25[[#This Row],[Selection Option]:[Selection Option]],","))),,U$11),"")</f>
        <v/>
      </c>
      <c r="V18" s="29" t="str" cm="1">
        <f t="array" ref="V18">IFERROR(INDEX(_xlfn.UNIQUE(TRIM(_xlfn.TEXTSPLIT(Table25[[#This Row],[Selection Option]:[Selection Option]],","))),,V$11),"")</f>
        <v/>
      </c>
      <c r="W18" s="29" t="str" cm="1">
        <f t="array" ref="W18">IFERROR(INDEX(_xlfn.UNIQUE(TRIM(_xlfn.TEXTSPLIT(Table25[[#This Row],[Selection Option]:[Selection Option]],","))),,W$11),"")</f>
        <v/>
      </c>
      <c r="X18" s="29" t="str" cm="1">
        <f t="array" ref="X18">IFERROR(INDEX(_xlfn.UNIQUE(TRIM(_xlfn.TEXTSPLIT(Table25[[#This Row],[Selection Option]:[Selection Option]],","))),,X$11),"")</f>
        <v/>
      </c>
      <c r="Y18" s="30" cm="1">
        <f t="array" ref="Y18">IF(Table25[[#This Row],[1]]="","",Table25[[#This Row],[Weight]:[Weight]]-(Table25[[#This Row],[Weight]:[Weight]]*((_xlfn.XMATCH(Table25[[#This Row],[1]],Table25[[#This Row],[1]:[11]],0))-1)/(COUNTA(Table25[[#This Row],[1]:[11]])-COUNTBLANK(Table25[[#This Row],[1]:[11]])-1)))</f>
        <v>0</v>
      </c>
      <c r="Z18" s="30" cm="1">
        <f t="array" ref="Z18">IF(Table25[[#This Row],[2]]="","",Table25[[#This Row],[Weight]:[Weight]]-(Table25[[#This Row],[Weight]:[Weight]]*((_xlfn.XMATCH(Table25[[#This Row],[2]],Table25[[#This Row],[1]:[11]],0))-1)/(COUNTA(Table25[[#This Row],[1]:[11]])-COUNTBLANK(Table25[[#This Row],[1]:[11]])-1)))</f>
        <v>0</v>
      </c>
      <c r="AA18" s="30" cm="1">
        <f t="array" ref="AA18">IF(Table25[[#This Row],[3]]="","",Table25[[#This Row],[Weight]:[Weight]]-(Table25[[#This Row],[Weight]:[Weight]]*((_xlfn.XMATCH(Table25[[#This Row],[3]],Table25[[#This Row],[1]:[11]],0))-1)/(COUNTA(Table25[[#This Row],[1]:[11]])-COUNTBLANK(Table25[[#This Row],[1]:[11]])-1)))</f>
        <v>0</v>
      </c>
      <c r="AB18" s="30" cm="1">
        <f t="array" ref="AB18">IF(Table25[[#This Row],[4]]="","",Table25[[#This Row],[Weight]:[Weight]]-(Table25[[#This Row],[Weight]:[Weight]]*((_xlfn.XMATCH(Table25[[#This Row],[4]],Table25[[#This Row],[1]:[11]],0))-1)/(COUNTA(Table25[[#This Row],[1]:[11]])-COUNTBLANK(Table25[[#This Row],[1]:[11]])-1)))</f>
        <v>0</v>
      </c>
      <c r="AC18" s="30" cm="1">
        <f t="array" ref="AC18">IF(Table25[[#This Row],[5]]="","",Table25[[#This Row],[Weight]:[Weight]]-(Table25[[#This Row],[Weight]:[Weight]]*((_xlfn.XMATCH(Table25[[#This Row],[5]],Table25[[#This Row],[1]:[11]],0))-1)/(COUNTA(Table25[[#This Row],[1]:[11]])-COUNTBLANK(Table25[[#This Row],[1]:[11]])-1)))</f>
        <v>0</v>
      </c>
      <c r="AD18" s="30" t="str" cm="1">
        <f t="array" ref="AD18">IF(Table25[[#This Row],[6]]="","",Table25[[#This Row],[Weight]:[Weight]]-(Table25[[#This Row],[Weight]:[Weight]]*((_xlfn.XMATCH(Table25[[#This Row],[6]],Table25[[#This Row],[1]:[11]],0))-1)/(COUNTA(Table25[[#This Row],[1]:[11]])-COUNTBLANK(Table25[[#This Row],[1]:[11]])-1)))</f>
        <v/>
      </c>
      <c r="AE18" s="30" t="str" cm="1">
        <f t="array" ref="AE18">IF(Table25[[#This Row],[7]]="","",Table25[[#This Row],[Weight]:[Weight]]-(Table25[[#This Row],[Weight]:[Weight]]*((_xlfn.XMATCH(Table25[[#This Row],[7]],Table25[[#This Row],[1]:[11]],0))-1)/(COUNTA(Table25[[#This Row],[1]:[11]])-COUNTBLANK(Table25[[#This Row],[1]:[11]])-1)))</f>
        <v/>
      </c>
      <c r="AF18" s="30" t="str" cm="1">
        <f t="array" ref="AF18">IF(Table25[[#This Row],[8]]="","",Table25[[#This Row],[Weight]:[Weight]]-(Table25[[#This Row],[Weight]:[Weight]]*((_xlfn.XMATCH(Table25[[#This Row],[8]],Table25[[#This Row],[1]:[11]],0))-1)/(COUNTA(Table25[[#This Row],[1]:[11]])-COUNTBLANK(Table25[[#This Row],[1]:[11]])-1)))</f>
        <v/>
      </c>
      <c r="AG18" s="30" t="str" cm="1">
        <f t="array" ref="AG18">IF(Table25[[#This Row],[9]]="","",Table25[[#This Row],[Weight]:[Weight]]-(Table25[[#This Row],[Weight]:[Weight]]*((_xlfn.XMATCH(Table25[[#This Row],[9]],Table25[[#This Row],[1]:[11]],0))-1)/(COUNTA(Table25[[#This Row],[1]:[11]])-COUNTBLANK(Table25[[#This Row],[1]:[11]])-1)))</f>
        <v/>
      </c>
      <c r="AH18" s="30" t="str" cm="1">
        <f t="array" ref="AH18">IF(Table25[[#This Row],[10]]="","",Table25[[#This Row],[Weight]:[Weight]]-(Table25[[#This Row],[Weight]:[Weight]]*((_xlfn.XMATCH(Table25[[#This Row],[10]],Table25[[#This Row],[1]:[11]],0))-1)/(COUNTA(Table25[[#This Row],[1]:[11]])-COUNTBLANK(Table25[[#This Row],[1]:[11]])-1)))</f>
        <v/>
      </c>
      <c r="AI18" s="30" t="str" cm="1">
        <f t="array" ref="AI18">IF(Table25[[#This Row],[11]]="","",Table25[[#This Row],[Weight]:[Weight]]-(Table25[[#This Row],[Weight]:[Weight]]*((_xlfn.XMATCH(Table25[[#This Row],[11]],Table25[[#This Row],[1]:[11]],0))-1)/(COUNTA(Table25[[#This Row],[1]:[11]])-COUNTBLANK(Table25[[#This Row],[1]:[11]])-1)))</f>
        <v/>
      </c>
    </row>
    <row r="19" spans="1:35" ht="46" x14ac:dyDescent="0.25">
      <c r="A19" s="32">
        <v>5</v>
      </c>
      <c r="B19" s="33"/>
      <c r="C19" s="33"/>
      <c r="D19" s="33"/>
      <c r="E19" s="33"/>
      <c r="F19" s="34" t="s">
        <v>165</v>
      </c>
      <c r="G19" s="35" cm="1">
        <f t="array" ref="G19">_xlfn.IFS(F19="","",F19="No interest",0,F19="Nice to have",1,F19="Useful",2,F19="Important",3,F19="Very important",4,F19="Critical",5,F19="Show stopper",6)</f>
        <v>4</v>
      </c>
      <c r="H19" s="36">
        <f t="shared" si="1"/>
        <v>0</v>
      </c>
      <c r="I19" s="37" t="s">
        <v>166</v>
      </c>
      <c r="J19" s="37" t="str" cm="1">
        <f t="array" ref="J19">_xlfn.TEXTJOIN(","&amp;CHAR(10),,TEXT(Table25[[#This Row],[12]:[22]],"0,00%"))</f>
        <v>0,00%,
0,00%,
0,00%,
0,00%</v>
      </c>
      <c r="K19" s="38" t="s">
        <v>167</v>
      </c>
      <c r="L19" s="39">
        <f>H19-(H19*((MATCH(Table25[[#This Row],[Evaluators Response (SELECT)]],Table25[[#This Row],[1]:[11]],0)-1)/(COUNTA(Table25[[#This Row],[1]:[11]])-COUNTBLANK(Table25[[#This Row],[1]:[11]])-1)))</f>
        <v>0</v>
      </c>
      <c r="M19" s="40"/>
      <c r="N19" s="29" t="str" cm="1">
        <f t="array" ref="N19">IFERROR(INDEX(_xlfn.UNIQUE(TRIM(_xlfn.TEXTSPLIT(Table25[[#This Row],[Selection Option]:[Selection Option]],","))),,N$11),"")</f>
        <v>A</v>
      </c>
      <c r="O19" s="29" t="str" cm="1">
        <f t="array" ref="O19">IFERROR(INDEX(_xlfn.UNIQUE(TRIM(_xlfn.TEXTSPLIT(Table25[[#This Row],[Selection Option]:[Selection Option]],","))),,O$11),"")</f>
        <v xml:space="preserve">
B</v>
      </c>
      <c r="P19" s="29" t="str" cm="1">
        <f t="array" ref="P19">IFERROR(INDEX(_xlfn.UNIQUE(TRIM(_xlfn.TEXTSPLIT(Table25[[#This Row],[Selection Option]:[Selection Option]],","))),,P$11),"")</f>
        <v xml:space="preserve">
C</v>
      </c>
      <c r="Q19" s="29" t="str" cm="1">
        <f t="array" ref="Q19">IFERROR(INDEX(_xlfn.UNIQUE(TRIM(_xlfn.TEXTSPLIT(Table25[[#This Row],[Selection Option]:[Selection Option]],","))),,Q$11),"")</f>
        <v xml:space="preserve">
D</v>
      </c>
      <c r="R19" s="29" t="str" cm="1">
        <f t="array" ref="R19">IFERROR(INDEX(_xlfn.UNIQUE(TRIM(_xlfn.TEXTSPLIT(Table25[[#This Row],[Selection Option]:[Selection Option]],","))),,R$11),"")</f>
        <v/>
      </c>
      <c r="S19" s="29" t="str" cm="1">
        <f t="array" ref="S19">IFERROR(INDEX(_xlfn.UNIQUE(TRIM(_xlfn.TEXTSPLIT(Table25[[#This Row],[Selection Option]:[Selection Option]],","))),,S$11),"")</f>
        <v/>
      </c>
      <c r="T19" s="29" t="str" cm="1">
        <f t="array" ref="T19">IFERROR(INDEX(_xlfn.UNIQUE(TRIM(_xlfn.TEXTSPLIT(Table25[[#This Row],[Selection Option]:[Selection Option]],","))),,T$11),"")</f>
        <v/>
      </c>
      <c r="U19" s="29" t="str" cm="1">
        <f t="array" ref="U19">IFERROR(INDEX(_xlfn.UNIQUE(TRIM(_xlfn.TEXTSPLIT(Table25[[#This Row],[Selection Option]:[Selection Option]],","))),,U$11),"")</f>
        <v/>
      </c>
      <c r="V19" s="29" t="str" cm="1">
        <f t="array" ref="V19">IFERROR(INDEX(_xlfn.UNIQUE(TRIM(_xlfn.TEXTSPLIT(Table25[[#This Row],[Selection Option]:[Selection Option]],","))),,V$11),"")</f>
        <v/>
      </c>
      <c r="W19" s="29" t="str" cm="1">
        <f t="array" ref="W19">IFERROR(INDEX(_xlfn.UNIQUE(TRIM(_xlfn.TEXTSPLIT(Table25[[#This Row],[Selection Option]:[Selection Option]],","))),,W$11),"")</f>
        <v/>
      </c>
      <c r="X19" s="29" t="str" cm="1">
        <f t="array" ref="X19">IFERROR(INDEX(_xlfn.UNIQUE(TRIM(_xlfn.TEXTSPLIT(Table25[[#This Row],[Selection Option]:[Selection Option]],","))),,X$11),"")</f>
        <v/>
      </c>
      <c r="Y19" s="30" cm="1">
        <f t="array" ref="Y19">IF(Table25[[#This Row],[1]]="","",Table25[[#This Row],[Weight]:[Weight]]-(Table25[[#This Row],[Weight]:[Weight]]*((_xlfn.XMATCH(Table25[[#This Row],[1]],Table25[[#This Row],[1]:[11]],0))-1)/(COUNTA(Table25[[#This Row],[1]:[11]])-COUNTBLANK(Table25[[#This Row],[1]:[11]])-1)))</f>
        <v>0</v>
      </c>
      <c r="Z19" s="30" cm="1">
        <f t="array" ref="Z19">IF(Table25[[#This Row],[2]]="","",Table25[[#This Row],[Weight]:[Weight]]-(Table25[[#This Row],[Weight]:[Weight]]*((_xlfn.XMATCH(Table25[[#This Row],[2]],Table25[[#This Row],[1]:[11]],0))-1)/(COUNTA(Table25[[#This Row],[1]:[11]])-COUNTBLANK(Table25[[#This Row],[1]:[11]])-1)))</f>
        <v>0</v>
      </c>
      <c r="AA19" s="30" cm="1">
        <f t="array" ref="AA19">IF(Table25[[#This Row],[3]]="","",Table25[[#This Row],[Weight]:[Weight]]-(Table25[[#This Row],[Weight]:[Weight]]*((_xlfn.XMATCH(Table25[[#This Row],[3]],Table25[[#This Row],[1]:[11]],0))-1)/(COUNTA(Table25[[#This Row],[1]:[11]])-COUNTBLANK(Table25[[#This Row],[1]:[11]])-1)))</f>
        <v>0</v>
      </c>
      <c r="AB19" s="30" cm="1">
        <f t="array" ref="AB19">IF(Table25[[#This Row],[4]]="","",Table25[[#This Row],[Weight]:[Weight]]-(Table25[[#This Row],[Weight]:[Weight]]*((_xlfn.XMATCH(Table25[[#This Row],[4]],Table25[[#This Row],[1]:[11]],0))-1)/(COUNTA(Table25[[#This Row],[1]:[11]])-COUNTBLANK(Table25[[#This Row],[1]:[11]])-1)))</f>
        <v>0</v>
      </c>
      <c r="AC19" s="30" t="str" cm="1">
        <f t="array" ref="AC19">IF(Table25[[#This Row],[5]]="","",Table25[[#This Row],[Weight]:[Weight]]-(Table25[[#This Row],[Weight]:[Weight]]*((_xlfn.XMATCH(Table25[[#This Row],[5]],Table25[[#This Row],[1]:[11]],0))-1)/(COUNTA(Table25[[#This Row],[1]:[11]])-COUNTBLANK(Table25[[#This Row],[1]:[11]])-1)))</f>
        <v/>
      </c>
      <c r="AD19" s="30" t="str" cm="1">
        <f t="array" ref="AD19">IF(Table25[[#This Row],[6]]="","",Table25[[#This Row],[Weight]:[Weight]]-(Table25[[#This Row],[Weight]:[Weight]]*((_xlfn.XMATCH(Table25[[#This Row],[6]],Table25[[#This Row],[1]:[11]],0))-1)/(COUNTA(Table25[[#This Row],[1]:[11]])-COUNTBLANK(Table25[[#This Row],[1]:[11]])-1)))</f>
        <v/>
      </c>
      <c r="AE19" s="30" t="str" cm="1">
        <f t="array" ref="AE19">IF(Table25[[#This Row],[7]]="","",Table25[[#This Row],[Weight]:[Weight]]-(Table25[[#This Row],[Weight]:[Weight]]*((_xlfn.XMATCH(Table25[[#This Row],[7]],Table25[[#This Row],[1]:[11]],0))-1)/(COUNTA(Table25[[#This Row],[1]:[11]])-COUNTBLANK(Table25[[#This Row],[1]:[11]])-1)))</f>
        <v/>
      </c>
      <c r="AF19" s="30" t="str" cm="1">
        <f t="array" ref="AF19">IF(Table25[[#This Row],[8]]="","",Table25[[#This Row],[Weight]:[Weight]]-(Table25[[#This Row],[Weight]:[Weight]]*((_xlfn.XMATCH(Table25[[#This Row],[8]],Table25[[#This Row],[1]:[11]],0))-1)/(COUNTA(Table25[[#This Row],[1]:[11]])-COUNTBLANK(Table25[[#This Row],[1]:[11]])-1)))</f>
        <v/>
      </c>
      <c r="AG19" s="30" t="str" cm="1">
        <f t="array" ref="AG19">IF(Table25[[#This Row],[9]]="","",Table25[[#This Row],[Weight]:[Weight]]-(Table25[[#This Row],[Weight]:[Weight]]*((_xlfn.XMATCH(Table25[[#This Row],[9]],Table25[[#This Row],[1]:[11]],0))-1)/(COUNTA(Table25[[#This Row],[1]:[11]])-COUNTBLANK(Table25[[#This Row],[1]:[11]])-1)))</f>
        <v/>
      </c>
      <c r="AH19" s="30" t="str" cm="1">
        <f t="array" ref="AH19">IF(Table25[[#This Row],[10]]="","",Table25[[#This Row],[Weight]:[Weight]]-(Table25[[#This Row],[Weight]:[Weight]]*((_xlfn.XMATCH(Table25[[#This Row],[10]],Table25[[#This Row],[1]:[11]],0))-1)/(COUNTA(Table25[[#This Row],[1]:[11]])-COUNTBLANK(Table25[[#This Row],[1]:[11]])-1)))</f>
        <v/>
      </c>
      <c r="AI19" s="30" t="str" cm="1">
        <f t="array" ref="AI19">IF(Table25[[#This Row],[11]]="","",Table25[[#This Row],[Weight]:[Weight]]-(Table25[[#This Row],[Weight]:[Weight]]*((_xlfn.XMATCH(Table25[[#This Row],[11]],Table25[[#This Row],[1]:[11]],0))-1)/(COUNTA(Table25[[#This Row],[1]:[11]])-COUNTBLANK(Table25[[#This Row],[1]:[11]])-1)))</f>
        <v/>
      </c>
    </row>
    <row r="20" spans="1:35" ht="23" x14ac:dyDescent="0.25">
      <c r="A20" s="32">
        <v>6</v>
      </c>
      <c r="B20" s="33"/>
      <c r="C20" s="33"/>
      <c r="D20" s="33"/>
      <c r="E20" s="33"/>
      <c r="F20" s="34" t="s">
        <v>114</v>
      </c>
      <c r="G20" s="35" cm="1">
        <f t="array" ref="G20">_xlfn.IFS(F20="","",F20="No interest",0,F20="Nice to have",1,F20="Useful",2,F20="Important",3,F20="Very important",4,F20="Critical",5,F20="Show stopper",6)</f>
        <v>5</v>
      </c>
      <c r="H20" s="36">
        <f t="shared" si="1"/>
        <v>0</v>
      </c>
      <c r="I20" s="37" t="s">
        <v>135</v>
      </c>
      <c r="J20" s="37" t="str" cm="1">
        <f t="array" ref="J20">_xlfn.TEXTJOIN(","&amp;CHAR(10),,TEXT(Table25[[#This Row],[12]:[22]],"0,00%"))</f>
        <v>0,00%,
0,00%</v>
      </c>
      <c r="K20" s="38" t="s">
        <v>120</v>
      </c>
      <c r="L20" s="39">
        <f>H20-(H20*((MATCH(Table25[[#This Row],[Evaluators Response (SELECT)]],Table25[[#This Row],[1]:[11]],0)-1)/(COUNTA(Table25[[#This Row],[1]:[11]])-COUNTBLANK(Table25[[#This Row],[1]:[11]])-1)))</f>
        <v>0</v>
      </c>
      <c r="M20" s="40"/>
      <c r="N20" s="29" t="str" cm="1">
        <f t="array" ref="N20">IFERROR(INDEX(_xlfn.UNIQUE(TRIM(_xlfn.TEXTSPLIT(Table25[[#This Row],[Selection Option]:[Selection Option]],","))),,N$11),"")</f>
        <v>Yes</v>
      </c>
      <c r="O20" s="29" t="str" cm="1">
        <f t="array" ref="O20">IFERROR(INDEX(_xlfn.UNIQUE(TRIM(_xlfn.TEXTSPLIT(Table25[[#This Row],[Selection Option]:[Selection Option]],","))),,O$11),"")</f>
        <v xml:space="preserve">
No</v>
      </c>
      <c r="P20" s="29" t="str" cm="1">
        <f t="array" ref="P20">IFERROR(INDEX(_xlfn.UNIQUE(TRIM(_xlfn.TEXTSPLIT(Table25[[#This Row],[Selection Option]:[Selection Option]],","))),,P$11),"")</f>
        <v/>
      </c>
      <c r="Q20" s="29" t="str" cm="1">
        <f t="array" ref="Q20">IFERROR(INDEX(_xlfn.UNIQUE(TRIM(_xlfn.TEXTSPLIT(Table25[[#This Row],[Selection Option]:[Selection Option]],","))),,Q$11),"")</f>
        <v/>
      </c>
      <c r="R20" s="29" t="str" cm="1">
        <f t="array" ref="R20">IFERROR(INDEX(_xlfn.UNIQUE(TRIM(_xlfn.TEXTSPLIT(Table25[[#This Row],[Selection Option]:[Selection Option]],","))),,R$11),"")</f>
        <v/>
      </c>
      <c r="S20" s="29" t="str" cm="1">
        <f t="array" ref="S20">IFERROR(INDEX(_xlfn.UNIQUE(TRIM(_xlfn.TEXTSPLIT(Table25[[#This Row],[Selection Option]:[Selection Option]],","))),,S$11),"")</f>
        <v/>
      </c>
      <c r="T20" s="29" t="str" cm="1">
        <f t="array" ref="T20">IFERROR(INDEX(_xlfn.UNIQUE(TRIM(_xlfn.TEXTSPLIT(Table25[[#This Row],[Selection Option]:[Selection Option]],","))),,T$11),"")</f>
        <v/>
      </c>
      <c r="U20" s="29" t="str" cm="1">
        <f t="array" ref="U20">IFERROR(INDEX(_xlfn.UNIQUE(TRIM(_xlfn.TEXTSPLIT(Table25[[#This Row],[Selection Option]:[Selection Option]],","))),,U$11),"")</f>
        <v/>
      </c>
      <c r="V20" s="29" t="str" cm="1">
        <f t="array" ref="V20">IFERROR(INDEX(_xlfn.UNIQUE(TRIM(_xlfn.TEXTSPLIT(Table25[[#This Row],[Selection Option]:[Selection Option]],","))),,V$11),"")</f>
        <v/>
      </c>
      <c r="W20" s="29" t="str" cm="1">
        <f t="array" ref="W20">IFERROR(INDEX(_xlfn.UNIQUE(TRIM(_xlfn.TEXTSPLIT(Table25[[#This Row],[Selection Option]:[Selection Option]],","))),,W$11),"")</f>
        <v/>
      </c>
      <c r="X20" s="29" t="str" cm="1">
        <f t="array" ref="X20">IFERROR(INDEX(_xlfn.UNIQUE(TRIM(_xlfn.TEXTSPLIT(Table25[[#This Row],[Selection Option]:[Selection Option]],","))),,X$11),"")</f>
        <v/>
      </c>
      <c r="Y20" s="30" cm="1">
        <f t="array" ref="Y20">IF(Table25[[#This Row],[1]]="","",Table25[[#This Row],[Weight]:[Weight]]-(Table25[[#This Row],[Weight]:[Weight]]*((_xlfn.XMATCH(Table25[[#This Row],[1]],Table25[[#This Row],[1]:[11]],0))-1)/(COUNTA(Table25[[#This Row],[1]:[11]])-COUNTBLANK(Table25[[#This Row],[1]:[11]])-1)))</f>
        <v>0</v>
      </c>
      <c r="Z20" s="30" cm="1">
        <f t="array" ref="Z20">IF(Table25[[#This Row],[2]]="","",Table25[[#This Row],[Weight]:[Weight]]-(Table25[[#This Row],[Weight]:[Weight]]*((_xlfn.XMATCH(Table25[[#This Row],[2]],Table25[[#This Row],[1]:[11]],0))-1)/(COUNTA(Table25[[#This Row],[1]:[11]])-COUNTBLANK(Table25[[#This Row],[1]:[11]])-1)))</f>
        <v>0</v>
      </c>
      <c r="AA20" s="30" t="str" cm="1">
        <f t="array" ref="AA20">IF(Table25[[#This Row],[3]]="","",Table25[[#This Row],[Weight]:[Weight]]-(Table25[[#This Row],[Weight]:[Weight]]*((_xlfn.XMATCH(Table25[[#This Row],[3]],Table25[[#This Row],[1]:[11]],0))-1)/(COUNTA(Table25[[#This Row],[1]:[11]])-COUNTBLANK(Table25[[#This Row],[1]:[11]])-1)))</f>
        <v/>
      </c>
      <c r="AB20" s="30" t="str" cm="1">
        <f t="array" ref="AB20">IF(Table25[[#This Row],[4]]="","",Table25[[#This Row],[Weight]:[Weight]]-(Table25[[#This Row],[Weight]:[Weight]]*((_xlfn.XMATCH(Table25[[#This Row],[4]],Table25[[#This Row],[1]:[11]],0))-1)/(COUNTA(Table25[[#This Row],[1]:[11]])-COUNTBLANK(Table25[[#This Row],[1]:[11]])-1)))</f>
        <v/>
      </c>
      <c r="AC20" s="30" t="str" cm="1">
        <f t="array" ref="AC20">IF(Table25[[#This Row],[5]]="","",Table25[[#This Row],[Weight]:[Weight]]-(Table25[[#This Row],[Weight]:[Weight]]*((_xlfn.XMATCH(Table25[[#This Row],[5]],Table25[[#This Row],[1]:[11]],0))-1)/(COUNTA(Table25[[#This Row],[1]:[11]])-COUNTBLANK(Table25[[#This Row],[1]:[11]])-1)))</f>
        <v/>
      </c>
      <c r="AD20" s="30" t="str" cm="1">
        <f t="array" ref="AD20">IF(Table25[[#This Row],[6]]="","",Table25[[#This Row],[Weight]:[Weight]]-(Table25[[#This Row],[Weight]:[Weight]]*((_xlfn.XMATCH(Table25[[#This Row],[6]],Table25[[#This Row],[1]:[11]],0))-1)/(COUNTA(Table25[[#This Row],[1]:[11]])-COUNTBLANK(Table25[[#This Row],[1]:[11]])-1)))</f>
        <v/>
      </c>
      <c r="AE20" s="30" t="str" cm="1">
        <f t="array" ref="AE20">IF(Table25[[#This Row],[7]]="","",Table25[[#This Row],[Weight]:[Weight]]-(Table25[[#This Row],[Weight]:[Weight]]*((_xlfn.XMATCH(Table25[[#This Row],[7]],Table25[[#This Row],[1]:[11]],0))-1)/(COUNTA(Table25[[#This Row],[1]:[11]])-COUNTBLANK(Table25[[#This Row],[1]:[11]])-1)))</f>
        <v/>
      </c>
      <c r="AF20" s="30" t="str" cm="1">
        <f t="array" ref="AF20">IF(Table25[[#This Row],[8]]="","",Table25[[#This Row],[Weight]:[Weight]]-(Table25[[#This Row],[Weight]:[Weight]]*((_xlfn.XMATCH(Table25[[#This Row],[8]],Table25[[#This Row],[1]:[11]],0))-1)/(COUNTA(Table25[[#This Row],[1]:[11]])-COUNTBLANK(Table25[[#This Row],[1]:[11]])-1)))</f>
        <v/>
      </c>
      <c r="AG20" s="30" t="str" cm="1">
        <f t="array" ref="AG20">IF(Table25[[#This Row],[9]]="","",Table25[[#This Row],[Weight]:[Weight]]-(Table25[[#This Row],[Weight]:[Weight]]*((_xlfn.XMATCH(Table25[[#This Row],[9]],Table25[[#This Row],[1]:[11]],0))-1)/(COUNTA(Table25[[#This Row],[1]:[11]])-COUNTBLANK(Table25[[#This Row],[1]:[11]])-1)))</f>
        <v/>
      </c>
      <c r="AH20" s="30" t="str" cm="1">
        <f t="array" ref="AH20">IF(Table25[[#This Row],[10]]="","",Table25[[#This Row],[Weight]:[Weight]]-(Table25[[#This Row],[Weight]:[Weight]]*((_xlfn.XMATCH(Table25[[#This Row],[10]],Table25[[#This Row],[1]:[11]],0))-1)/(COUNTA(Table25[[#This Row],[1]:[11]])-COUNTBLANK(Table25[[#This Row],[1]:[11]])-1)))</f>
        <v/>
      </c>
      <c r="AI20" s="30" t="str" cm="1">
        <f t="array" ref="AI20">IF(Table25[[#This Row],[11]]="","",Table25[[#This Row],[Weight]:[Weight]]-(Table25[[#This Row],[Weight]:[Weight]]*((_xlfn.XMATCH(Table25[[#This Row],[11]],Table25[[#This Row],[1]:[11]],0))-1)/(COUNTA(Table25[[#This Row],[1]:[11]])-COUNTBLANK(Table25[[#This Row],[1]:[11]])-1)))</f>
        <v/>
      </c>
    </row>
    <row r="21" spans="1:35" ht="23" x14ac:dyDescent="0.25">
      <c r="A21" s="32">
        <v>7</v>
      </c>
      <c r="B21" s="33"/>
      <c r="C21" s="33"/>
      <c r="D21" s="33"/>
      <c r="E21" s="33"/>
      <c r="F21" s="34" t="s">
        <v>165</v>
      </c>
      <c r="G21" s="35" cm="1">
        <f t="array" ref="G21">_xlfn.IFS(F21="","",F21="No interest",0,F21="Nice to have",1,F21="Useful",2,F21="Important",3,F21="Very important",4,F21="Critical",5,F21="Show stopper",6)</f>
        <v>4</v>
      </c>
      <c r="H21" s="36">
        <f t="shared" si="1"/>
        <v>0</v>
      </c>
      <c r="I21" s="37" t="s">
        <v>135</v>
      </c>
      <c r="J21" s="37" t="str" cm="1">
        <f t="array" ref="J21">_xlfn.TEXTJOIN(","&amp;CHAR(10),,TEXT(Table25[[#This Row],[12]:[22]],"0,00%"))</f>
        <v>0,00%,
0,00%</v>
      </c>
      <c r="K21" s="38" t="s">
        <v>161</v>
      </c>
      <c r="L21" s="39">
        <f>H21-(H21*((MATCH(Table25[[#This Row],[Evaluators Response (SELECT)]],Table25[[#This Row],[1]:[11]],0)-1)/(COUNTA(Table25[[#This Row],[1]:[11]])-COUNTBLANK(Table25[[#This Row],[1]:[11]])-1)))</f>
        <v>0</v>
      </c>
      <c r="M21" s="40"/>
      <c r="N21" s="29" t="str" cm="1">
        <f t="array" ref="N21">IFERROR(INDEX(_xlfn.UNIQUE(TRIM(_xlfn.TEXTSPLIT(Table25[[#This Row],[Selection Option]:[Selection Option]],","))),,N$11),"")</f>
        <v>Yes</v>
      </c>
      <c r="O21" s="29" t="str" cm="1">
        <f t="array" ref="O21">IFERROR(INDEX(_xlfn.UNIQUE(TRIM(_xlfn.TEXTSPLIT(Table25[[#This Row],[Selection Option]:[Selection Option]],","))),,O$11),"")</f>
        <v xml:space="preserve">
No</v>
      </c>
      <c r="P21" s="29" t="str" cm="1">
        <f t="array" ref="P21">IFERROR(INDEX(_xlfn.UNIQUE(TRIM(_xlfn.TEXTSPLIT(Table25[[#This Row],[Selection Option]:[Selection Option]],","))),,P$11),"")</f>
        <v/>
      </c>
      <c r="Q21" s="29" t="str" cm="1">
        <f t="array" ref="Q21">IFERROR(INDEX(_xlfn.UNIQUE(TRIM(_xlfn.TEXTSPLIT(Table25[[#This Row],[Selection Option]:[Selection Option]],","))),,Q$11),"")</f>
        <v/>
      </c>
      <c r="R21" s="29" t="str" cm="1">
        <f t="array" ref="R21">IFERROR(INDEX(_xlfn.UNIQUE(TRIM(_xlfn.TEXTSPLIT(Table25[[#This Row],[Selection Option]:[Selection Option]],","))),,R$11),"")</f>
        <v/>
      </c>
      <c r="S21" s="29" t="str" cm="1">
        <f t="array" ref="S21">IFERROR(INDEX(_xlfn.UNIQUE(TRIM(_xlfn.TEXTSPLIT(Table25[[#This Row],[Selection Option]:[Selection Option]],","))),,S$11),"")</f>
        <v/>
      </c>
      <c r="T21" s="29" t="str" cm="1">
        <f t="array" ref="T21">IFERROR(INDEX(_xlfn.UNIQUE(TRIM(_xlfn.TEXTSPLIT(Table25[[#This Row],[Selection Option]:[Selection Option]],","))),,T$11),"")</f>
        <v/>
      </c>
      <c r="U21" s="29" t="str" cm="1">
        <f t="array" ref="U21">IFERROR(INDEX(_xlfn.UNIQUE(TRIM(_xlfn.TEXTSPLIT(Table25[[#This Row],[Selection Option]:[Selection Option]],","))),,U$11),"")</f>
        <v/>
      </c>
      <c r="V21" s="29" t="str" cm="1">
        <f t="array" ref="V21">IFERROR(INDEX(_xlfn.UNIQUE(TRIM(_xlfn.TEXTSPLIT(Table25[[#This Row],[Selection Option]:[Selection Option]],","))),,V$11),"")</f>
        <v/>
      </c>
      <c r="W21" s="29" t="str" cm="1">
        <f t="array" ref="W21">IFERROR(INDEX(_xlfn.UNIQUE(TRIM(_xlfn.TEXTSPLIT(Table25[[#This Row],[Selection Option]:[Selection Option]],","))),,W$11),"")</f>
        <v/>
      </c>
      <c r="X21" s="29" t="str" cm="1">
        <f t="array" ref="X21">IFERROR(INDEX(_xlfn.UNIQUE(TRIM(_xlfn.TEXTSPLIT(Table25[[#This Row],[Selection Option]:[Selection Option]],","))),,X$11),"")</f>
        <v/>
      </c>
      <c r="Y21" s="30" cm="1">
        <f t="array" ref="Y21">IF(Table25[[#This Row],[1]]="","",Table25[[#This Row],[Weight]:[Weight]]-(Table25[[#This Row],[Weight]:[Weight]]*((_xlfn.XMATCH(Table25[[#This Row],[1]],Table25[[#This Row],[1]:[11]],0))-1)/(COUNTA(Table25[[#This Row],[1]:[11]])-COUNTBLANK(Table25[[#This Row],[1]:[11]])-1)))</f>
        <v>0</v>
      </c>
      <c r="Z21" s="30" cm="1">
        <f t="array" ref="Z21">IF(Table25[[#This Row],[2]]="","",Table25[[#This Row],[Weight]:[Weight]]-(Table25[[#This Row],[Weight]:[Weight]]*((_xlfn.XMATCH(Table25[[#This Row],[2]],Table25[[#This Row],[1]:[11]],0))-1)/(COUNTA(Table25[[#This Row],[1]:[11]])-COUNTBLANK(Table25[[#This Row],[1]:[11]])-1)))</f>
        <v>0</v>
      </c>
      <c r="AA21" s="30" t="str" cm="1">
        <f t="array" ref="AA21">IF(Table25[[#This Row],[3]]="","",Table25[[#This Row],[Weight]:[Weight]]-(Table25[[#This Row],[Weight]:[Weight]]*((_xlfn.XMATCH(Table25[[#This Row],[3]],Table25[[#This Row],[1]:[11]],0))-1)/(COUNTA(Table25[[#This Row],[1]:[11]])-COUNTBLANK(Table25[[#This Row],[1]:[11]])-1)))</f>
        <v/>
      </c>
      <c r="AB21" s="30" t="str" cm="1">
        <f t="array" ref="AB21">IF(Table25[[#This Row],[4]]="","",Table25[[#This Row],[Weight]:[Weight]]-(Table25[[#This Row],[Weight]:[Weight]]*((_xlfn.XMATCH(Table25[[#This Row],[4]],Table25[[#This Row],[1]:[11]],0))-1)/(COUNTA(Table25[[#This Row],[1]:[11]])-COUNTBLANK(Table25[[#This Row],[1]:[11]])-1)))</f>
        <v/>
      </c>
      <c r="AC21" s="30" t="str" cm="1">
        <f t="array" ref="AC21">IF(Table25[[#This Row],[5]]="","",Table25[[#This Row],[Weight]:[Weight]]-(Table25[[#This Row],[Weight]:[Weight]]*((_xlfn.XMATCH(Table25[[#This Row],[5]],Table25[[#This Row],[1]:[11]],0))-1)/(COUNTA(Table25[[#This Row],[1]:[11]])-COUNTBLANK(Table25[[#This Row],[1]:[11]])-1)))</f>
        <v/>
      </c>
      <c r="AD21" s="30" t="str" cm="1">
        <f t="array" ref="AD21">IF(Table25[[#This Row],[6]]="","",Table25[[#This Row],[Weight]:[Weight]]-(Table25[[#This Row],[Weight]:[Weight]]*((_xlfn.XMATCH(Table25[[#This Row],[6]],Table25[[#This Row],[1]:[11]],0))-1)/(COUNTA(Table25[[#This Row],[1]:[11]])-COUNTBLANK(Table25[[#This Row],[1]:[11]])-1)))</f>
        <v/>
      </c>
      <c r="AE21" s="30" t="str" cm="1">
        <f t="array" ref="AE21">IF(Table25[[#This Row],[7]]="","",Table25[[#This Row],[Weight]:[Weight]]-(Table25[[#This Row],[Weight]:[Weight]]*((_xlfn.XMATCH(Table25[[#This Row],[7]],Table25[[#This Row],[1]:[11]],0))-1)/(COUNTA(Table25[[#This Row],[1]:[11]])-COUNTBLANK(Table25[[#This Row],[1]:[11]])-1)))</f>
        <v/>
      </c>
      <c r="AF21" s="30" t="str" cm="1">
        <f t="array" ref="AF21">IF(Table25[[#This Row],[8]]="","",Table25[[#This Row],[Weight]:[Weight]]-(Table25[[#This Row],[Weight]:[Weight]]*((_xlfn.XMATCH(Table25[[#This Row],[8]],Table25[[#This Row],[1]:[11]],0))-1)/(COUNTA(Table25[[#This Row],[1]:[11]])-COUNTBLANK(Table25[[#This Row],[1]:[11]])-1)))</f>
        <v/>
      </c>
      <c r="AG21" s="30" t="str" cm="1">
        <f t="array" ref="AG21">IF(Table25[[#This Row],[9]]="","",Table25[[#This Row],[Weight]:[Weight]]-(Table25[[#This Row],[Weight]:[Weight]]*((_xlfn.XMATCH(Table25[[#This Row],[9]],Table25[[#This Row],[1]:[11]],0))-1)/(COUNTA(Table25[[#This Row],[1]:[11]])-COUNTBLANK(Table25[[#This Row],[1]:[11]])-1)))</f>
        <v/>
      </c>
      <c r="AH21" s="30" t="str" cm="1">
        <f t="array" ref="AH21">IF(Table25[[#This Row],[10]]="","",Table25[[#This Row],[Weight]:[Weight]]-(Table25[[#This Row],[Weight]:[Weight]]*((_xlfn.XMATCH(Table25[[#This Row],[10]],Table25[[#This Row],[1]:[11]],0))-1)/(COUNTA(Table25[[#This Row],[1]:[11]])-COUNTBLANK(Table25[[#This Row],[1]:[11]])-1)))</f>
        <v/>
      </c>
      <c r="AI21" s="30" t="str" cm="1">
        <f t="array" ref="AI21">IF(Table25[[#This Row],[11]]="","",Table25[[#This Row],[Weight]:[Weight]]-(Table25[[#This Row],[Weight]:[Weight]]*((_xlfn.XMATCH(Table25[[#This Row],[11]],Table25[[#This Row],[1]:[11]],0))-1)/(COUNTA(Table25[[#This Row],[1]:[11]])-COUNTBLANK(Table25[[#This Row],[1]:[11]])-1)))</f>
        <v/>
      </c>
    </row>
    <row r="22" spans="1:35" ht="34.5" x14ac:dyDescent="0.25">
      <c r="A22" s="32">
        <v>8</v>
      </c>
      <c r="B22" s="33"/>
      <c r="C22" s="33"/>
      <c r="D22" s="33"/>
      <c r="E22" s="33"/>
      <c r="F22" s="34" t="s">
        <v>60</v>
      </c>
      <c r="G22" s="35" cm="1">
        <f t="array" ref="G22">_xlfn.IFS(F22="","",F22="No interest",0,F22="Nice to have",1,F22="Useful",2,F22="Important",3,F22="Very important",4,F22="Critical",5,F22="Show stopper",6)</f>
        <v>6</v>
      </c>
      <c r="H22" s="36">
        <f t="shared" si="1"/>
        <v>0</v>
      </c>
      <c r="I22" s="37" t="s">
        <v>168</v>
      </c>
      <c r="J22" s="37" t="str" cm="1">
        <f t="array" ref="J22">_xlfn.TEXTJOIN(","&amp;CHAR(10),,TEXT(Table25[[#This Row],[12]:[22]],"0,00%"))</f>
        <v>0,00%,
0,00%,
0,00%</v>
      </c>
      <c r="K22" s="38" t="s">
        <v>169</v>
      </c>
      <c r="L22" s="39">
        <f>H22-(H22*((MATCH(Table25[[#This Row],[Evaluators Response (SELECT)]],Table25[[#This Row],[1]:[11]],0)-1)/(COUNTA(Table25[[#This Row],[1]:[11]])-COUNTBLANK(Table25[[#This Row],[1]:[11]])-1)))</f>
        <v>0</v>
      </c>
      <c r="M22" s="40"/>
      <c r="N22" s="29" t="str" cm="1">
        <f t="array" ref="N22">IFERROR(INDEX(_xlfn.UNIQUE(TRIM(_xlfn.TEXTSPLIT(Table25[[#This Row],[Selection Option]:[Selection Option]],","))),,N$11),"")</f>
        <v>X</v>
      </c>
      <c r="O22" s="29" t="str" cm="1">
        <f t="array" ref="O22">IFERROR(INDEX(_xlfn.UNIQUE(TRIM(_xlfn.TEXTSPLIT(Table25[[#This Row],[Selection Option]:[Selection Option]],","))),,O$11),"")</f>
        <v xml:space="preserve">
Y</v>
      </c>
      <c r="P22" s="29" t="str" cm="1">
        <f t="array" ref="P22">IFERROR(INDEX(_xlfn.UNIQUE(TRIM(_xlfn.TEXTSPLIT(Table25[[#This Row],[Selection Option]:[Selection Option]],","))),,P$11),"")</f>
        <v xml:space="preserve">
Z</v>
      </c>
      <c r="Q22" s="29" t="str" cm="1">
        <f t="array" ref="Q22">IFERROR(INDEX(_xlfn.UNIQUE(TRIM(_xlfn.TEXTSPLIT(Table25[[#This Row],[Selection Option]:[Selection Option]],","))),,Q$11),"")</f>
        <v/>
      </c>
      <c r="R22" s="29" t="str" cm="1">
        <f t="array" ref="R22">IFERROR(INDEX(_xlfn.UNIQUE(TRIM(_xlfn.TEXTSPLIT(Table25[[#This Row],[Selection Option]:[Selection Option]],","))),,R$11),"")</f>
        <v/>
      </c>
      <c r="S22" s="29" t="str" cm="1">
        <f t="array" ref="S22">IFERROR(INDEX(_xlfn.UNIQUE(TRIM(_xlfn.TEXTSPLIT(Table25[[#This Row],[Selection Option]:[Selection Option]],","))),,S$11),"")</f>
        <v/>
      </c>
      <c r="T22" s="29" t="str" cm="1">
        <f t="array" ref="T22">IFERROR(INDEX(_xlfn.UNIQUE(TRIM(_xlfn.TEXTSPLIT(Table25[[#This Row],[Selection Option]:[Selection Option]],","))),,T$11),"")</f>
        <v/>
      </c>
      <c r="U22" s="29" t="str" cm="1">
        <f t="array" ref="U22">IFERROR(INDEX(_xlfn.UNIQUE(TRIM(_xlfn.TEXTSPLIT(Table25[[#This Row],[Selection Option]:[Selection Option]],","))),,U$11),"")</f>
        <v/>
      </c>
      <c r="V22" s="29" t="str" cm="1">
        <f t="array" ref="V22">IFERROR(INDEX(_xlfn.UNIQUE(TRIM(_xlfn.TEXTSPLIT(Table25[[#This Row],[Selection Option]:[Selection Option]],","))),,V$11),"")</f>
        <v/>
      </c>
      <c r="W22" s="29" t="str" cm="1">
        <f t="array" ref="W22">IFERROR(INDEX(_xlfn.UNIQUE(TRIM(_xlfn.TEXTSPLIT(Table25[[#This Row],[Selection Option]:[Selection Option]],","))),,W$11),"")</f>
        <v/>
      </c>
      <c r="X22" s="29" t="str" cm="1">
        <f t="array" ref="X22">IFERROR(INDEX(_xlfn.UNIQUE(TRIM(_xlfn.TEXTSPLIT(Table25[[#This Row],[Selection Option]:[Selection Option]],","))),,X$11),"")</f>
        <v/>
      </c>
      <c r="Y22" s="30" cm="1">
        <f t="array" ref="Y22">IF(Table25[[#This Row],[1]]="","",Table25[[#This Row],[Weight]:[Weight]]-(Table25[[#This Row],[Weight]:[Weight]]*((_xlfn.XMATCH(Table25[[#This Row],[1]],Table25[[#This Row],[1]:[11]],0))-1)/(COUNTA(Table25[[#This Row],[1]:[11]])-COUNTBLANK(Table25[[#This Row],[1]:[11]])-1)))</f>
        <v>0</v>
      </c>
      <c r="Z22" s="30" cm="1">
        <f t="array" ref="Z22">IF(Table25[[#This Row],[2]]="","",Table25[[#This Row],[Weight]:[Weight]]-(Table25[[#This Row],[Weight]:[Weight]]*((_xlfn.XMATCH(Table25[[#This Row],[2]],Table25[[#This Row],[1]:[11]],0))-1)/(COUNTA(Table25[[#This Row],[1]:[11]])-COUNTBLANK(Table25[[#This Row],[1]:[11]])-1)))</f>
        <v>0</v>
      </c>
      <c r="AA22" s="30" cm="1">
        <f t="array" ref="AA22">IF(Table25[[#This Row],[3]]="","",Table25[[#This Row],[Weight]:[Weight]]-(Table25[[#This Row],[Weight]:[Weight]]*((_xlfn.XMATCH(Table25[[#This Row],[3]],Table25[[#This Row],[1]:[11]],0))-1)/(COUNTA(Table25[[#This Row],[1]:[11]])-COUNTBLANK(Table25[[#This Row],[1]:[11]])-1)))</f>
        <v>0</v>
      </c>
      <c r="AB22" s="30" t="str" cm="1">
        <f t="array" ref="AB22">IF(Table25[[#This Row],[4]]="","",Table25[[#This Row],[Weight]:[Weight]]-(Table25[[#This Row],[Weight]:[Weight]]*((_xlfn.XMATCH(Table25[[#This Row],[4]],Table25[[#This Row],[1]:[11]],0))-1)/(COUNTA(Table25[[#This Row],[1]:[11]])-COUNTBLANK(Table25[[#This Row],[1]:[11]])-1)))</f>
        <v/>
      </c>
      <c r="AC22" s="30" t="str" cm="1">
        <f t="array" ref="AC22">IF(Table25[[#This Row],[5]]="","",Table25[[#This Row],[Weight]:[Weight]]-(Table25[[#This Row],[Weight]:[Weight]]*((_xlfn.XMATCH(Table25[[#This Row],[5]],Table25[[#This Row],[1]:[11]],0))-1)/(COUNTA(Table25[[#This Row],[1]:[11]])-COUNTBLANK(Table25[[#This Row],[1]:[11]])-1)))</f>
        <v/>
      </c>
      <c r="AD22" s="30" t="str" cm="1">
        <f t="array" ref="AD22">IF(Table25[[#This Row],[6]]="","",Table25[[#This Row],[Weight]:[Weight]]-(Table25[[#This Row],[Weight]:[Weight]]*((_xlfn.XMATCH(Table25[[#This Row],[6]],Table25[[#This Row],[1]:[11]],0))-1)/(COUNTA(Table25[[#This Row],[1]:[11]])-COUNTBLANK(Table25[[#This Row],[1]:[11]])-1)))</f>
        <v/>
      </c>
      <c r="AE22" s="30" t="str" cm="1">
        <f t="array" ref="AE22">IF(Table25[[#This Row],[7]]="","",Table25[[#This Row],[Weight]:[Weight]]-(Table25[[#This Row],[Weight]:[Weight]]*((_xlfn.XMATCH(Table25[[#This Row],[7]],Table25[[#This Row],[1]:[11]],0))-1)/(COUNTA(Table25[[#This Row],[1]:[11]])-COUNTBLANK(Table25[[#This Row],[1]:[11]])-1)))</f>
        <v/>
      </c>
      <c r="AF22" s="30" t="str" cm="1">
        <f t="array" ref="AF22">IF(Table25[[#This Row],[8]]="","",Table25[[#This Row],[Weight]:[Weight]]-(Table25[[#This Row],[Weight]:[Weight]]*((_xlfn.XMATCH(Table25[[#This Row],[8]],Table25[[#This Row],[1]:[11]],0))-1)/(COUNTA(Table25[[#This Row],[1]:[11]])-COUNTBLANK(Table25[[#This Row],[1]:[11]])-1)))</f>
        <v/>
      </c>
      <c r="AG22" s="30" t="str" cm="1">
        <f t="array" ref="AG22">IF(Table25[[#This Row],[9]]="","",Table25[[#This Row],[Weight]:[Weight]]-(Table25[[#This Row],[Weight]:[Weight]]*((_xlfn.XMATCH(Table25[[#This Row],[9]],Table25[[#This Row],[1]:[11]],0))-1)/(COUNTA(Table25[[#This Row],[1]:[11]])-COUNTBLANK(Table25[[#This Row],[1]:[11]])-1)))</f>
        <v/>
      </c>
      <c r="AH22" s="30" t="str" cm="1">
        <f t="array" ref="AH22">IF(Table25[[#This Row],[10]]="","",Table25[[#This Row],[Weight]:[Weight]]-(Table25[[#This Row],[Weight]:[Weight]]*((_xlfn.XMATCH(Table25[[#This Row],[10]],Table25[[#This Row],[1]:[11]],0))-1)/(COUNTA(Table25[[#This Row],[1]:[11]])-COUNTBLANK(Table25[[#This Row],[1]:[11]])-1)))</f>
        <v/>
      </c>
      <c r="AI22" s="30" t="str" cm="1">
        <f t="array" ref="AI22">IF(Table25[[#This Row],[11]]="","",Table25[[#This Row],[Weight]:[Weight]]-(Table25[[#This Row],[Weight]:[Weight]]*((_xlfn.XMATCH(Table25[[#This Row],[11]],Table25[[#This Row],[1]:[11]],0))-1)/(COUNTA(Table25[[#This Row],[1]:[11]])-COUNTBLANK(Table25[[#This Row],[1]:[11]])-1)))</f>
        <v/>
      </c>
    </row>
    <row r="23" spans="1:35" ht="34.5" x14ac:dyDescent="0.25">
      <c r="A23" s="32">
        <v>9</v>
      </c>
      <c r="B23" s="40"/>
      <c r="C23" s="40"/>
      <c r="D23" s="40"/>
      <c r="E23" s="40"/>
      <c r="F23" s="34" t="s">
        <v>160</v>
      </c>
      <c r="G23" s="35" cm="1">
        <f t="array" ref="G23">_xlfn.IFS(F23="","",F23="No interest",0,F23="Nice to have",1,F23="Useful",2,F23="Important",3,F23="Very important",4,F23="Critical",5,F23="Show stopper",6)</f>
        <v>2</v>
      </c>
      <c r="H23" s="36">
        <f t="shared" si="1"/>
        <v>0</v>
      </c>
      <c r="I23" s="37" t="s">
        <v>170</v>
      </c>
      <c r="J23" s="37" t="str" cm="1">
        <f t="array" ref="J23">_xlfn.TEXTJOIN(","&amp;CHAR(10),,TEXT(Table25[[#This Row],[12]:[22]],"0,00%"))</f>
        <v>0,00%,
0,00%,
0,00%</v>
      </c>
      <c r="K23" s="38" t="s">
        <v>171</v>
      </c>
      <c r="L23" s="39">
        <f>H23-(H23*((MATCH(Table25[[#This Row],[Evaluators Response (SELECT)]],Table25[[#This Row],[1]:[11]],0)-1)/(COUNTA(Table25[[#This Row],[1]:[11]])-COUNTBLANK(Table25[[#This Row],[1]:[11]])-1)))</f>
        <v>0</v>
      </c>
      <c r="M23" s="40"/>
      <c r="N23" s="29" t="str" cm="1">
        <f t="array" ref="N23">IFERROR(INDEX(_xlfn.UNIQUE(TRIM(_xlfn.TEXTSPLIT(Table25[[#This Row],[Selection Option]:[Selection Option]],","))),,N$11),"")</f>
        <v>K</v>
      </c>
      <c r="O23" s="29" t="str" cm="1">
        <f t="array" ref="O23">IFERROR(INDEX(_xlfn.UNIQUE(TRIM(_xlfn.TEXTSPLIT(Table25[[#This Row],[Selection Option]:[Selection Option]],","))),,O$11),"")</f>
        <v xml:space="preserve">
L</v>
      </c>
      <c r="P23" s="29" t="str" cm="1">
        <f t="array" ref="P23">IFERROR(INDEX(_xlfn.UNIQUE(TRIM(_xlfn.TEXTSPLIT(Table25[[#This Row],[Selection Option]:[Selection Option]],","))),,P$11),"")</f>
        <v xml:space="preserve">
M</v>
      </c>
      <c r="Q23" s="29" t="str" cm="1">
        <f t="array" ref="Q23">IFERROR(INDEX(_xlfn.UNIQUE(TRIM(_xlfn.TEXTSPLIT(Table25[[#This Row],[Selection Option]:[Selection Option]],","))),,Q$11),"")</f>
        <v/>
      </c>
      <c r="R23" s="29" t="str" cm="1">
        <f t="array" ref="R23">IFERROR(INDEX(_xlfn.UNIQUE(TRIM(_xlfn.TEXTSPLIT(Table25[[#This Row],[Selection Option]:[Selection Option]],","))),,R$11),"")</f>
        <v/>
      </c>
      <c r="S23" s="29" t="str" cm="1">
        <f t="array" ref="S23">IFERROR(INDEX(_xlfn.UNIQUE(TRIM(_xlfn.TEXTSPLIT(Table25[[#This Row],[Selection Option]:[Selection Option]],","))),,S$11),"")</f>
        <v/>
      </c>
      <c r="T23" s="29" t="str" cm="1">
        <f t="array" ref="T23">IFERROR(INDEX(_xlfn.UNIQUE(TRIM(_xlfn.TEXTSPLIT(Table25[[#This Row],[Selection Option]:[Selection Option]],","))),,T$11),"")</f>
        <v/>
      </c>
      <c r="U23" s="29" t="str" cm="1">
        <f t="array" ref="U23">IFERROR(INDEX(_xlfn.UNIQUE(TRIM(_xlfn.TEXTSPLIT(Table25[[#This Row],[Selection Option]:[Selection Option]],","))),,U$11),"")</f>
        <v/>
      </c>
      <c r="V23" s="29" t="str" cm="1">
        <f t="array" ref="V23">IFERROR(INDEX(_xlfn.UNIQUE(TRIM(_xlfn.TEXTSPLIT(Table25[[#This Row],[Selection Option]:[Selection Option]],","))),,V$11),"")</f>
        <v/>
      </c>
      <c r="W23" s="29" t="str" cm="1">
        <f t="array" ref="W23">IFERROR(INDEX(_xlfn.UNIQUE(TRIM(_xlfn.TEXTSPLIT(Table25[[#This Row],[Selection Option]:[Selection Option]],","))),,W$11),"")</f>
        <v/>
      </c>
      <c r="X23" s="29" t="str" cm="1">
        <f t="array" ref="X23">IFERROR(INDEX(_xlfn.UNIQUE(TRIM(_xlfn.TEXTSPLIT(Table25[[#This Row],[Selection Option]:[Selection Option]],","))),,X$11),"")</f>
        <v/>
      </c>
      <c r="Y23" s="30" cm="1">
        <f t="array" ref="Y23">IF(Table25[[#This Row],[1]]="","",Table25[[#This Row],[Weight]:[Weight]]-(Table25[[#This Row],[Weight]:[Weight]]*((_xlfn.XMATCH(Table25[[#This Row],[1]],Table25[[#This Row],[1]:[11]],0))-1)/(COUNTA(Table25[[#This Row],[1]:[11]])-COUNTBLANK(Table25[[#This Row],[1]:[11]])-1)))</f>
        <v>0</v>
      </c>
      <c r="Z23" s="30" cm="1">
        <f t="array" ref="Z23">IF(Table25[[#This Row],[2]]="","",Table25[[#This Row],[Weight]:[Weight]]-(Table25[[#This Row],[Weight]:[Weight]]*((_xlfn.XMATCH(Table25[[#This Row],[2]],Table25[[#This Row],[1]:[11]],0))-1)/(COUNTA(Table25[[#This Row],[1]:[11]])-COUNTBLANK(Table25[[#This Row],[1]:[11]])-1)))</f>
        <v>0</v>
      </c>
      <c r="AA23" s="30" cm="1">
        <f t="array" ref="AA23">IF(Table25[[#This Row],[3]]="","",Table25[[#This Row],[Weight]:[Weight]]-(Table25[[#This Row],[Weight]:[Weight]]*((_xlfn.XMATCH(Table25[[#This Row],[3]],Table25[[#This Row],[1]:[11]],0))-1)/(COUNTA(Table25[[#This Row],[1]:[11]])-COUNTBLANK(Table25[[#This Row],[1]:[11]])-1)))</f>
        <v>0</v>
      </c>
      <c r="AB23" s="30" t="str" cm="1">
        <f t="array" ref="AB23">IF(Table25[[#This Row],[4]]="","",Table25[[#This Row],[Weight]:[Weight]]-(Table25[[#This Row],[Weight]:[Weight]]*((_xlfn.XMATCH(Table25[[#This Row],[4]],Table25[[#This Row],[1]:[11]],0))-1)/(COUNTA(Table25[[#This Row],[1]:[11]])-COUNTBLANK(Table25[[#This Row],[1]:[11]])-1)))</f>
        <v/>
      </c>
      <c r="AC23" s="30" t="str" cm="1">
        <f t="array" ref="AC23">IF(Table25[[#This Row],[5]]="","",Table25[[#This Row],[Weight]:[Weight]]-(Table25[[#This Row],[Weight]:[Weight]]*((_xlfn.XMATCH(Table25[[#This Row],[5]],Table25[[#This Row],[1]:[11]],0))-1)/(COUNTA(Table25[[#This Row],[1]:[11]])-COUNTBLANK(Table25[[#This Row],[1]:[11]])-1)))</f>
        <v/>
      </c>
      <c r="AD23" s="30" t="str" cm="1">
        <f t="array" ref="AD23">IF(Table25[[#This Row],[6]]="","",Table25[[#This Row],[Weight]:[Weight]]-(Table25[[#This Row],[Weight]:[Weight]]*((_xlfn.XMATCH(Table25[[#This Row],[6]],Table25[[#This Row],[1]:[11]],0))-1)/(COUNTA(Table25[[#This Row],[1]:[11]])-COUNTBLANK(Table25[[#This Row],[1]:[11]])-1)))</f>
        <v/>
      </c>
      <c r="AE23" s="30" t="str" cm="1">
        <f t="array" ref="AE23">IF(Table25[[#This Row],[7]]="","",Table25[[#This Row],[Weight]:[Weight]]-(Table25[[#This Row],[Weight]:[Weight]]*((_xlfn.XMATCH(Table25[[#This Row],[7]],Table25[[#This Row],[1]:[11]],0))-1)/(COUNTA(Table25[[#This Row],[1]:[11]])-COUNTBLANK(Table25[[#This Row],[1]:[11]])-1)))</f>
        <v/>
      </c>
      <c r="AF23" s="30" t="str" cm="1">
        <f t="array" ref="AF23">IF(Table25[[#This Row],[8]]="","",Table25[[#This Row],[Weight]:[Weight]]-(Table25[[#This Row],[Weight]:[Weight]]*((_xlfn.XMATCH(Table25[[#This Row],[8]],Table25[[#This Row],[1]:[11]],0))-1)/(COUNTA(Table25[[#This Row],[1]:[11]])-COUNTBLANK(Table25[[#This Row],[1]:[11]])-1)))</f>
        <v/>
      </c>
      <c r="AG23" s="30" t="str" cm="1">
        <f t="array" ref="AG23">IF(Table25[[#This Row],[9]]="","",Table25[[#This Row],[Weight]:[Weight]]-(Table25[[#This Row],[Weight]:[Weight]]*((_xlfn.XMATCH(Table25[[#This Row],[9]],Table25[[#This Row],[1]:[11]],0))-1)/(COUNTA(Table25[[#This Row],[1]:[11]])-COUNTBLANK(Table25[[#This Row],[1]:[11]])-1)))</f>
        <v/>
      </c>
      <c r="AH23" s="30" t="str" cm="1">
        <f t="array" ref="AH23">IF(Table25[[#This Row],[10]]="","",Table25[[#This Row],[Weight]:[Weight]]-(Table25[[#This Row],[Weight]:[Weight]]*((_xlfn.XMATCH(Table25[[#This Row],[10]],Table25[[#This Row],[1]:[11]],0))-1)/(COUNTA(Table25[[#This Row],[1]:[11]])-COUNTBLANK(Table25[[#This Row],[1]:[11]])-1)))</f>
        <v/>
      </c>
      <c r="AI23" s="30" t="str" cm="1">
        <f t="array" ref="AI23">IF(Table25[[#This Row],[11]]="","",Table25[[#This Row],[Weight]:[Weight]]-(Table25[[#This Row],[Weight]:[Weight]]*((_xlfn.XMATCH(Table25[[#This Row],[11]],Table25[[#This Row],[1]:[11]],0))-1)/(COUNTA(Table25[[#This Row],[1]:[11]])-COUNTBLANK(Table25[[#This Row],[1]:[11]])-1)))</f>
        <v/>
      </c>
    </row>
    <row r="24" spans="1:35" ht="34.5" x14ac:dyDescent="0.25">
      <c r="A24" s="32">
        <v>10</v>
      </c>
      <c r="B24" s="40"/>
      <c r="C24" s="40"/>
      <c r="D24" s="40"/>
      <c r="E24" s="40"/>
      <c r="F24" s="34" t="s">
        <v>56</v>
      </c>
      <c r="G24" s="35" cm="1">
        <f t="array" ref="G24">_xlfn.IFS(F24="","",F24="No interest",0,F24="Nice to have",1,F24="Useful",2,F24="Important",3,F24="Very important",4,F24="Critical",5,F24="Show stopper",6)</f>
        <v>3</v>
      </c>
      <c r="H24" s="36">
        <f t="shared" si="1"/>
        <v>0</v>
      </c>
      <c r="I24" s="37" t="s">
        <v>172</v>
      </c>
      <c r="J24" s="37" t="str" cm="1">
        <f t="array" ref="J24">_xlfn.TEXTJOIN(","&amp;CHAR(10),,TEXT(Table25[[#This Row],[12]:[22]],"0,00%"))</f>
        <v>0,00%,
0,00%,
0,00%</v>
      </c>
      <c r="K24" s="38" t="s">
        <v>173</v>
      </c>
      <c r="L24" s="39">
        <f>H24-(H24*((MATCH(Table25[[#This Row],[Evaluators Response (SELECT)]],Table25[[#This Row],[1]:[11]],0)-1)/(COUNTA(Table25[[#This Row],[1]:[11]])-COUNTBLANK(Table25[[#This Row],[1]:[11]])-1)))</f>
        <v>0</v>
      </c>
      <c r="M24" s="40"/>
      <c r="N24" s="29" t="str" cm="1">
        <f t="array" ref="N24">IFERROR(INDEX(_xlfn.UNIQUE(TRIM(_xlfn.TEXTSPLIT(Table25[[#This Row],[Selection Option]:[Selection Option]],","))),,N$11),"")</f>
        <v>t</v>
      </c>
      <c r="O24" s="29" t="str" cm="1">
        <f t="array" ref="O24">IFERROR(INDEX(_xlfn.UNIQUE(TRIM(_xlfn.TEXTSPLIT(Table25[[#This Row],[Selection Option]:[Selection Option]],","))),,O$11),"")</f>
        <v xml:space="preserve">
s</v>
      </c>
      <c r="P24" s="29" t="str" cm="1">
        <f t="array" ref="P24">IFERROR(INDEX(_xlfn.UNIQUE(TRIM(_xlfn.TEXTSPLIT(Table25[[#This Row],[Selection Option]:[Selection Option]],","))),,P$11),"")</f>
        <v xml:space="preserve">
w</v>
      </c>
      <c r="Q24" s="29" t="str" cm="1">
        <f t="array" ref="Q24">IFERROR(INDEX(_xlfn.UNIQUE(TRIM(_xlfn.TEXTSPLIT(Table25[[#This Row],[Selection Option]:[Selection Option]],","))),,Q$11),"")</f>
        <v/>
      </c>
      <c r="R24" s="29" t="str" cm="1">
        <f t="array" ref="R24">IFERROR(INDEX(_xlfn.UNIQUE(TRIM(_xlfn.TEXTSPLIT(Table25[[#This Row],[Selection Option]:[Selection Option]],","))),,R$11),"")</f>
        <v/>
      </c>
      <c r="S24" s="29" t="str" cm="1">
        <f t="array" ref="S24">IFERROR(INDEX(_xlfn.UNIQUE(TRIM(_xlfn.TEXTSPLIT(Table25[[#This Row],[Selection Option]:[Selection Option]],","))),,S$11),"")</f>
        <v/>
      </c>
      <c r="T24" s="29" t="str" cm="1">
        <f t="array" ref="T24">IFERROR(INDEX(_xlfn.UNIQUE(TRIM(_xlfn.TEXTSPLIT(Table25[[#This Row],[Selection Option]:[Selection Option]],","))),,T$11),"")</f>
        <v/>
      </c>
      <c r="U24" s="29" t="str" cm="1">
        <f t="array" ref="U24">IFERROR(INDEX(_xlfn.UNIQUE(TRIM(_xlfn.TEXTSPLIT(Table25[[#This Row],[Selection Option]:[Selection Option]],","))),,U$11),"")</f>
        <v/>
      </c>
      <c r="V24" s="29" t="str" cm="1">
        <f t="array" ref="V24">IFERROR(INDEX(_xlfn.UNIQUE(TRIM(_xlfn.TEXTSPLIT(Table25[[#This Row],[Selection Option]:[Selection Option]],","))),,V$11),"")</f>
        <v/>
      </c>
      <c r="W24" s="29" t="str" cm="1">
        <f t="array" ref="W24">IFERROR(INDEX(_xlfn.UNIQUE(TRIM(_xlfn.TEXTSPLIT(Table25[[#This Row],[Selection Option]:[Selection Option]],","))),,W$11),"")</f>
        <v/>
      </c>
      <c r="X24" s="29" t="str" cm="1">
        <f t="array" ref="X24">IFERROR(INDEX(_xlfn.UNIQUE(TRIM(_xlfn.TEXTSPLIT(Table25[[#This Row],[Selection Option]:[Selection Option]],","))),,X$11),"")</f>
        <v/>
      </c>
      <c r="Y24" s="30" cm="1">
        <f t="array" ref="Y24">IF(Table25[[#This Row],[1]]="","",Table25[[#This Row],[Weight]:[Weight]]-(Table25[[#This Row],[Weight]:[Weight]]*((_xlfn.XMATCH(Table25[[#This Row],[1]],Table25[[#This Row],[1]:[11]],0))-1)/(COUNTA(Table25[[#This Row],[1]:[11]])-COUNTBLANK(Table25[[#This Row],[1]:[11]])-1)))</f>
        <v>0</v>
      </c>
      <c r="Z24" s="30" cm="1">
        <f t="array" ref="Z24">IF(Table25[[#This Row],[2]]="","",Table25[[#This Row],[Weight]:[Weight]]-(Table25[[#This Row],[Weight]:[Weight]]*((_xlfn.XMATCH(Table25[[#This Row],[2]],Table25[[#This Row],[1]:[11]],0))-1)/(COUNTA(Table25[[#This Row],[1]:[11]])-COUNTBLANK(Table25[[#This Row],[1]:[11]])-1)))</f>
        <v>0</v>
      </c>
      <c r="AA24" s="30" cm="1">
        <f t="array" ref="AA24">IF(Table25[[#This Row],[3]]="","",Table25[[#This Row],[Weight]:[Weight]]-(Table25[[#This Row],[Weight]:[Weight]]*((_xlfn.XMATCH(Table25[[#This Row],[3]],Table25[[#This Row],[1]:[11]],0))-1)/(COUNTA(Table25[[#This Row],[1]:[11]])-COUNTBLANK(Table25[[#This Row],[1]:[11]])-1)))</f>
        <v>0</v>
      </c>
      <c r="AB24" s="30" t="str" cm="1">
        <f t="array" ref="AB24">IF(Table25[[#This Row],[4]]="","",Table25[[#This Row],[Weight]:[Weight]]-(Table25[[#This Row],[Weight]:[Weight]]*((_xlfn.XMATCH(Table25[[#This Row],[4]],Table25[[#This Row],[1]:[11]],0))-1)/(COUNTA(Table25[[#This Row],[1]:[11]])-COUNTBLANK(Table25[[#This Row],[1]:[11]])-1)))</f>
        <v/>
      </c>
      <c r="AC24" s="30" t="str" cm="1">
        <f t="array" ref="AC24">IF(Table25[[#This Row],[5]]="","",Table25[[#This Row],[Weight]:[Weight]]-(Table25[[#This Row],[Weight]:[Weight]]*((_xlfn.XMATCH(Table25[[#This Row],[5]],Table25[[#This Row],[1]:[11]],0))-1)/(COUNTA(Table25[[#This Row],[1]:[11]])-COUNTBLANK(Table25[[#This Row],[1]:[11]])-1)))</f>
        <v/>
      </c>
      <c r="AD24" s="30" t="str" cm="1">
        <f t="array" ref="AD24">IF(Table25[[#This Row],[6]]="","",Table25[[#This Row],[Weight]:[Weight]]-(Table25[[#This Row],[Weight]:[Weight]]*((_xlfn.XMATCH(Table25[[#This Row],[6]],Table25[[#This Row],[1]:[11]],0))-1)/(COUNTA(Table25[[#This Row],[1]:[11]])-COUNTBLANK(Table25[[#This Row],[1]:[11]])-1)))</f>
        <v/>
      </c>
      <c r="AE24" s="30" t="str" cm="1">
        <f t="array" ref="AE24">IF(Table25[[#This Row],[7]]="","",Table25[[#This Row],[Weight]:[Weight]]-(Table25[[#This Row],[Weight]:[Weight]]*((_xlfn.XMATCH(Table25[[#This Row],[7]],Table25[[#This Row],[1]:[11]],0))-1)/(COUNTA(Table25[[#This Row],[1]:[11]])-COUNTBLANK(Table25[[#This Row],[1]:[11]])-1)))</f>
        <v/>
      </c>
      <c r="AF24" s="30" t="str" cm="1">
        <f t="array" ref="AF24">IF(Table25[[#This Row],[8]]="","",Table25[[#This Row],[Weight]:[Weight]]-(Table25[[#This Row],[Weight]:[Weight]]*((_xlfn.XMATCH(Table25[[#This Row],[8]],Table25[[#This Row],[1]:[11]],0))-1)/(COUNTA(Table25[[#This Row],[1]:[11]])-COUNTBLANK(Table25[[#This Row],[1]:[11]])-1)))</f>
        <v/>
      </c>
      <c r="AG24" s="30" t="str" cm="1">
        <f t="array" ref="AG24">IF(Table25[[#This Row],[9]]="","",Table25[[#This Row],[Weight]:[Weight]]-(Table25[[#This Row],[Weight]:[Weight]]*((_xlfn.XMATCH(Table25[[#This Row],[9]],Table25[[#This Row],[1]:[11]],0))-1)/(COUNTA(Table25[[#This Row],[1]:[11]])-COUNTBLANK(Table25[[#This Row],[1]:[11]])-1)))</f>
        <v/>
      </c>
      <c r="AH24" s="30" t="str" cm="1">
        <f t="array" ref="AH24">IF(Table25[[#This Row],[10]]="","",Table25[[#This Row],[Weight]:[Weight]]-(Table25[[#This Row],[Weight]:[Weight]]*((_xlfn.XMATCH(Table25[[#This Row],[10]],Table25[[#This Row],[1]:[11]],0))-1)/(COUNTA(Table25[[#This Row],[1]:[11]])-COUNTBLANK(Table25[[#This Row],[1]:[11]])-1)))</f>
        <v/>
      </c>
      <c r="AI24" s="30" t="str" cm="1">
        <f t="array" ref="AI24">IF(Table25[[#This Row],[11]]="","",Table25[[#This Row],[Weight]:[Weight]]-(Table25[[#This Row],[Weight]:[Weight]]*((_xlfn.XMATCH(Table25[[#This Row],[11]],Table25[[#This Row],[1]:[11]],0))-1)/(COUNTA(Table25[[#This Row],[1]:[11]])-COUNTBLANK(Table25[[#This Row],[1]:[11]])-1)))</f>
        <v/>
      </c>
    </row>
    <row r="25" spans="1:35" ht="46" x14ac:dyDescent="0.25">
      <c r="A25" s="32">
        <v>11</v>
      </c>
      <c r="B25" s="40"/>
      <c r="C25" s="40"/>
      <c r="D25" s="40"/>
      <c r="E25" s="40"/>
      <c r="F25" s="34" t="s">
        <v>165</v>
      </c>
      <c r="G25" s="35" cm="1">
        <f t="array" ref="G25">_xlfn.IFS(F25="","",F25="No interest",0,F25="Nice to have",1,F25="Useful",2,F25="Important",3,F25="Very important",4,F25="Critical",5,F25="Show stopper",6)</f>
        <v>4</v>
      </c>
      <c r="H25" s="36">
        <f t="shared" si="1"/>
        <v>0</v>
      </c>
      <c r="I25" s="37" t="s">
        <v>166</v>
      </c>
      <c r="J25" s="37" t="str" cm="1">
        <f t="array" ref="J25">_xlfn.TEXTJOIN(","&amp;CHAR(10),,TEXT(Table25[[#This Row],[12]:[22]],"0,00%"))</f>
        <v>0,00%,
0,00%,
0,00%,
0,00%</v>
      </c>
      <c r="K25" s="38" t="s">
        <v>174</v>
      </c>
      <c r="L25" s="39">
        <f>H25-(H25*((MATCH(Table25[[#This Row],[Evaluators Response (SELECT)]],Table25[[#This Row],[1]:[11]],0)-1)/(COUNTA(Table25[[#This Row],[1]:[11]])-COUNTBLANK(Table25[[#This Row],[1]:[11]])-1)))</f>
        <v>0</v>
      </c>
      <c r="M25" s="40"/>
      <c r="N25" s="29" t="str" cm="1">
        <f t="array" ref="N25">IFERROR(INDEX(_xlfn.UNIQUE(TRIM(_xlfn.TEXTSPLIT(Table25[[#This Row],[Selection Option]:[Selection Option]],","))),,N$11),"")</f>
        <v>A</v>
      </c>
      <c r="O25" s="29" t="str" cm="1">
        <f t="array" ref="O25">IFERROR(INDEX(_xlfn.UNIQUE(TRIM(_xlfn.TEXTSPLIT(Table25[[#This Row],[Selection Option]:[Selection Option]],","))),,O$11),"")</f>
        <v xml:space="preserve">
B</v>
      </c>
      <c r="P25" s="29" t="str" cm="1">
        <f t="array" ref="P25">IFERROR(INDEX(_xlfn.UNIQUE(TRIM(_xlfn.TEXTSPLIT(Table25[[#This Row],[Selection Option]:[Selection Option]],","))),,P$11),"")</f>
        <v xml:space="preserve">
C</v>
      </c>
      <c r="Q25" s="29" t="str" cm="1">
        <f t="array" ref="Q25">IFERROR(INDEX(_xlfn.UNIQUE(TRIM(_xlfn.TEXTSPLIT(Table25[[#This Row],[Selection Option]:[Selection Option]],","))),,Q$11),"")</f>
        <v xml:space="preserve">
D</v>
      </c>
      <c r="R25" s="29" t="str" cm="1">
        <f t="array" ref="R25">IFERROR(INDEX(_xlfn.UNIQUE(TRIM(_xlfn.TEXTSPLIT(Table25[[#This Row],[Selection Option]:[Selection Option]],","))),,R$11),"")</f>
        <v/>
      </c>
      <c r="S25" s="29" t="str" cm="1">
        <f t="array" ref="S25">IFERROR(INDEX(_xlfn.UNIQUE(TRIM(_xlfn.TEXTSPLIT(Table25[[#This Row],[Selection Option]:[Selection Option]],","))),,S$11),"")</f>
        <v/>
      </c>
      <c r="T25" s="29" t="str" cm="1">
        <f t="array" ref="T25">IFERROR(INDEX(_xlfn.UNIQUE(TRIM(_xlfn.TEXTSPLIT(Table25[[#This Row],[Selection Option]:[Selection Option]],","))),,T$11),"")</f>
        <v/>
      </c>
      <c r="U25" s="29" t="str" cm="1">
        <f t="array" ref="U25">IFERROR(INDEX(_xlfn.UNIQUE(TRIM(_xlfn.TEXTSPLIT(Table25[[#This Row],[Selection Option]:[Selection Option]],","))),,U$11),"")</f>
        <v/>
      </c>
      <c r="V25" s="29" t="str" cm="1">
        <f t="array" ref="V25">IFERROR(INDEX(_xlfn.UNIQUE(TRIM(_xlfn.TEXTSPLIT(Table25[[#This Row],[Selection Option]:[Selection Option]],","))),,V$11),"")</f>
        <v/>
      </c>
      <c r="W25" s="29" t="str" cm="1">
        <f t="array" ref="W25">IFERROR(INDEX(_xlfn.UNIQUE(TRIM(_xlfn.TEXTSPLIT(Table25[[#This Row],[Selection Option]:[Selection Option]],","))),,W$11),"")</f>
        <v/>
      </c>
      <c r="X25" s="29" t="str" cm="1">
        <f t="array" ref="X25">IFERROR(INDEX(_xlfn.UNIQUE(TRIM(_xlfn.TEXTSPLIT(Table25[[#This Row],[Selection Option]:[Selection Option]],","))),,X$11),"")</f>
        <v/>
      </c>
      <c r="Y25" s="30" cm="1">
        <f t="array" ref="Y25">IF(Table25[[#This Row],[1]]="","",Table25[[#This Row],[Weight]:[Weight]]-(Table25[[#This Row],[Weight]:[Weight]]*((_xlfn.XMATCH(Table25[[#This Row],[1]],Table25[[#This Row],[1]:[11]],0))-1)/(COUNTA(Table25[[#This Row],[1]:[11]])-COUNTBLANK(Table25[[#This Row],[1]:[11]])-1)))</f>
        <v>0</v>
      </c>
      <c r="Z25" s="30" cm="1">
        <f t="array" ref="Z25">IF(Table25[[#This Row],[2]]="","",Table25[[#This Row],[Weight]:[Weight]]-(Table25[[#This Row],[Weight]:[Weight]]*((_xlfn.XMATCH(Table25[[#This Row],[2]],Table25[[#This Row],[1]:[11]],0))-1)/(COUNTA(Table25[[#This Row],[1]:[11]])-COUNTBLANK(Table25[[#This Row],[1]:[11]])-1)))</f>
        <v>0</v>
      </c>
      <c r="AA25" s="30" cm="1">
        <f t="array" ref="AA25">IF(Table25[[#This Row],[3]]="","",Table25[[#This Row],[Weight]:[Weight]]-(Table25[[#This Row],[Weight]:[Weight]]*((_xlfn.XMATCH(Table25[[#This Row],[3]],Table25[[#This Row],[1]:[11]],0))-1)/(COUNTA(Table25[[#This Row],[1]:[11]])-COUNTBLANK(Table25[[#This Row],[1]:[11]])-1)))</f>
        <v>0</v>
      </c>
      <c r="AB25" s="30" cm="1">
        <f t="array" ref="AB25">IF(Table25[[#This Row],[4]]="","",Table25[[#This Row],[Weight]:[Weight]]-(Table25[[#This Row],[Weight]:[Weight]]*((_xlfn.XMATCH(Table25[[#This Row],[4]],Table25[[#This Row],[1]:[11]],0))-1)/(COUNTA(Table25[[#This Row],[1]:[11]])-COUNTBLANK(Table25[[#This Row],[1]:[11]])-1)))</f>
        <v>0</v>
      </c>
      <c r="AC25" s="30" t="str" cm="1">
        <f t="array" ref="AC25">IF(Table25[[#This Row],[5]]="","",Table25[[#This Row],[Weight]:[Weight]]-(Table25[[#This Row],[Weight]:[Weight]]*((_xlfn.XMATCH(Table25[[#This Row],[5]],Table25[[#This Row],[1]:[11]],0))-1)/(COUNTA(Table25[[#This Row],[1]:[11]])-COUNTBLANK(Table25[[#This Row],[1]:[11]])-1)))</f>
        <v/>
      </c>
      <c r="AD25" s="30" t="str" cm="1">
        <f t="array" ref="AD25">IF(Table25[[#This Row],[6]]="","",Table25[[#This Row],[Weight]:[Weight]]-(Table25[[#This Row],[Weight]:[Weight]]*((_xlfn.XMATCH(Table25[[#This Row],[6]],Table25[[#This Row],[1]:[11]],0))-1)/(COUNTA(Table25[[#This Row],[1]:[11]])-COUNTBLANK(Table25[[#This Row],[1]:[11]])-1)))</f>
        <v/>
      </c>
      <c r="AE25" s="30" t="str" cm="1">
        <f t="array" ref="AE25">IF(Table25[[#This Row],[7]]="","",Table25[[#This Row],[Weight]:[Weight]]-(Table25[[#This Row],[Weight]:[Weight]]*((_xlfn.XMATCH(Table25[[#This Row],[7]],Table25[[#This Row],[1]:[11]],0))-1)/(COUNTA(Table25[[#This Row],[1]:[11]])-COUNTBLANK(Table25[[#This Row],[1]:[11]])-1)))</f>
        <v/>
      </c>
      <c r="AF25" s="30" t="str" cm="1">
        <f t="array" ref="AF25">IF(Table25[[#This Row],[8]]="","",Table25[[#This Row],[Weight]:[Weight]]-(Table25[[#This Row],[Weight]:[Weight]]*((_xlfn.XMATCH(Table25[[#This Row],[8]],Table25[[#This Row],[1]:[11]],0))-1)/(COUNTA(Table25[[#This Row],[1]:[11]])-COUNTBLANK(Table25[[#This Row],[1]:[11]])-1)))</f>
        <v/>
      </c>
      <c r="AG25" s="30" t="str" cm="1">
        <f t="array" ref="AG25">IF(Table25[[#This Row],[9]]="","",Table25[[#This Row],[Weight]:[Weight]]-(Table25[[#This Row],[Weight]:[Weight]]*((_xlfn.XMATCH(Table25[[#This Row],[9]],Table25[[#This Row],[1]:[11]],0))-1)/(COUNTA(Table25[[#This Row],[1]:[11]])-COUNTBLANK(Table25[[#This Row],[1]:[11]])-1)))</f>
        <v/>
      </c>
      <c r="AH25" s="30" t="str" cm="1">
        <f t="array" ref="AH25">IF(Table25[[#This Row],[10]]="","",Table25[[#This Row],[Weight]:[Weight]]-(Table25[[#This Row],[Weight]:[Weight]]*((_xlfn.XMATCH(Table25[[#This Row],[10]],Table25[[#This Row],[1]:[11]],0))-1)/(COUNTA(Table25[[#This Row],[1]:[11]])-COUNTBLANK(Table25[[#This Row],[1]:[11]])-1)))</f>
        <v/>
      </c>
      <c r="AI25" s="30" t="str" cm="1">
        <f t="array" ref="AI25">IF(Table25[[#This Row],[11]]="","",Table25[[#This Row],[Weight]:[Weight]]-(Table25[[#This Row],[Weight]:[Weight]]*((_xlfn.XMATCH(Table25[[#This Row],[11]],Table25[[#This Row],[1]:[11]],0))-1)/(COUNTA(Table25[[#This Row],[1]:[11]])-COUNTBLANK(Table25[[#This Row],[1]:[11]])-1)))</f>
        <v/>
      </c>
    </row>
    <row r="26" spans="1:35" ht="34.5" x14ac:dyDescent="0.25">
      <c r="A26" s="32">
        <v>12</v>
      </c>
      <c r="B26" s="40"/>
      <c r="C26" s="40"/>
      <c r="D26" s="40"/>
      <c r="E26" s="40"/>
      <c r="F26" s="34" t="s">
        <v>160</v>
      </c>
      <c r="G26" s="35" cm="1">
        <f t="array" ref="G26">_xlfn.IFS(F26="","",F26="No interest",0,F26="Nice to have",1,F26="Useful",2,F26="Important",3,F26="Very important",4,F26="Critical",5,F26="Show stopper",6)</f>
        <v>2</v>
      </c>
      <c r="H26" s="36">
        <f t="shared" si="1"/>
        <v>0</v>
      </c>
      <c r="I26" s="37" t="s">
        <v>175</v>
      </c>
      <c r="J26" s="37" t="str" cm="1">
        <f t="array" ref="J26">_xlfn.TEXTJOIN(","&amp;CHAR(10),,TEXT(Table25[[#This Row],[12]:[22]],"0,00%"))</f>
        <v>0,00%,
0,00%,
0,00%</v>
      </c>
      <c r="K26" s="38" t="s">
        <v>33</v>
      </c>
      <c r="L26" s="39">
        <f>H26-(H26*((MATCH(Table25[[#This Row],[Evaluators Response (SELECT)]],Table25[[#This Row],[1]:[11]],0)-1)/(COUNTA(Table25[[#This Row],[1]:[11]])-COUNTBLANK(Table25[[#This Row],[1]:[11]])-1)))</f>
        <v>0</v>
      </c>
      <c r="M26" s="40"/>
      <c r="N26" s="29" t="str" cm="1">
        <f t="array" ref="N26">IFERROR(INDEX(_xlfn.UNIQUE(TRIM(_xlfn.TEXTSPLIT(Table25[[#This Row],[Selection Option]:[Selection Option]],","))),,N$11),"")</f>
        <v>3</v>
      </c>
      <c r="O26" s="29" t="str" cm="1">
        <f t="array" ref="O26">IFERROR(INDEX(_xlfn.UNIQUE(TRIM(_xlfn.TEXTSPLIT(Table25[[#This Row],[Selection Option]:[Selection Option]],","))),,O$11),"")</f>
        <v>2</v>
      </c>
      <c r="P26" s="29" t="str" cm="1">
        <f t="array" ref="P26">IFERROR(INDEX(_xlfn.UNIQUE(TRIM(_xlfn.TEXTSPLIT(Table25[[#This Row],[Selection Option]:[Selection Option]],","))),,P$11),"")</f>
        <v>1</v>
      </c>
      <c r="Q26" s="29" t="str" cm="1">
        <f t="array" ref="Q26">IFERROR(INDEX(_xlfn.UNIQUE(TRIM(_xlfn.TEXTSPLIT(Table25[[#This Row],[Selection Option]:[Selection Option]],","))),,Q$11),"")</f>
        <v/>
      </c>
      <c r="R26" s="29" t="str" cm="1">
        <f t="array" ref="R26">IFERROR(INDEX(_xlfn.UNIQUE(TRIM(_xlfn.TEXTSPLIT(Table25[[#This Row],[Selection Option]:[Selection Option]],","))),,R$11),"")</f>
        <v/>
      </c>
      <c r="S26" s="29" t="str" cm="1">
        <f t="array" ref="S26">IFERROR(INDEX(_xlfn.UNIQUE(TRIM(_xlfn.TEXTSPLIT(Table25[[#This Row],[Selection Option]:[Selection Option]],","))),,S$11),"")</f>
        <v/>
      </c>
      <c r="T26" s="29" t="str" cm="1">
        <f t="array" ref="T26">IFERROR(INDEX(_xlfn.UNIQUE(TRIM(_xlfn.TEXTSPLIT(Table25[[#This Row],[Selection Option]:[Selection Option]],","))),,T$11),"")</f>
        <v/>
      </c>
      <c r="U26" s="29" t="str" cm="1">
        <f t="array" ref="U26">IFERROR(INDEX(_xlfn.UNIQUE(TRIM(_xlfn.TEXTSPLIT(Table25[[#This Row],[Selection Option]:[Selection Option]],","))),,U$11),"")</f>
        <v/>
      </c>
      <c r="V26" s="29" t="str" cm="1">
        <f t="array" ref="V26">IFERROR(INDEX(_xlfn.UNIQUE(TRIM(_xlfn.TEXTSPLIT(Table25[[#This Row],[Selection Option]:[Selection Option]],","))),,V$11),"")</f>
        <v/>
      </c>
      <c r="W26" s="29" t="str" cm="1">
        <f t="array" ref="W26">IFERROR(INDEX(_xlfn.UNIQUE(TRIM(_xlfn.TEXTSPLIT(Table25[[#This Row],[Selection Option]:[Selection Option]],","))),,W$11),"")</f>
        <v/>
      </c>
      <c r="X26" s="29" t="str" cm="1">
        <f t="array" ref="X26">IFERROR(INDEX(_xlfn.UNIQUE(TRIM(_xlfn.TEXTSPLIT(Table25[[#This Row],[Selection Option]:[Selection Option]],","))),,X$11),"")</f>
        <v/>
      </c>
      <c r="Y26" s="30" cm="1">
        <f t="array" ref="Y26">IF(Table25[[#This Row],[1]]="","",Table25[[#This Row],[Weight]:[Weight]]-(Table25[[#This Row],[Weight]:[Weight]]*((_xlfn.XMATCH(Table25[[#This Row],[1]],Table25[[#This Row],[1]:[11]],0))-1)/(COUNTA(Table25[[#This Row],[1]:[11]])-COUNTBLANK(Table25[[#This Row],[1]:[11]])-1)))</f>
        <v>0</v>
      </c>
      <c r="Z26" s="30" cm="1">
        <f t="array" ref="Z26">IF(Table25[[#This Row],[2]]="","",Table25[[#This Row],[Weight]:[Weight]]-(Table25[[#This Row],[Weight]:[Weight]]*((_xlfn.XMATCH(Table25[[#This Row],[2]],Table25[[#This Row],[1]:[11]],0))-1)/(COUNTA(Table25[[#This Row],[1]:[11]])-COUNTBLANK(Table25[[#This Row],[1]:[11]])-1)))</f>
        <v>0</v>
      </c>
      <c r="AA26" s="30" cm="1">
        <f t="array" ref="AA26">IF(Table25[[#This Row],[3]]="","",Table25[[#This Row],[Weight]:[Weight]]-(Table25[[#This Row],[Weight]:[Weight]]*((_xlfn.XMATCH(Table25[[#This Row],[3]],Table25[[#This Row],[1]:[11]],0))-1)/(COUNTA(Table25[[#This Row],[1]:[11]])-COUNTBLANK(Table25[[#This Row],[1]:[11]])-1)))</f>
        <v>0</v>
      </c>
      <c r="AB26" s="30" t="str" cm="1">
        <f t="array" ref="AB26">IF(Table25[[#This Row],[4]]="","",Table25[[#This Row],[Weight]:[Weight]]-(Table25[[#This Row],[Weight]:[Weight]]*((_xlfn.XMATCH(Table25[[#This Row],[4]],Table25[[#This Row],[1]:[11]],0))-1)/(COUNTA(Table25[[#This Row],[1]:[11]])-COUNTBLANK(Table25[[#This Row],[1]:[11]])-1)))</f>
        <v/>
      </c>
      <c r="AC26" s="30" t="str" cm="1">
        <f t="array" ref="AC26">IF(Table25[[#This Row],[5]]="","",Table25[[#This Row],[Weight]:[Weight]]-(Table25[[#This Row],[Weight]:[Weight]]*((_xlfn.XMATCH(Table25[[#This Row],[5]],Table25[[#This Row],[1]:[11]],0))-1)/(COUNTA(Table25[[#This Row],[1]:[11]])-COUNTBLANK(Table25[[#This Row],[1]:[11]])-1)))</f>
        <v/>
      </c>
      <c r="AD26" s="30" t="str" cm="1">
        <f t="array" ref="AD26">IF(Table25[[#This Row],[6]]="","",Table25[[#This Row],[Weight]:[Weight]]-(Table25[[#This Row],[Weight]:[Weight]]*((_xlfn.XMATCH(Table25[[#This Row],[6]],Table25[[#This Row],[1]:[11]],0))-1)/(COUNTA(Table25[[#This Row],[1]:[11]])-COUNTBLANK(Table25[[#This Row],[1]:[11]])-1)))</f>
        <v/>
      </c>
      <c r="AE26" s="30" t="str" cm="1">
        <f t="array" ref="AE26">IF(Table25[[#This Row],[7]]="","",Table25[[#This Row],[Weight]:[Weight]]-(Table25[[#This Row],[Weight]:[Weight]]*((_xlfn.XMATCH(Table25[[#This Row],[7]],Table25[[#This Row],[1]:[11]],0))-1)/(COUNTA(Table25[[#This Row],[1]:[11]])-COUNTBLANK(Table25[[#This Row],[1]:[11]])-1)))</f>
        <v/>
      </c>
      <c r="AF26" s="30" t="str" cm="1">
        <f t="array" ref="AF26">IF(Table25[[#This Row],[8]]="","",Table25[[#This Row],[Weight]:[Weight]]-(Table25[[#This Row],[Weight]:[Weight]]*((_xlfn.XMATCH(Table25[[#This Row],[8]],Table25[[#This Row],[1]:[11]],0))-1)/(COUNTA(Table25[[#This Row],[1]:[11]])-COUNTBLANK(Table25[[#This Row],[1]:[11]])-1)))</f>
        <v/>
      </c>
      <c r="AG26" s="30" t="str" cm="1">
        <f t="array" ref="AG26">IF(Table25[[#This Row],[9]]="","",Table25[[#This Row],[Weight]:[Weight]]-(Table25[[#This Row],[Weight]:[Weight]]*((_xlfn.XMATCH(Table25[[#This Row],[9]],Table25[[#This Row],[1]:[11]],0))-1)/(COUNTA(Table25[[#This Row],[1]:[11]])-COUNTBLANK(Table25[[#This Row],[1]:[11]])-1)))</f>
        <v/>
      </c>
      <c r="AH26" s="30" t="str" cm="1">
        <f t="array" ref="AH26">IF(Table25[[#This Row],[10]]="","",Table25[[#This Row],[Weight]:[Weight]]-(Table25[[#This Row],[Weight]:[Weight]]*((_xlfn.XMATCH(Table25[[#This Row],[10]],Table25[[#This Row],[1]:[11]],0))-1)/(COUNTA(Table25[[#This Row],[1]:[11]])-COUNTBLANK(Table25[[#This Row],[1]:[11]])-1)))</f>
        <v/>
      </c>
      <c r="AI26" s="30" t="str" cm="1">
        <f t="array" ref="AI26">IF(Table25[[#This Row],[11]]="","",Table25[[#This Row],[Weight]:[Weight]]-(Table25[[#This Row],[Weight]:[Weight]]*((_xlfn.XMATCH(Table25[[#This Row],[11]],Table25[[#This Row],[1]:[11]],0))-1)/(COUNTA(Table25[[#This Row],[1]:[11]])-COUNTBLANK(Table25[[#This Row],[1]:[11]])-1)))</f>
        <v/>
      </c>
    </row>
    <row r="27" spans="1:35" ht="34.5" x14ac:dyDescent="0.25">
      <c r="A27" s="20">
        <v>13</v>
      </c>
      <c r="B27" s="28"/>
      <c r="C27" s="28"/>
      <c r="D27" s="28"/>
      <c r="E27" s="28"/>
      <c r="F27" s="22" t="s">
        <v>60</v>
      </c>
      <c r="G27" s="23" cm="1">
        <f t="array" ref="G27">_xlfn.IFS(F27="","",F27="No interest",0,F27="Nice to have",1,F27="Useful",2,F27="Important",3,F27="Very important",4,F27="Critical",5,F27="Show stopper",6)</f>
        <v>6</v>
      </c>
      <c r="H27" s="24">
        <f t="shared" si="1"/>
        <v>0</v>
      </c>
      <c r="I27" s="25" t="s">
        <v>176</v>
      </c>
      <c r="J27" s="37" t="str" cm="1">
        <f t="array" ref="J27">_xlfn.TEXTJOIN(","&amp;CHAR(10),,TEXT(Table25[[#This Row],[12]:[22]],"0,00%"))</f>
        <v>0,00%,
0,00%,
0,00%</v>
      </c>
      <c r="K27" s="26" t="s">
        <v>177</v>
      </c>
      <c r="L27" s="27">
        <f>H27-(H27*((MATCH(Table25[[#This Row],[Evaluators Response (SELECT)]],Table25[[#This Row],[1]:[11]],0)-1)/(COUNTA(Table25[[#This Row],[1]:[11]])-COUNTBLANK(Table25[[#This Row],[1]:[11]])-1)))</f>
        <v>0</v>
      </c>
      <c r="M27" s="28"/>
      <c r="N27" s="41" t="str" cm="1">
        <f t="array" ref="N27">IFERROR(INDEX(_xlfn.UNIQUE(TRIM(_xlfn.TEXTSPLIT(Table25[[#This Row],[Selection Option]:[Selection Option]],","))),,N$11),"")</f>
        <v>M</v>
      </c>
      <c r="O27" s="41" t="str" cm="1">
        <f t="array" ref="O27">IFERROR(INDEX(_xlfn.UNIQUE(TRIM(_xlfn.TEXTSPLIT(Table25[[#This Row],[Selection Option]],","))),,O$11),"")</f>
        <v>N</v>
      </c>
      <c r="P27" s="41" t="str" cm="1">
        <f t="array" ref="P27">IFERROR(INDEX(_xlfn.UNIQUE(TRIM(_xlfn.TEXTSPLIT(Table25[[#This Row],[Selection Option]],","))),,P$11),"")</f>
        <v>P</v>
      </c>
      <c r="Q27" s="41" t="str" cm="1">
        <f t="array" ref="Q27">IFERROR(INDEX(_xlfn.UNIQUE(TRIM(_xlfn.TEXTSPLIT(Table25[[#This Row],[Selection Option]],","))),,Q$11),"")</f>
        <v/>
      </c>
      <c r="R27" s="42" t="str" cm="1">
        <f t="array" ref="R27">IFERROR(INDEX(_xlfn.UNIQUE(TRIM(_xlfn.TEXTSPLIT(Table25[[#This Row],[Selection Option]],","))),,R$11),"")</f>
        <v/>
      </c>
      <c r="S27" s="41" t="str" cm="1">
        <f t="array" ref="S27">IFERROR(INDEX(_xlfn.UNIQUE(TRIM(_xlfn.TEXTSPLIT(Table25[[#This Row],[Selection Option]],","))),,S$11),"")</f>
        <v/>
      </c>
      <c r="T27" s="41" t="str" cm="1">
        <f t="array" ref="T27">IFERROR(INDEX(_xlfn.UNIQUE(TRIM(_xlfn.TEXTSPLIT(Table25[[#This Row],[Selection Option]],","))),,T$11),"")</f>
        <v/>
      </c>
      <c r="U27" s="41" t="str" cm="1">
        <f t="array" ref="U27">IFERROR(INDEX(_xlfn.UNIQUE(TRIM(_xlfn.TEXTSPLIT(Table25[[#This Row],[Selection Option]],","))),,U$11),"")</f>
        <v/>
      </c>
      <c r="V27" s="41" t="str" cm="1">
        <f t="array" ref="V27">IFERROR(INDEX(_xlfn.UNIQUE(TRIM(_xlfn.TEXTSPLIT(Table25[[#This Row],[Selection Option]],","))),,V$11),"")</f>
        <v/>
      </c>
      <c r="W27" s="41" t="str" cm="1">
        <f t="array" ref="W27">IFERROR(INDEX(_xlfn.UNIQUE(TRIM(_xlfn.TEXTSPLIT(Table25[[#This Row],[Selection Option]],","))),,W$11),"")</f>
        <v/>
      </c>
      <c r="X27" s="41" t="str" cm="1">
        <f t="array" ref="X27">IFERROR(INDEX(_xlfn.UNIQUE(TRIM(_xlfn.TEXTSPLIT(Table25[[#This Row],[Selection Option]],","))),,X$11),"")</f>
        <v/>
      </c>
      <c r="Y27" s="30" cm="1">
        <f t="array" ref="Y27">IF(Table25[[#This Row],[1]]="","",Table25[[#This Row],[Weight]:[Weight]]-(Table25[[#This Row],[Weight]:[Weight]]*((_xlfn.XMATCH(Table25[[#This Row],[1]],Table25[[#This Row],[1]:[11]],0))-1)/(COUNTA(Table25[[#This Row],[1]:[11]])-COUNTBLANK(Table25[[#This Row],[1]:[11]])-1)))</f>
        <v>0</v>
      </c>
      <c r="Z27" s="30" cm="1">
        <f t="array" ref="Z27">IF(Table25[[#This Row],[2]]="","",Table25[[#This Row],[Weight]:[Weight]]-(Table25[[#This Row],[Weight]:[Weight]]*((_xlfn.XMATCH(Table25[[#This Row],[2]],Table25[[#This Row],[1]:[11]],0))-1)/(COUNTA(Table25[[#This Row],[1]:[11]])-COUNTBLANK(Table25[[#This Row],[1]:[11]])-1)))</f>
        <v>0</v>
      </c>
      <c r="AA27" s="30" cm="1">
        <f t="array" ref="AA27">IF(Table25[[#This Row],[3]]="","",Table25[[#This Row],[Weight]:[Weight]]-(Table25[[#This Row],[Weight]:[Weight]]*((_xlfn.XMATCH(Table25[[#This Row],[3]],Table25[[#This Row],[1]:[11]],0))-1)/(COUNTA(Table25[[#This Row],[1]:[11]])-COUNTBLANK(Table25[[#This Row],[1]:[11]])-1)))</f>
        <v>0</v>
      </c>
      <c r="AB27" s="30" t="str" cm="1">
        <f t="array" ref="AB27">IF(Table25[[#This Row],[4]]="","",Table25[[#This Row],[Weight]:[Weight]]-(Table25[[#This Row],[Weight]:[Weight]]*((_xlfn.XMATCH(Table25[[#This Row],[4]],Table25[[#This Row],[1]:[11]],0))-1)/(COUNTA(Table25[[#This Row],[1]:[11]])-COUNTBLANK(Table25[[#This Row],[1]:[11]])-1)))</f>
        <v/>
      </c>
      <c r="AC27" s="30" t="str" cm="1">
        <f t="array" ref="AC27">IF(Table25[[#This Row],[5]]="","",Table25[[#This Row],[Weight]:[Weight]]-(Table25[[#This Row],[Weight]:[Weight]]*((_xlfn.XMATCH(Table25[[#This Row],[5]],Table25[[#This Row],[1]:[11]],0))-1)/(COUNTA(Table25[[#This Row],[1]:[11]])-COUNTBLANK(Table25[[#This Row],[1]:[11]])-1)))</f>
        <v/>
      </c>
      <c r="AD27" s="30" t="str" cm="1">
        <f t="array" ref="AD27">IF(Table25[[#This Row],[6]]="","",Table25[[#This Row],[Weight]:[Weight]]-(Table25[[#This Row],[Weight]:[Weight]]*((_xlfn.XMATCH(Table25[[#This Row],[6]],Table25[[#This Row],[1]:[11]],0))-1)/(COUNTA(Table25[[#This Row],[1]:[11]])-COUNTBLANK(Table25[[#This Row],[1]:[11]])-1)))</f>
        <v/>
      </c>
      <c r="AE27" s="30" t="str" cm="1">
        <f t="array" ref="AE27">IF(Table25[[#This Row],[7]]="","",Table25[[#This Row],[Weight]:[Weight]]-(Table25[[#This Row],[Weight]:[Weight]]*((_xlfn.XMATCH(Table25[[#This Row],[7]],Table25[[#This Row],[1]:[11]],0))-1)/(COUNTA(Table25[[#This Row],[1]:[11]])-COUNTBLANK(Table25[[#This Row],[1]:[11]])-1)))</f>
        <v/>
      </c>
      <c r="AF27" s="30" t="str" cm="1">
        <f t="array" ref="AF27">IF(Table25[[#This Row],[8]]="","",Table25[[#This Row],[Weight]:[Weight]]-(Table25[[#This Row],[Weight]:[Weight]]*((_xlfn.XMATCH(Table25[[#This Row],[8]],Table25[[#This Row],[1]:[11]],0))-1)/(COUNTA(Table25[[#This Row],[1]:[11]])-COUNTBLANK(Table25[[#This Row],[1]:[11]])-1)))</f>
        <v/>
      </c>
      <c r="AG27" s="41" t="str" cm="1">
        <f t="array" ref="AG27">IF(Table25[[#This Row],[9]]="","",Table25[[#This Row],[Weight]:[Weight]]-(Table25[[#This Row],[Weight]:[Weight]]*((_xlfn.XMATCH(Table25[[#This Row],[9]],Table25[[#This Row],[1]:[11]],0))-1)/(COUNTA(Table25[[#This Row],[1]:[11]])-COUNTBLANK(Table25[[#This Row],[1]:[11]])-1)))</f>
        <v/>
      </c>
      <c r="AH27" s="41" t="str" cm="1">
        <f t="array" ref="AH27">IF(Table25[[#This Row],[10]]="","",Table25[[#This Row],[Weight]:[Weight]]-(Table25[[#This Row],[Weight]:[Weight]]*((_xlfn.XMATCH(Table25[[#This Row],[10]],Table25[[#This Row],[1]:[11]],0))-1)/(COUNTA(Table25[[#This Row],[1]:[11]])-COUNTBLANK(Table25[[#This Row],[1]:[11]])-1)))</f>
        <v/>
      </c>
      <c r="AI27" s="41" t="str" cm="1">
        <f t="array" ref="AI27">IF(Table25[[#This Row],[11]]="","",Table25[[#This Row],[Weight]:[Weight]]-(Table25[[#This Row],[Weight]:[Weight]]*((_xlfn.XMATCH(Table25[[#This Row],[11]],Table25[[#This Row],[1]:[11]],0))-1)/(COUNTA(Table25[[#This Row],[1]:[11]])-COUNTBLANK(Table25[[#This Row],[1]:[11]])-1)))</f>
        <v/>
      </c>
    </row>
    <row r="28" spans="1:35" ht="23" x14ac:dyDescent="0.25">
      <c r="A28" s="32">
        <v>14</v>
      </c>
      <c r="B28" s="40"/>
      <c r="C28" s="40"/>
      <c r="D28" s="40"/>
      <c r="E28" s="40"/>
      <c r="F28" s="34" t="s">
        <v>56</v>
      </c>
      <c r="G28" s="35" cm="1">
        <f t="array" ref="G28">_xlfn.IFS(F28="","",F28="No interest",0,F28="Nice to have",1,F28="Useful",2,F28="Important",3,F28="Very important",4,F28="Critical",5,F28="Show stopper",6)</f>
        <v>3</v>
      </c>
      <c r="H28" s="36">
        <f t="shared" si="1"/>
        <v>0</v>
      </c>
      <c r="I28" s="37" t="s">
        <v>178</v>
      </c>
      <c r="J28" s="37" t="str" cm="1">
        <f t="array" ref="J28">_xlfn.TEXTJOIN(","&amp;CHAR(10),,TEXT(Table25[[#This Row],[12]:[22]],"0,00%"))</f>
        <v>0,00%,
0,00%</v>
      </c>
      <c r="K28" s="38" t="s">
        <v>179</v>
      </c>
      <c r="L28" s="39">
        <f>H28-(H28*((MATCH(Table25[[#This Row],[Evaluators Response (SELECT)]],Table25[[#This Row],[1]:[11]],0)-1)/(COUNTA(Table25[[#This Row],[1]:[11]])-COUNTBLANK(Table25[[#This Row],[1]:[11]])-1)))</f>
        <v>0</v>
      </c>
      <c r="M28" s="40"/>
      <c r="N28" s="29" t="str" cm="1">
        <f t="array" ref="N28">IFERROR(INDEX(_xlfn.UNIQUE(TRIM(_xlfn.TEXTSPLIT(Table25[[#This Row],[Selection Option]:[Selection Option]],","))),,N$11),"")</f>
        <v>Y</v>
      </c>
      <c r="O28" s="29" t="str" cm="1">
        <f t="array" ref="O28">IFERROR(INDEX(_xlfn.UNIQUE(TRIM(_xlfn.TEXTSPLIT(Table25[[#This Row],[Selection Option]:[Selection Option]],","))),,O$11),"")</f>
        <v>N</v>
      </c>
      <c r="P28" s="29" t="str" cm="1">
        <f t="array" ref="P28">IFERROR(INDEX(_xlfn.UNIQUE(TRIM(_xlfn.TEXTSPLIT(Table25[[#This Row],[Selection Option]:[Selection Option]],","))),,P$11),"")</f>
        <v/>
      </c>
      <c r="Q28" s="29" t="str" cm="1">
        <f t="array" ref="Q28">IFERROR(INDEX(_xlfn.UNIQUE(TRIM(_xlfn.TEXTSPLIT(Table25[[#This Row],[Selection Option]:[Selection Option]],","))),,Q$11),"")</f>
        <v/>
      </c>
      <c r="R28" s="29" t="str" cm="1">
        <f t="array" ref="R28">IFERROR(INDEX(_xlfn.UNIQUE(TRIM(_xlfn.TEXTSPLIT(Table25[[#This Row],[Selection Option]:[Selection Option]],","))),,R$11),"")</f>
        <v/>
      </c>
      <c r="S28" s="29" t="str" cm="1">
        <f t="array" ref="S28">IFERROR(INDEX(_xlfn.UNIQUE(TRIM(_xlfn.TEXTSPLIT(Table25[[#This Row],[Selection Option]:[Selection Option]],","))),,S$11),"")</f>
        <v/>
      </c>
      <c r="T28" s="29" t="str" cm="1">
        <f t="array" ref="T28">IFERROR(INDEX(_xlfn.UNIQUE(TRIM(_xlfn.TEXTSPLIT(Table25[[#This Row],[Selection Option]:[Selection Option]],","))),,T$11),"")</f>
        <v/>
      </c>
      <c r="U28" s="29" t="str" cm="1">
        <f t="array" ref="U28">IFERROR(INDEX(_xlfn.UNIQUE(TRIM(_xlfn.TEXTSPLIT(Table25[[#This Row],[Selection Option]:[Selection Option]],","))),,U$11),"")</f>
        <v/>
      </c>
      <c r="V28" s="29" t="str" cm="1">
        <f t="array" ref="V28">IFERROR(INDEX(_xlfn.UNIQUE(TRIM(_xlfn.TEXTSPLIT(Table25[[#This Row],[Selection Option]:[Selection Option]],","))),,V$11),"")</f>
        <v/>
      </c>
      <c r="W28" s="29" t="str" cm="1">
        <f t="array" ref="W28">IFERROR(INDEX(_xlfn.UNIQUE(TRIM(_xlfn.TEXTSPLIT(Table25[[#This Row],[Selection Option]:[Selection Option]],","))),,W$11),"")</f>
        <v/>
      </c>
      <c r="X28" s="29" t="str" cm="1">
        <f t="array" ref="X28">IFERROR(INDEX(_xlfn.UNIQUE(TRIM(_xlfn.TEXTSPLIT(Table25[[#This Row],[Selection Option]:[Selection Option]],","))),,X$11),"")</f>
        <v/>
      </c>
      <c r="Y28" s="30" cm="1">
        <f t="array" ref="Y28">IF(Table25[[#This Row],[1]]="","",Table25[[#This Row],[Weight]:[Weight]]-(Table25[[#This Row],[Weight]:[Weight]]*((_xlfn.XMATCH(Table25[[#This Row],[1]],Table25[[#This Row],[1]:[11]],0))-1)/(COUNTA(Table25[[#This Row],[1]:[11]])-COUNTBLANK(Table25[[#This Row],[1]:[11]])-1)))</f>
        <v>0</v>
      </c>
      <c r="Z28" s="30" cm="1">
        <f t="array" ref="Z28">IF(Table25[[#This Row],[2]]="","",Table25[[#This Row],[Weight]:[Weight]]-(Table25[[#This Row],[Weight]:[Weight]]*((_xlfn.XMATCH(Table25[[#This Row],[2]],Table25[[#This Row],[1]:[11]],0))-1)/(COUNTA(Table25[[#This Row],[1]:[11]])-COUNTBLANK(Table25[[#This Row],[1]:[11]])-1)))</f>
        <v>0</v>
      </c>
      <c r="AA28" s="30" t="str" cm="1">
        <f t="array" ref="AA28">IF(Table25[[#This Row],[3]]="","",Table25[[#This Row],[Weight]:[Weight]]-(Table25[[#This Row],[Weight]:[Weight]]*((_xlfn.XMATCH(Table25[[#This Row],[3]],Table25[[#This Row],[1]:[11]],0))-1)/(COUNTA(Table25[[#This Row],[1]:[11]])-COUNTBLANK(Table25[[#This Row],[1]:[11]])-1)))</f>
        <v/>
      </c>
      <c r="AB28" s="30" t="str" cm="1">
        <f t="array" ref="AB28">IF(Table25[[#This Row],[4]]="","",Table25[[#This Row],[Weight]:[Weight]]-(Table25[[#This Row],[Weight]:[Weight]]*((_xlfn.XMATCH(Table25[[#This Row],[4]],Table25[[#This Row],[1]:[11]],0))-1)/(COUNTA(Table25[[#This Row],[1]:[11]])-COUNTBLANK(Table25[[#This Row],[1]:[11]])-1)))</f>
        <v/>
      </c>
      <c r="AC28" s="30" t="str" cm="1">
        <f t="array" ref="AC28">IF(Table25[[#This Row],[5]]="","",Table25[[#This Row],[Weight]:[Weight]]-(Table25[[#This Row],[Weight]:[Weight]]*((_xlfn.XMATCH(Table25[[#This Row],[5]],Table25[[#This Row],[1]:[11]],0))-1)/(COUNTA(Table25[[#This Row],[1]:[11]])-COUNTBLANK(Table25[[#This Row],[1]:[11]])-1)))</f>
        <v/>
      </c>
      <c r="AD28" s="30" t="str" cm="1">
        <f t="array" ref="AD28">IF(Table25[[#This Row],[6]]="","",Table25[[#This Row],[Weight]:[Weight]]-(Table25[[#This Row],[Weight]:[Weight]]*((_xlfn.XMATCH(Table25[[#This Row],[6]],Table25[[#This Row],[1]:[11]],0))-1)/(COUNTA(Table25[[#This Row],[1]:[11]])-COUNTBLANK(Table25[[#This Row],[1]:[11]])-1)))</f>
        <v/>
      </c>
      <c r="AE28" s="30" t="str" cm="1">
        <f t="array" ref="AE28">IF(Table25[[#This Row],[7]]="","",Table25[[#This Row],[Weight]:[Weight]]-(Table25[[#This Row],[Weight]:[Weight]]*((_xlfn.XMATCH(Table25[[#This Row],[7]],Table25[[#This Row],[1]:[11]],0))-1)/(COUNTA(Table25[[#This Row],[1]:[11]])-COUNTBLANK(Table25[[#This Row],[1]:[11]])-1)))</f>
        <v/>
      </c>
      <c r="AF28" s="30" t="str" cm="1">
        <f t="array" ref="AF28">IF(Table25[[#This Row],[8]]="","",Table25[[#This Row],[Weight]:[Weight]]-(Table25[[#This Row],[Weight]:[Weight]]*((_xlfn.XMATCH(Table25[[#This Row],[8]],Table25[[#This Row],[1]:[11]],0))-1)/(COUNTA(Table25[[#This Row],[1]:[11]])-COUNTBLANK(Table25[[#This Row],[1]:[11]])-1)))</f>
        <v/>
      </c>
      <c r="AG28" s="30" t="str" cm="1">
        <f t="array" ref="AG28">IF(Table25[[#This Row],[9]]="","",Table25[[#This Row],[Weight]:[Weight]]-(Table25[[#This Row],[Weight]:[Weight]]*((_xlfn.XMATCH(Table25[[#This Row],[9]],Table25[[#This Row],[1]:[11]],0))-1)/(COUNTA(Table25[[#This Row],[1]:[11]])-COUNTBLANK(Table25[[#This Row],[1]:[11]])-1)))</f>
        <v/>
      </c>
      <c r="AH28" s="30" t="str" cm="1">
        <f t="array" ref="AH28">IF(Table25[[#This Row],[10]]="","",Table25[[#This Row],[Weight]:[Weight]]-(Table25[[#This Row],[Weight]:[Weight]]*((_xlfn.XMATCH(Table25[[#This Row],[10]],Table25[[#This Row],[1]:[11]],0))-1)/(COUNTA(Table25[[#This Row],[1]:[11]])-COUNTBLANK(Table25[[#This Row],[1]:[11]])-1)))</f>
        <v/>
      </c>
      <c r="AI28" s="30" t="str" cm="1">
        <f t="array" ref="AI28">IF(Table25[[#This Row],[11]]="","",Table25[[#This Row],[Weight]:[Weight]]-(Table25[[#This Row],[Weight]:[Weight]]*((_xlfn.XMATCH(Table25[[#This Row],[11]],Table25[[#This Row],[1]:[11]],0))-1)/(COUNTA(Table25[[#This Row],[1]:[11]])-COUNTBLANK(Table25[[#This Row],[1]:[11]])-1)))</f>
        <v/>
      </c>
    </row>
    <row r="29" spans="1:35" ht="46" x14ac:dyDescent="0.25">
      <c r="A29" s="32">
        <v>15</v>
      </c>
      <c r="B29" s="40"/>
      <c r="C29" s="40"/>
      <c r="D29" s="40"/>
      <c r="E29" s="40"/>
      <c r="F29" s="34" t="s">
        <v>114</v>
      </c>
      <c r="G29" s="35" cm="1">
        <f t="array" ref="G29">_xlfn.IFS(F29="","",F29="No interest",0,F29="Nice to have",1,F29="Useful",2,F29="Important",3,F29="Very important",4,F29="Critical",5,F29="Show stopper",6)</f>
        <v>5</v>
      </c>
      <c r="H29" s="36">
        <f t="shared" si="1"/>
        <v>0</v>
      </c>
      <c r="I29" s="37" t="s">
        <v>180</v>
      </c>
      <c r="J29" s="37" t="str" cm="1">
        <f t="array" ref="J29">_xlfn.TEXTJOIN(","&amp;CHAR(10),,TEXT(Table25[[#This Row],[12]:[22]],"0,00%"))</f>
        <v>0,00%,
0,00%,
0,00%,
0,00%</v>
      </c>
      <c r="K29" s="38" t="s">
        <v>169</v>
      </c>
      <c r="L29" s="39">
        <f>H29-(H29*((MATCH(Table25[[#This Row],[Evaluators Response (SELECT)]],Table25[[#This Row],[1]:[11]],0)-1)/(COUNTA(Table25[[#This Row],[1]:[11]])-COUNTBLANK(Table25[[#This Row],[1]:[11]])-1)))</f>
        <v>0</v>
      </c>
      <c r="M29" s="40"/>
      <c r="N29" s="29" t="str" cm="1">
        <f t="array" ref="N29">IFERROR(INDEX(_xlfn.UNIQUE(TRIM(_xlfn.TEXTSPLIT(Table25[[#This Row],[Selection Option]:[Selection Option]],","))),,N$11),"")</f>
        <v>X</v>
      </c>
      <c r="O29" s="29" t="str" cm="1">
        <f t="array" ref="O29">IFERROR(INDEX(_xlfn.UNIQUE(TRIM(_xlfn.TEXTSPLIT(Table25[[#This Row],[Selection Option]],","))),,O$11),"")</f>
        <v>Y</v>
      </c>
      <c r="P29" s="29" t="str" cm="1">
        <f t="array" ref="P29">IFERROR(INDEX(_xlfn.UNIQUE(TRIM(_xlfn.TEXTSPLIT(Table25[[#This Row],[Selection Option]],","))),,P$11),"")</f>
        <v>Z</v>
      </c>
      <c r="Q29" s="29" t="str" cm="1">
        <f t="array" ref="Q29">IFERROR(INDEX(_xlfn.UNIQUE(TRIM(_xlfn.TEXTSPLIT(Table25[[#This Row],[Selection Option]],","))),,Q$11),"")</f>
        <v>A</v>
      </c>
      <c r="R29" s="43" t="str" cm="1">
        <f t="array" ref="R29">IFERROR(INDEX(_xlfn.UNIQUE(TRIM(_xlfn.TEXTSPLIT(Table25[[#This Row],[Selection Option]],","))),,R$11),"")</f>
        <v/>
      </c>
      <c r="S29" s="29" t="str" cm="1">
        <f t="array" ref="S29">IFERROR(INDEX(_xlfn.UNIQUE(TRIM(_xlfn.TEXTSPLIT(Table25[[#This Row],[Selection Option]],","))),,S$11),"")</f>
        <v/>
      </c>
      <c r="T29" s="29" t="str" cm="1">
        <f t="array" ref="T29">IFERROR(INDEX(_xlfn.UNIQUE(TRIM(_xlfn.TEXTSPLIT(Table25[[#This Row],[Selection Option]],","))),,T$11),"")</f>
        <v/>
      </c>
      <c r="U29" s="29" t="str" cm="1">
        <f t="array" ref="U29">IFERROR(INDEX(_xlfn.UNIQUE(TRIM(_xlfn.TEXTSPLIT(Table25[[#This Row],[Selection Option]],","))),,U$11),"")</f>
        <v/>
      </c>
      <c r="V29" s="29" t="str" cm="1">
        <f t="array" ref="V29">IFERROR(INDEX(_xlfn.UNIQUE(TRIM(_xlfn.TEXTSPLIT(Table25[[#This Row],[Selection Option]],","))),,V$11),"")</f>
        <v/>
      </c>
      <c r="W29" s="29" t="str" cm="1">
        <f t="array" ref="W29">IFERROR(INDEX(_xlfn.UNIQUE(TRIM(_xlfn.TEXTSPLIT(Table25[[#This Row],[Selection Option]],","))),,W$11),"")</f>
        <v/>
      </c>
      <c r="X29" s="29" t="str" cm="1">
        <f t="array" ref="X29">IFERROR(INDEX(_xlfn.UNIQUE(TRIM(_xlfn.TEXTSPLIT(Table25[[#This Row],[Selection Option]],","))),,X$11),"")</f>
        <v/>
      </c>
      <c r="Y29" s="30" cm="1">
        <f t="array" ref="Y29">IF(Table25[[#This Row],[1]]="","",Table25[[#This Row],[Weight]:[Weight]]-(Table25[[#This Row],[Weight]:[Weight]]*((_xlfn.XMATCH(Table25[[#This Row],[1]],Table25[[#This Row],[1]:[11]],0))-1)/(COUNTA(Table25[[#This Row],[1]:[11]])-COUNTBLANK(Table25[[#This Row],[1]:[11]])-1)))</f>
        <v>0</v>
      </c>
      <c r="Z29" s="30" cm="1">
        <f t="array" ref="Z29">IF(Table25[[#This Row],[2]]="","",Table25[[#This Row],[Weight]:[Weight]]-(Table25[[#This Row],[Weight]:[Weight]]*((_xlfn.XMATCH(Table25[[#This Row],[2]],Table25[[#This Row],[1]:[11]],0))-1)/(COUNTA(Table25[[#This Row],[1]:[11]])-COUNTBLANK(Table25[[#This Row],[1]:[11]])-1)))</f>
        <v>0</v>
      </c>
      <c r="AA29" s="30" cm="1">
        <f t="array" ref="AA29">IF(Table25[[#This Row],[3]]="","",Table25[[#This Row],[Weight]:[Weight]]-(Table25[[#This Row],[Weight]:[Weight]]*((_xlfn.XMATCH(Table25[[#This Row],[3]],Table25[[#This Row],[1]:[11]],0))-1)/(COUNTA(Table25[[#This Row],[1]:[11]])-COUNTBLANK(Table25[[#This Row],[1]:[11]])-1)))</f>
        <v>0</v>
      </c>
      <c r="AB29" s="30" cm="1">
        <f t="array" ref="AB29">IF(Table25[[#This Row],[4]]="","",Table25[[#This Row],[Weight]:[Weight]]-(Table25[[#This Row],[Weight]:[Weight]]*((_xlfn.XMATCH(Table25[[#This Row],[4]],Table25[[#This Row],[1]:[11]],0))-1)/(COUNTA(Table25[[#This Row],[1]:[11]])-COUNTBLANK(Table25[[#This Row],[1]:[11]])-1)))</f>
        <v>0</v>
      </c>
      <c r="AC29" s="30" t="str" cm="1">
        <f t="array" ref="AC29">IF(Table25[[#This Row],[5]]="","",Table25[[#This Row],[Weight]:[Weight]]-(Table25[[#This Row],[Weight]:[Weight]]*((_xlfn.XMATCH(Table25[[#This Row],[5]],Table25[[#This Row],[1]:[11]],0))-1)/(COUNTA(Table25[[#This Row],[1]:[11]])-COUNTBLANK(Table25[[#This Row],[1]:[11]])-1)))</f>
        <v/>
      </c>
      <c r="AD29" s="30" t="str" cm="1">
        <f t="array" ref="AD29">IF(Table25[[#This Row],[6]]="","",Table25[[#This Row],[Weight]:[Weight]]-(Table25[[#This Row],[Weight]:[Weight]]*((_xlfn.XMATCH(Table25[[#This Row],[6]],Table25[[#This Row],[1]:[11]],0))-1)/(COUNTA(Table25[[#This Row],[1]:[11]])-COUNTBLANK(Table25[[#This Row],[1]:[11]])-1)))</f>
        <v/>
      </c>
      <c r="AE29" s="30" t="str" cm="1">
        <f t="array" ref="AE29">IF(Table25[[#This Row],[7]]="","",Table25[[#This Row],[Weight]:[Weight]]-(Table25[[#This Row],[Weight]:[Weight]]*((_xlfn.XMATCH(Table25[[#This Row],[7]],Table25[[#This Row],[1]:[11]],0))-1)/(COUNTA(Table25[[#This Row],[1]:[11]])-COUNTBLANK(Table25[[#This Row],[1]:[11]])-1)))</f>
        <v/>
      </c>
      <c r="AF29" s="30" t="str" cm="1">
        <f t="array" ref="AF29">IF(Table25[[#This Row],[8]]="","",Table25[[#This Row],[Weight]:[Weight]]-(Table25[[#This Row],[Weight]:[Weight]]*((_xlfn.XMATCH(Table25[[#This Row],[8]],Table25[[#This Row],[1]:[11]],0))-1)/(COUNTA(Table25[[#This Row],[1]:[11]])-COUNTBLANK(Table25[[#This Row],[1]:[11]])-1)))</f>
        <v/>
      </c>
      <c r="AG29" s="30" t="str" cm="1">
        <f t="array" ref="AG29">IF(Table25[[#This Row],[9]]="","",Table25[[#This Row],[Weight]:[Weight]]-(Table25[[#This Row],[Weight]:[Weight]]*((_xlfn.XMATCH(Table25[[#This Row],[9]],Table25[[#This Row],[1]:[11]],0))-1)/(COUNTA(Table25[[#This Row],[1]:[11]])-COUNTBLANK(Table25[[#This Row],[1]:[11]])-1)))</f>
        <v/>
      </c>
      <c r="AH29" s="30" t="str" cm="1">
        <f t="array" ref="AH29">IF(Table25[[#This Row],[10]]="","",Table25[[#This Row],[Weight]:[Weight]]-(Table25[[#This Row],[Weight]:[Weight]]*((_xlfn.XMATCH(Table25[[#This Row],[10]],Table25[[#This Row],[1]:[11]],0))-1)/(COUNTA(Table25[[#This Row],[1]:[11]])-COUNTBLANK(Table25[[#This Row],[1]:[11]])-1)))</f>
        <v/>
      </c>
      <c r="AI29" s="30" t="str" cm="1">
        <f t="array" ref="AI29">IF(Table25[[#This Row],[11]]="","",Table25[[#This Row],[Weight]:[Weight]]-(Table25[[#This Row],[Weight]:[Weight]]*((_xlfn.XMATCH(Table25[[#This Row],[11]],Table25[[#This Row],[1]:[11]],0))-1)/(COUNTA(Table25[[#This Row],[1]:[11]])-COUNTBLANK(Table25[[#This Row],[1]:[11]])-1)))</f>
        <v/>
      </c>
    </row>
    <row r="30" spans="1:35" ht="46" x14ac:dyDescent="0.25">
      <c r="A30" s="32">
        <v>16</v>
      </c>
      <c r="B30" s="40"/>
      <c r="C30" s="40"/>
      <c r="D30" s="40"/>
      <c r="E30" s="40"/>
      <c r="F30" s="34" t="s">
        <v>114</v>
      </c>
      <c r="G30" s="35" cm="1">
        <f t="array" ref="G30">_xlfn.IFS(F30="","",F30="No interest",0,F30="Nice to have",1,F30="Useful",2,F30="Important",3,F30="Very important",4,F30="Critical",5,F30="Show stopper",6)</f>
        <v>5</v>
      </c>
      <c r="H30" s="36">
        <f t="shared" si="1"/>
        <v>0</v>
      </c>
      <c r="I30" s="37" t="s">
        <v>181</v>
      </c>
      <c r="J30" s="37" t="str" cm="1">
        <f t="array" ref="J30">_xlfn.TEXTJOIN(","&amp;CHAR(10),,TEXT(Table25[[#This Row],[12]:[22]],"0,00%"))</f>
        <v>0,00%,
0,00%,
0,00%,
0,00%</v>
      </c>
      <c r="K30" s="38" t="s">
        <v>182</v>
      </c>
      <c r="L30" s="39">
        <f>H30-(H30*((MATCH(Table25[[#This Row],[Evaluators Response (SELECT)]],Table25[[#This Row],[1]:[11]],0)-1)/(COUNTA(Table25[[#This Row],[1]:[11]])-COUNTBLANK(Table25[[#This Row],[1]:[11]])-1)))</f>
        <v>0</v>
      </c>
      <c r="M30" s="40"/>
      <c r="N30" s="29" t="str" cm="1">
        <f t="array" ref="N30">IFERROR(INDEX(_xlfn.UNIQUE(TRIM(_xlfn.TEXTSPLIT(Table25[[#This Row],[Selection Option]:[Selection Option]],","))),,N$11),"")</f>
        <v>A</v>
      </c>
      <c r="O30" s="29" t="str" cm="1">
        <f t="array" ref="O30">IFERROR(INDEX(_xlfn.UNIQUE(TRIM(_xlfn.TEXTSPLIT(Table25[[#This Row],[Selection Option]],","))),,O$11),"")</f>
        <v>B</v>
      </c>
      <c r="P30" s="29" t="str" cm="1">
        <f t="array" ref="P30">IFERROR(INDEX(_xlfn.UNIQUE(TRIM(_xlfn.TEXTSPLIT(Table25[[#This Row],[Selection Option]],","))),,P$11),"")</f>
        <v>X</v>
      </c>
      <c r="Q30" s="29" t="str" cm="1">
        <f t="array" ref="Q30">IFERROR(INDEX(_xlfn.UNIQUE(TRIM(_xlfn.TEXTSPLIT(Table25[[#This Row],[Selection Option]],","))),,Q$11),"")</f>
        <v>Y</v>
      </c>
      <c r="R30" s="43" t="str" cm="1">
        <f t="array" ref="R30">IFERROR(INDEX(_xlfn.UNIQUE(TRIM(_xlfn.TEXTSPLIT(Table25[[#This Row],[Selection Option]],","))),,R$11),"")</f>
        <v/>
      </c>
      <c r="S30" s="29" t="str" cm="1">
        <f t="array" ref="S30">IFERROR(INDEX(_xlfn.UNIQUE(TRIM(_xlfn.TEXTSPLIT(Table25[[#This Row],[Selection Option]],","))),,S$11),"")</f>
        <v/>
      </c>
      <c r="T30" s="29" t="str" cm="1">
        <f t="array" ref="T30">IFERROR(INDEX(_xlfn.UNIQUE(TRIM(_xlfn.TEXTSPLIT(Table25[[#This Row],[Selection Option]],","))),,T$11),"")</f>
        <v/>
      </c>
      <c r="U30" s="29" t="str" cm="1">
        <f t="array" ref="U30">IFERROR(INDEX(_xlfn.UNIQUE(TRIM(_xlfn.TEXTSPLIT(Table25[[#This Row],[Selection Option]],","))),,U$11),"")</f>
        <v/>
      </c>
      <c r="V30" s="29" t="str" cm="1">
        <f t="array" ref="V30">IFERROR(INDEX(_xlfn.UNIQUE(TRIM(_xlfn.TEXTSPLIT(Table25[[#This Row],[Selection Option]],","))),,V$11),"")</f>
        <v/>
      </c>
      <c r="W30" s="29" t="str" cm="1">
        <f t="array" ref="W30">IFERROR(INDEX(_xlfn.UNIQUE(TRIM(_xlfn.TEXTSPLIT(Table25[[#This Row],[Selection Option]],","))),,W$11),"")</f>
        <v/>
      </c>
      <c r="X30" s="29" t="str" cm="1">
        <f t="array" ref="X30">IFERROR(INDEX(_xlfn.UNIQUE(TRIM(_xlfn.TEXTSPLIT(Table25[[#This Row],[Selection Option]],","))),,X$11),"")</f>
        <v/>
      </c>
      <c r="Y30" s="44" cm="1">
        <f t="array" ref="Y30">IF(Table25[[#This Row],[1]]="","",Table25[[#This Row],[Weight]:[Weight]]-(Table25[[#This Row],[Weight]:[Weight]]*((_xlfn.XMATCH(Table25[[#This Row],[1]],Table25[[#This Row],[1]:[11]],0))-1)/(COUNTA(Table25[[#This Row],[1]:[11]])-COUNTBLANK(Table25[[#This Row],[1]:[11]])-1)))</f>
        <v>0</v>
      </c>
      <c r="Z30" s="44" cm="1">
        <f t="array" ref="Z30">IF(Table25[[#This Row],[2]]="","",Table25[[#This Row],[Weight]:[Weight]]-(Table25[[#This Row],[Weight]:[Weight]]*((_xlfn.XMATCH(Table25[[#This Row],[2]],Table25[[#This Row],[1]:[11]],0))-1)/(COUNTA(Table25[[#This Row],[1]:[11]])-COUNTBLANK(Table25[[#This Row],[1]:[11]])-1)))</f>
        <v>0</v>
      </c>
      <c r="AA30" s="44" cm="1">
        <f t="array" ref="AA30">IF(Table25[[#This Row],[3]]="","",Table25[[#This Row],[Weight]:[Weight]]-(Table25[[#This Row],[Weight]:[Weight]]*((_xlfn.XMATCH(Table25[[#This Row],[3]],Table25[[#This Row],[1]:[11]],0))-1)/(COUNTA(Table25[[#This Row],[1]:[11]])-COUNTBLANK(Table25[[#This Row],[1]:[11]])-1)))</f>
        <v>0</v>
      </c>
      <c r="AB30" s="44" cm="1">
        <f t="array" ref="AB30">IF(Table25[[#This Row],[4]]="","",Table25[[#This Row],[Weight]:[Weight]]-(Table25[[#This Row],[Weight]:[Weight]]*((_xlfn.XMATCH(Table25[[#This Row],[4]],Table25[[#This Row],[1]:[11]],0))-1)/(COUNTA(Table25[[#This Row],[1]:[11]])-COUNTBLANK(Table25[[#This Row],[1]:[11]])-1)))</f>
        <v>0</v>
      </c>
      <c r="AC30" s="44" t="str" cm="1">
        <f t="array" ref="AC30">IF(Table25[[#This Row],[5]]="","",Table25[[#This Row],[Weight]:[Weight]]-(Table25[[#This Row],[Weight]:[Weight]]*((_xlfn.XMATCH(Table25[[#This Row],[5]],Table25[[#This Row],[1]:[11]],0))-1)/(COUNTA(Table25[[#This Row],[1]:[11]])-COUNTBLANK(Table25[[#This Row],[1]:[11]])-1)))</f>
        <v/>
      </c>
      <c r="AD30" s="44" t="str" cm="1">
        <f t="array" ref="AD30">IF(Table25[[#This Row],[6]]="","",Table25[[#This Row],[Weight]:[Weight]]-(Table25[[#This Row],[Weight]:[Weight]]*((_xlfn.XMATCH(Table25[[#This Row],[6]],Table25[[#This Row],[1]:[11]],0))-1)/(COUNTA(Table25[[#This Row],[1]:[11]])-COUNTBLANK(Table25[[#This Row],[1]:[11]])-1)))</f>
        <v/>
      </c>
      <c r="AE30" s="44" t="str" cm="1">
        <f t="array" ref="AE30">IF(Table25[[#This Row],[7]]="","",Table25[[#This Row],[Weight]:[Weight]]-(Table25[[#This Row],[Weight]:[Weight]]*((_xlfn.XMATCH(Table25[[#This Row],[7]],Table25[[#This Row],[1]:[11]],0))-1)/(COUNTA(Table25[[#This Row],[1]:[11]])-COUNTBLANK(Table25[[#This Row],[1]:[11]])-1)))</f>
        <v/>
      </c>
      <c r="AF30" s="44" t="str" cm="1">
        <f t="array" ref="AF30">IF(Table25[[#This Row],[8]]="","",Table25[[#This Row],[Weight]:[Weight]]-(Table25[[#This Row],[Weight]:[Weight]]*((_xlfn.XMATCH(Table25[[#This Row],[8]],Table25[[#This Row],[1]:[11]],0))-1)/(COUNTA(Table25[[#This Row],[1]:[11]])-COUNTBLANK(Table25[[#This Row],[1]:[11]])-1)))</f>
        <v/>
      </c>
      <c r="AG30" s="29" t="str" cm="1">
        <f t="array" ref="AG30">IF(Table25[[#This Row],[9]]="","",Table25[[#This Row],[Weight]:[Weight]]-(Table25[[#This Row],[Weight]:[Weight]]*((_xlfn.XMATCH(Table25[[#This Row],[9]],Table25[[#This Row],[1]:[11]],0))-1)/(COUNTA(Table25[[#This Row],[1]:[11]])-COUNTBLANK(Table25[[#This Row],[1]:[11]])-1)))</f>
        <v/>
      </c>
      <c r="AH30" s="29" t="str" cm="1">
        <f t="array" ref="AH30">IF(Table25[[#This Row],[10]]="","",Table25[[#This Row],[Weight]:[Weight]]-(Table25[[#This Row],[Weight]:[Weight]]*((_xlfn.XMATCH(Table25[[#This Row],[10]],Table25[[#This Row],[1]:[11]],0))-1)/(COUNTA(Table25[[#This Row],[1]:[11]])-COUNTBLANK(Table25[[#This Row],[1]:[11]])-1)))</f>
        <v/>
      </c>
      <c r="AI30" s="29" t="str" cm="1">
        <f t="array" ref="AI30">IF(Table25[[#This Row],[11]]="","",Table25[[#This Row],[Weight]:[Weight]]-(Table25[[#This Row],[Weight]:[Weight]]*((_xlfn.XMATCH(Table25[[#This Row],[11]],Table25[[#This Row],[1]:[11]],0))-1)/(COUNTA(Table25[[#This Row],[1]:[11]])-COUNTBLANK(Table25[[#This Row],[1]:[11]])-1)))</f>
        <v/>
      </c>
    </row>
    <row r="31" spans="1:35" ht="126.5" x14ac:dyDescent="0.25">
      <c r="A31" s="32">
        <v>17</v>
      </c>
      <c r="B31" s="40"/>
      <c r="C31" s="40"/>
      <c r="D31" s="40"/>
      <c r="E31" s="40"/>
      <c r="F31" s="34" t="s">
        <v>56</v>
      </c>
      <c r="G31" s="35" cm="1">
        <f t="array" ref="G31">_xlfn.IFS(F31="","",F31="No interest",0,F31="Nice to have",1,F31="Useful",2,F31="Important",3,F31="Very important",4,F31="Critical",5,F31="Show stopper",6)</f>
        <v>3</v>
      </c>
      <c r="H31" s="36">
        <f t="shared" si="1"/>
        <v>0</v>
      </c>
      <c r="I31" s="37" t="s">
        <v>183</v>
      </c>
      <c r="J31" s="37" t="str" cm="1">
        <f t="array" ref="J31">_xlfn.TEXTJOIN(","&amp;CHAR(10),,TEXT(Table25[[#This Row],[12]:[22]],"0,00%"))</f>
        <v>0,00%,
0,00%,
0,00%,
0,00%,
0,00%,
0,00%,
0,00%,
0,00%,
0,00%,
0,00%,
0,00%</v>
      </c>
      <c r="K31" s="38" t="s">
        <v>36</v>
      </c>
      <c r="L31" s="39">
        <f>H31-(H31*((MATCH(Table25[[#This Row],[Evaluators Response (SELECT)]],Table25[[#This Row],[1]:[11]],0)-1)/(COUNTA(Table25[[#This Row],[1]:[11]])-COUNTBLANK(Table25[[#This Row],[1]:[11]])-1)))</f>
        <v>0</v>
      </c>
      <c r="M31" s="40"/>
      <c r="N31" s="29" t="str" cm="1">
        <f t="array" ref="N31">IFERROR(INDEX(_xlfn.UNIQUE(TRIM(_xlfn.TEXTSPLIT(Table25[[#This Row],[Selection Option]:[Selection Option]],","))),,N$11),"")</f>
        <v>10</v>
      </c>
      <c r="O31" s="29" t="str" cm="1">
        <f t="array" ref="O31">IFERROR(INDEX(_xlfn.UNIQUE(TRIM(_xlfn.TEXTSPLIT(Table25[[#This Row],[Selection Option]],","))),,O$11),"")</f>
        <v>9</v>
      </c>
      <c r="P31" s="29" t="str" cm="1">
        <f t="array" ref="P31">IFERROR(INDEX(_xlfn.UNIQUE(TRIM(_xlfn.TEXTSPLIT(Table25[[#This Row],[Selection Option]],","))),,P$11),"")</f>
        <v>8</v>
      </c>
      <c r="Q31" s="29" t="str" cm="1">
        <f t="array" ref="Q31">IFERROR(INDEX(_xlfn.UNIQUE(TRIM(_xlfn.TEXTSPLIT(Table25[[#This Row],[Selection Option]],","))),,Q$11),"")</f>
        <v>7</v>
      </c>
      <c r="R31" s="43" t="str" cm="1">
        <f t="array" ref="R31">IFERROR(INDEX(_xlfn.UNIQUE(TRIM(_xlfn.TEXTSPLIT(Table25[[#This Row],[Selection Option]],","))),,R$11),"")</f>
        <v>6</v>
      </c>
      <c r="S31" s="29" t="str" cm="1">
        <f t="array" ref="S31">IFERROR(INDEX(_xlfn.UNIQUE(TRIM(_xlfn.TEXTSPLIT(Table25[[#This Row],[Selection Option]],","))),,S$11),"")</f>
        <v>5</v>
      </c>
      <c r="T31" s="29" t="str" cm="1">
        <f t="array" ref="T31">IFERROR(INDEX(_xlfn.UNIQUE(TRIM(_xlfn.TEXTSPLIT(Table25[[#This Row],[Selection Option]],","))),,T$11),"")</f>
        <v>4</v>
      </c>
      <c r="U31" s="29" t="str" cm="1">
        <f t="array" ref="U31">IFERROR(INDEX(_xlfn.UNIQUE(TRIM(_xlfn.TEXTSPLIT(Table25[[#This Row],[Selection Option]],","))),,U$11),"")</f>
        <v>3</v>
      </c>
      <c r="V31" s="29" t="str" cm="1">
        <f t="array" ref="V31">IFERROR(INDEX(_xlfn.UNIQUE(TRIM(_xlfn.TEXTSPLIT(Table25[[#This Row],[Selection Option]],","))),,V$11),"")</f>
        <v>2</v>
      </c>
      <c r="W31" s="29" t="str" cm="1">
        <f t="array" ref="W31">IFERROR(INDEX(_xlfn.UNIQUE(TRIM(_xlfn.TEXTSPLIT(Table25[[#This Row],[Selection Option]],","))),,W$11),"")</f>
        <v>1</v>
      </c>
      <c r="X31" s="29" t="str" cm="1">
        <f t="array" ref="X31">IFERROR(INDEX(_xlfn.UNIQUE(TRIM(_xlfn.TEXTSPLIT(Table25[[#This Row],[Selection Option]],","))),,X$11),"")</f>
        <v>0</v>
      </c>
      <c r="Y31" s="44" cm="1">
        <f t="array" ref="Y31">IF(Table25[[#This Row],[1]]="","",Table25[[#This Row],[Weight]:[Weight]]-(Table25[[#This Row],[Weight]:[Weight]]*((_xlfn.XMATCH(Table25[[#This Row],[1]],Table25[[#This Row],[1]:[11]],0))-1)/(COUNTA(Table25[[#This Row],[1]:[11]])-COUNTBLANK(Table25[[#This Row],[1]:[11]])-1)))</f>
        <v>0</v>
      </c>
      <c r="Z31" s="44" cm="1">
        <f t="array" ref="Z31">IF(Table25[[#This Row],[2]]="","",Table25[[#This Row],[Weight]:[Weight]]-(Table25[[#This Row],[Weight]:[Weight]]*((_xlfn.XMATCH(Table25[[#This Row],[2]],Table25[[#This Row],[1]:[11]],0))-1)/(COUNTA(Table25[[#This Row],[1]:[11]])-COUNTBLANK(Table25[[#This Row],[1]:[11]])-1)))</f>
        <v>0</v>
      </c>
      <c r="AA31" s="44" cm="1">
        <f t="array" ref="AA31">IF(Table25[[#This Row],[3]]="","",Table25[[#This Row],[Weight]:[Weight]]-(Table25[[#This Row],[Weight]:[Weight]]*((_xlfn.XMATCH(Table25[[#This Row],[3]],Table25[[#This Row],[1]:[11]],0))-1)/(COUNTA(Table25[[#This Row],[1]:[11]])-COUNTBLANK(Table25[[#This Row],[1]:[11]])-1)))</f>
        <v>0</v>
      </c>
      <c r="AB31" s="44" cm="1">
        <f t="array" ref="AB31">IF(Table25[[#This Row],[4]]="","",Table25[[#This Row],[Weight]:[Weight]]-(Table25[[#This Row],[Weight]:[Weight]]*((_xlfn.XMATCH(Table25[[#This Row],[4]],Table25[[#This Row],[1]:[11]],0))-1)/(COUNTA(Table25[[#This Row],[1]:[11]])-COUNTBLANK(Table25[[#This Row],[1]:[11]])-1)))</f>
        <v>0</v>
      </c>
      <c r="AC31" s="44" cm="1">
        <f t="array" ref="AC31">IF(Table25[[#This Row],[5]]="","",Table25[[#This Row],[Weight]:[Weight]]-(Table25[[#This Row],[Weight]:[Weight]]*((_xlfn.XMATCH(Table25[[#This Row],[5]],Table25[[#This Row],[1]:[11]],0))-1)/(COUNTA(Table25[[#This Row],[1]:[11]])-COUNTBLANK(Table25[[#This Row],[1]:[11]])-1)))</f>
        <v>0</v>
      </c>
      <c r="AD31" s="44" cm="1">
        <f t="array" ref="AD31">IF(Table25[[#This Row],[6]]="","",Table25[[#This Row],[Weight]:[Weight]]-(Table25[[#This Row],[Weight]:[Weight]]*((_xlfn.XMATCH(Table25[[#This Row],[6]],Table25[[#This Row],[1]:[11]],0))-1)/(COUNTA(Table25[[#This Row],[1]:[11]])-COUNTBLANK(Table25[[#This Row],[1]:[11]])-1)))</f>
        <v>0</v>
      </c>
      <c r="AE31" s="44" cm="1">
        <f t="array" ref="AE31">IF(Table25[[#This Row],[7]]="","",Table25[[#This Row],[Weight]:[Weight]]-(Table25[[#This Row],[Weight]:[Weight]]*((_xlfn.XMATCH(Table25[[#This Row],[7]],Table25[[#This Row],[1]:[11]],0))-1)/(COUNTA(Table25[[#This Row],[1]:[11]])-COUNTBLANK(Table25[[#This Row],[1]:[11]])-1)))</f>
        <v>0</v>
      </c>
      <c r="AF31" s="44" cm="1">
        <f t="array" ref="AF31">IF(Table25[[#This Row],[8]]="","",Table25[[#This Row],[Weight]:[Weight]]-(Table25[[#This Row],[Weight]:[Weight]]*((_xlfn.XMATCH(Table25[[#This Row],[8]],Table25[[#This Row],[1]:[11]],0))-1)/(COUNTA(Table25[[#This Row],[1]:[11]])-COUNTBLANK(Table25[[#This Row],[1]:[11]])-1)))</f>
        <v>0</v>
      </c>
      <c r="AG31" s="29" cm="1">
        <f t="array" ref="AG31">IF(Table25[[#This Row],[9]]="","",Table25[[#This Row],[Weight]:[Weight]]-(Table25[[#This Row],[Weight]:[Weight]]*((_xlfn.XMATCH(Table25[[#This Row],[9]],Table25[[#This Row],[1]:[11]],0))-1)/(COUNTA(Table25[[#This Row],[1]:[11]])-COUNTBLANK(Table25[[#This Row],[1]:[11]])-1)))</f>
        <v>0</v>
      </c>
      <c r="AH31" s="29" cm="1">
        <f t="array" ref="AH31">IF(Table25[[#This Row],[10]]="","",Table25[[#This Row],[Weight]:[Weight]]-(Table25[[#This Row],[Weight]:[Weight]]*((_xlfn.XMATCH(Table25[[#This Row],[10]],Table25[[#This Row],[1]:[11]],0))-1)/(COUNTA(Table25[[#This Row],[1]:[11]])-COUNTBLANK(Table25[[#This Row],[1]:[11]])-1)))</f>
        <v>0</v>
      </c>
      <c r="AI31" s="29" cm="1">
        <f t="array" ref="AI31">IF(Table25[[#This Row],[11]]="","",Table25[[#This Row],[Weight]:[Weight]]-(Table25[[#This Row],[Weight]:[Weight]]*((_xlfn.XMATCH(Table25[[#This Row],[11]],Table25[[#This Row],[1]:[11]],0))-1)/(COUNTA(Table25[[#This Row],[1]:[11]])-COUNTBLANK(Table25[[#This Row],[1]:[11]])-1)))</f>
        <v>0</v>
      </c>
    </row>
  </sheetData>
  <sheetProtection insertRows="0" insertHyperlinks="0" deleteRows="0" autoFilter="0"/>
  <mergeCells count="4">
    <mergeCell ref="A10:A11"/>
    <mergeCell ref="B10:C11"/>
    <mergeCell ref="D10:E11"/>
    <mergeCell ref="E2:F3"/>
  </mergeCells>
  <conditionalFormatting sqref="K13:K31">
    <cfRule type="expression" dxfId="3" priority="1">
      <formula>COUNTIF(N13:X13,K13)&lt;&gt;1</formula>
    </cfRule>
  </conditionalFormatting>
  <dataValidations count="4">
    <dataValidation type="list" allowBlank="1" showInputMessage="1" showErrorMessage="1" sqref="K13:K31" xr:uid="{C1D44966-844E-4A5C-9B93-5CD09E9BE0E3}">
      <formula1>$N13:$X13</formula1>
    </dataValidation>
    <dataValidation type="list" allowBlank="1" showInputMessage="1" showErrorMessage="1" sqref="F13:F31" xr:uid="{CA214AE9-8923-4070-8159-DAD0303B35CF}">
      <formula1>"No interest,Nice to have,Useful,Important,Very important,Critical,Show stopper"</formula1>
    </dataValidation>
    <dataValidation type="list" allowBlank="1" showInputMessage="1" showErrorMessage="1" sqref="H13:H31" xr:uid="{9EABA9E1-F76D-40ED-80CD-43AA7825344D}">
      <formula1>N13:R13</formula1>
    </dataValidation>
    <dataValidation type="list" allowBlank="1" showInputMessage="1" showErrorMessage="1" sqref="M14" xr:uid="{4F3B19B7-BFC1-4159-BFE5-A4DF6DF5CEC2}">
      <formula1>_xlfn.UNIQUE(TRIM(_xlfn.TEXTSPLIT(#REF!,",")))</formula1>
    </dataValidation>
  </dataValidations>
  <pageMargins left="0.7" right="0.7" top="0.75" bottom="0.75" header="0.3" footer="0.3"/>
  <pageSetup orientation="portrait" r:id="rId1"/>
  <drawing r:id="rId2"/>
  <legacy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4B9CC-840D-4523-8AE7-1A7FA45C36BC}">
  <sheetPr>
    <tabColor theme="0"/>
    <pageSetUpPr fitToPage="1"/>
  </sheetPr>
  <dimension ref="A2:AI31"/>
  <sheetViews>
    <sheetView zoomScaleNormal="100" workbookViewId="0">
      <pane xSplit="1" ySplit="11" topLeftCell="B12" activePane="bottomRight" state="frozen"/>
      <selection pane="topRight" activeCell="B1" sqref="B1"/>
      <selection pane="bottomLeft" activeCell="A4" sqref="A4"/>
      <selection pane="bottomRight" activeCell="B13" sqref="B13"/>
    </sheetView>
  </sheetViews>
  <sheetFormatPr defaultColWidth="5.54296875" defaultRowHeight="11.5" x14ac:dyDescent="0.25"/>
  <cols>
    <col min="1" max="1" width="3" style="6" bestFit="1" customWidth="1"/>
    <col min="2" max="2" width="44.1796875" style="6" customWidth="1"/>
    <col min="3" max="3" width="38.81640625" style="6" customWidth="1"/>
    <col min="4" max="4" width="28.54296875" style="6" bestFit="1" customWidth="1"/>
    <col min="5" max="5" width="31.26953125" style="6" bestFit="1" customWidth="1"/>
    <col min="6" max="6" width="18.54296875" style="6" bestFit="1" customWidth="1"/>
    <col min="7" max="7" width="11.26953125" style="6" bestFit="1" customWidth="1"/>
    <col min="8" max="8" width="13.7265625" style="6" bestFit="1" customWidth="1"/>
    <col min="9" max="9" width="19.453125" style="6" bestFit="1" customWidth="1"/>
    <col min="10" max="10" width="8" style="6" customWidth="1"/>
    <col min="11" max="11" width="15.81640625" style="6" customWidth="1"/>
    <col min="12" max="12" width="7.81640625" style="45" bestFit="1" customWidth="1"/>
    <col min="13" max="13" width="19.7265625" style="6" bestFit="1" customWidth="1"/>
    <col min="14" max="14" width="6.54296875" style="46" hidden="1" customWidth="1"/>
    <col min="15" max="24" width="6.453125" style="46" hidden="1" customWidth="1"/>
    <col min="25" max="25" width="8" style="6" hidden="1" customWidth="1"/>
    <col min="26" max="26" width="5.54296875" style="6" hidden="1" customWidth="1"/>
    <col min="27" max="32" width="6.1796875" style="6" hidden="1" customWidth="1"/>
    <col min="33" max="35" width="5.54296875" style="6" hidden="1" customWidth="1"/>
    <col min="36" max="16384" width="5.54296875" style="6"/>
  </cols>
  <sheetData>
    <row r="2" spans="1:35" ht="14" x14ac:dyDescent="0.3">
      <c r="B2" s="90" t="s">
        <v>82</v>
      </c>
      <c r="C2" s="91" t="s">
        <v>83</v>
      </c>
      <c r="E2" s="221" t="s">
        <v>141</v>
      </c>
      <c r="F2" s="222"/>
    </row>
    <row r="3" spans="1:35" ht="15.75" customHeight="1" x14ac:dyDescent="0.25">
      <c r="B3" s="90" t="s">
        <v>84</v>
      </c>
      <c r="C3" s="173" t="str">
        <f>+'Scoring Summary'!C3</f>
        <v>Enterprise Historian</v>
      </c>
      <c r="E3" s="223"/>
      <c r="F3" s="224"/>
    </row>
    <row r="4" spans="1:35" ht="15.5" x14ac:dyDescent="0.35">
      <c r="B4" s="90" t="s">
        <v>86</v>
      </c>
      <c r="C4" s="174" t="s">
        <v>87</v>
      </c>
      <c r="D4" s="55"/>
      <c r="E4" s="163" t="s">
        <v>75</v>
      </c>
      <c r="F4" s="169"/>
    </row>
    <row r="5" spans="1:35" ht="15.5" x14ac:dyDescent="0.35">
      <c r="B5" s="90" t="s">
        <v>88</v>
      </c>
      <c r="C5" s="93" t="s">
        <v>87</v>
      </c>
      <c r="D5" s="55"/>
      <c r="E5" s="165"/>
      <c r="F5" s="168"/>
    </row>
    <row r="6" spans="1:35" ht="15.5" x14ac:dyDescent="0.35">
      <c r="B6" s="90" t="s">
        <v>90</v>
      </c>
      <c r="C6" s="93" t="s">
        <v>87</v>
      </c>
      <c r="D6" s="55"/>
      <c r="E6" s="55"/>
    </row>
    <row r="7" spans="1:35" ht="42.75" customHeight="1" x14ac:dyDescent="0.35">
      <c r="B7" s="90" t="s">
        <v>91</v>
      </c>
      <c r="C7" s="93"/>
      <c r="D7" s="57"/>
      <c r="E7" s="55"/>
    </row>
    <row r="10" spans="1:35" ht="15" customHeight="1" x14ac:dyDescent="0.25">
      <c r="A10" s="199"/>
      <c r="B10" s="201" t="s">
        <v>14</v>
      </c>
      <c r="C10" s="201"/>
      <c r="D10" s="203" t="s">
        <v>15</v>
      </c>
      <c r="E10" s="204"/>
      <c r="F10" s="1" t="s">
        <v>16</v>
      </c>
      <c r="G10" s="2"/>
      <c r="H10" s="3"/>
      <c r="I10" s="3"/>
      <c r="J10" s="3"/>
      <c r="K10" s="3"/>
      <c r="L10" s="4"/>
      <c r="M10" s="5"/>
      <c r="N10" s="4"/>
      <c r="O10" s="4"/>
      <c r="P10" s="4"/>
      <c r="Q10" s="4"/>
      <c r="R10" s="4"/>
      <c r="S10" s="4"/>
      <c r="T10" s="4"/>
      <c r="U10" s="4"/>
      <c r="V10" s="4"/>
      <c r="W10" s="4"/>
      <c r="X10" s="4"/>
      <c r="Y10" s="4"/>
      <c r="Z10" s="4"/>
      <c r="AA10" s="4"/>
      <c r="AB10" s="4"/>
      <c r="AC10" s="4"/>
      <c r="AD10" s="4"/>
      <c r="AE10" s="4"/>
      <c r="AF10" s="4"/>
      <c r="AG10" s="4"/>
      <c r="AH10" s="4"/>
      <c r="AI10" s="4"/>
    </row>
    <row r="11" spans="1:35" x14ac:dyDescent="0.25">
      <c r="A11" s="200"/>
      <c r="B11" s="202"/>
      <c r="C11" s="202"/>
      <c r="D11" s="205"/>
      <c r="E11" s="205"/>
      <c r="F11" s="170">
        <f>'Scoring Summary'!C18</f>
        <v>0</v>
      </c>
      <c r="G11" s="48">
        <f>SUM(Table2678[Priority])</f>
        <v>74</v>
      </c>
      <c r="H11" s="8">
        <f>SUM(Table2678[Weight])</f>
        <v>0</v>
      </c>
      <c r="I11" s="7"/>
      <c r="J11" s="7"/>
      <c r="K11" s="9" t="s">
        <v>17</v>
      </c>
      <c r="L11" s="8">
        <f>SUM(Table2678[Score])</f>
        <v>0</v>
      </c>
      <c r="M11" s="7"/>
      <c r="N11" s="10">
        <v>1</v>
      </c>
      <c r="O11" s="10">
        <v>2</v>
      </c>
      <c r="P11" s="10">
        <v>3</v>
      </c>
      <c r="Q11" s="10">
        <v>4</v>
      </c>
      <c r="R11" s="10">
        <v>5</v>
      </c>
      <c r="S11" s="10">
        <v>6</v>
      </c>
      <c r="T11" s="10">
        <v>7</v>
      </c>
      <c r="U11" s="10">
        <v>8</v>
      </c>
      <c r="V11" s="10">
        <v>9</v>
      </c>
      <c r="W11" s="10">
        <v>10</v>
      </c>
      <c r="X11" s="10">
        <v>11</v>
      </c>
      <c r="Y11" s="10">
        <v>12</v>
      </c>
      <c r="Z11" s="10">
        <v>13</v>
      </c>
      <c r="AA11" s="10">
        <v>14</v>
      </c>
      <c r="AB11" s="10">
        <v>15</v>
      </c>
      <c r="AC11" s="10">
        <v>16</v>
      </c>
      <c r="AD11" s="10">
        <v>17</v>
      </c>
      <c r="AE11" s="10">
        <v>18</v>
      </c>
      <c r="AF11" s="10">
        <v>19</v>
      </c>
      <c r="AG11" s="10">
        <v>20</v>
      </c>
      <c r="AH11" s="10">
        <v>21</v>
      </c>
      <c r="AI11" s="10">
        <v>22</v>
      </c>
    </row>
    <row r="12" spans="1:35" ht="46" x14ac:dyDescent="0.25">
      <c r="A12" s="11" t="s">
        <v>18</v>
      </c>
      <c r="B12" s="12" t="s">
        <v>19</v>
      </c>
      <c r="C12" s="13" t="s">
        <v>20</v>
      </c>
      <c r="D12" s="14" t="s">
        <v>21</v>
      </c>
      <c r="E12" s="14" t="s">
        <v>22</v>
      </c>
      <c r="F12" s="15" t="s">
        <v>23</v>
      </c>
      <c r="G12" s="16" t="s">
        <v>24</v>
      </c>
      <c r="H12" s="16" t="s">
        <v>25</v>
      </c>
      <c r="I12" s="15" t="s">
        <v>132</v>
      </c>
      <c r="J12" s="16" t="s">
        <v>27</v>
      </c>
      <c r="K12" s="15" t="s">
        <v>28</v>
      </c>
      <c r="L12" s="17" t="s">
        <v>29</v>
      </c>
      <c r="M12" s="15" t="s">
        <v>30</v>
      </c>
      <c r="N12" s="18" t="s">
        <v>31</v>
      </c>
      <c r="O12" s="18" t="s">
        <v>32</v>
      </c>
      <c r="P12" s="18" t="s">
        <v>33</v>
      </c>
      <c r="Q12" s="18" t="s">
        <v>34</v>
      </c>
      <c r="R12" s="18" t="s">
        <v>35</v>
      </c>
      <c r="S12" s="18" t="s">
        <v>36</v>
      </c>
      <c r="T12" s="18" t="s">
        <v>37</v>
      </c>
      <c r="U12" s="18" t="s">
        <v>38</v>
      </c>
      <c r="V12" s="18" t="s">
        <v>39</v>
      </c>
      <c r="W12" s="18" t="s">
        <v>40</v>
      </c>
      <c r="X12" s="18" t="s">
        <v>41</v>
      </c>
      <c r="Y12" s="19" t="s">
        <v>42</v>
      </c>
      <c r="Z12" s="19" t="s">
        <v>43</v>
      </c>
      <c r="AA12" s="19" t="s">
        <v>44</v>
      </c>
      <c r="AB12" s="19" t="s">
        <v>45</v>
      </c>
      <c r="AC12" s="19" t="s">
        <v>46</v>
      </c>
      <c r="AD12" s="19" t="s">
        <v>47</v>
      </c>
      <c r="AE12" s="19" t="s">
        <v>48</v>
      </c>
      <c r="AF12" s="19" t="s">
        <v>49</v>
      </c>
      <c r="AG12" s="19" t="s">
        <v>50</v>
      </c>
      <c r="AH12" s="19" t="s">
        <v>51</v>
      </c>
      <c r="AI12" s="19" t="s">
        <v>52</v>
      </c>
    </row>
    <row r="13" spans="1:35" ht="69" x14ac:dyDescent="0.25">
      <c r="A13" s="20">
        <v>1</v>
      </c>
      <c r="B13" s="21" t="s">
        <v>153</v>
      </c>
      <c r="C13" s="21" t="s">
        <v>154</v>
      </c>
      <c r="D13" s="21"/>
      <c r="E13" s="21" t="s">
        <v>55</v>
      </c>
      <c r="F13" s="22" t="s">
        <v>155</v>
      </c>
      <c r="G13" s="23" cm="1">
        <f t="array" ref="G13">_xlfn.IFS(F13="","",F13="No interest",0,F13="Nice to have",1,F13="Useful",2,F13="Important",3,F13="Very important",4,F13="Critical",5,F13="Show stopper",6)</f>
        <v>1</v>
      </c>
      <c r="H13" s="24">
        <f t="shared" ref="H13:H16" si="0">(G13/$G$11)*$F$11</f>
        <v>0</v>
      </c>
      <c r="I13" s="25" t="s">
        <v>156</v>
      </c>
      <c r="J13" s="25" t="str" cm="1">
        <f t="array" ref="J13">_xlfn.TEXTJOIN(","&amp;CHAR(10),,TEXT(Table2678[[#This Row],[12]:[22]],"0,00%"))</f>
        <v>0,00%,
0,00%</v>
      </c>
      <c r="K13" s="26" t="s">
        <v>157</v>
      </c>
      <c r="L13" s="27">
        <f>H13-(H13*((MATCH(Table2678[[#This Row],[Evaluators Response (SELECT)]],Table2678[[#This Row],[1]:[11]],0)-1)/(COUNTA(Table2678[[#This Row],[1]:[11]])-COUNTBLANK(Table2678[[#This Row],[1]:[11]])-1)))</f>
        <v>0</v>
      </c>
      <c r="M13" s="28"/>
      <c r="N13" s="29" t="str" cm="1">
        <f t="array" ref="N13">IFERROR(INDEX(_xlfn.UNIQUE(TRIM(_xlfn.TEXTSPLIT(Table2678[[#This Row],[Selection Options]:[Selection Options]],","))),,N$11),"")</f>
        <v>Compatible</v>
      </c>
      <c r="O13" s="29" t="str" cm="1">
        <f t="array" ref="O13">IFERROR(INDEX(_xlfn.UNIQUE(TRIM(_xlfn.TEXTSPLIT(Table2678[[#This Row],[Selection Options]:[Selection Options]],","))),,O$11),"")</f>
        <v xml:space="preserve">
Incompatible</v>
      </c>
      <c r="P13" s="29" t="str" cm="1">
        <f t="array" ref="P13">IFERROR(INDEX(_xlfn.UNIQUE(TRIM(_xlfn.TEXTSPLIT(Table2678[[#This Row],[Selection Options]:[Selection Options]],","))),,P$11),"")</f>
        <v/>
      </c>
      <c r="Q13" s="29" t="str" cm="1">
        <f t="array" ref="Q13">IFERROR(INDEX(_xlfn.UNIQUE(TRIM(_xlfn.TEXTSPLIT(Table2678[[#This Row],[Selection Options]:[Selection Options]],","))),,Q$11),"")</f>
        <v/>
      </c>
      <c r="R13" s="29" t="str" cm="1">
        <f t="array" ref="R13">IFERROR(INDEX(_xlfn.UNIQUE(TRIM(_xlfn.TEXTSPLIT(Table2678[[#This Row],[Selection Options]:[Selection Options]],","))),,R$11),"")</f>
        <v/>
      </c>
      <c r="S13" s="29" t="str" cm="1">
        <f t="array" ref="S13">IFERROR(INDEX(_xlfn.UNIQUE(TRIM(_xlfn.TEXTSPLIT(Table2678[[#This Row],[Selection Options]:[Selection Options]],","))),,S$11),"")</f>
        <v/>
      </c>
      <c r="T13" s="29" t="str" cm="1">
        <f t="array" ref="T13">IFERROR(INDEX(_xlfn.UNIQUE(TRIM(_xlfn.TEXTSPLIT(Table2678[[#This Row],[Selection Options]:[Selection Options]],","))),,T$11),"")</f>
        <v/>
      </c>
      <c r="U13" s="29" t="str" cm="1">
        <f t="array" ref="U13">IFERROR(INDEX(_xlfn.UNIQUE(TRIM(_xlfn.TEXTSPLIT(Table2678[[#This Row],[Selection Options]:[Selection Options]],","))),,U$11),"")</f>
        <v/>
      </c>
      <c r="V13" s="29" t="str" cm="1">
        <f t="array" ref="V13">IFERROR(INDEX(_xlfn.UNIQUE(TRIM(_xlfn.TEXTSPLIT(Table2678[[#This Row],[Selection Options]:[Selection Options]],","))),,V$11),"")</f>
        <v/>
      </c>
      <c r="W13" s="29" t="str" cm="1">
        <f t="array" ref="W13">IFERROR(INDEX(_xlfn.UNIQUE(TRIM(_xlfn.TEXTSPLIT(Table2678[[#This Row],[Selection Options]:[Selection Options]],","))),,W$11),"")</f>
        <v/>
      </c>
      <c r="X13" s="29" t="str" cm="1">
        <f t="array" ref="X13">IFERROR(INDEX(_xlfn.UNIQUE(TRIM(_xlfn.TEXTSPLIT(Table2678[[#This Row],[Selection Options]:[Selection Options]],","))),,X$11),"")</f>
        <v/>
      </c>
      <c r="Y13" s="30" cm="1">
        <f t="array" ref="Y13">IF(Table2678[[#This Row],[1]]="","",Table2678[[#This Row],[Weight]:[Weight]]-(Table2678[[#This Row],[Weight]:[Weight]]*((_xlfn.XMATCH(Table2678[[#This Row],[1]],Table2678[[#This Row],[1]:[11]],0))-1)/(COUNTA(Table2678[[#This Row],[1]:[11]])-COUNTBLANK(Table2678[[#This Row],[1]:[11]])-1)))</f>
        <v>0</v>
      </c>
      <c r="Z13" s="30" cm="1">
        <f t="array" ref="Z13">IF(Table2678[[#This Row],[2]]="","",Table2678[[#This Row],[Weight]:[Weight]]-(Table2678[[#This Row],[Weight]:[Weight]]*((_xlfn.XMATCH(Table2678[[#This Row],[2]],Table2678[[#This Row],[1]:[11]],0))-1)/(COUNTA(Table2678[[#This Row],[1]:[11]])-COUNTBLANK(Table2678[[#This Row],[1]:[11]])-1)))</f>
        <v>0</v>
      </c>
      <c r="AA13" s="30" t="str" cm="1">
        <f t="array" ref="AA13">IF(Table2678[[#This Row],[3]]="","",Table2678[[#This Row],[Weight]:[Weight]]-(Table2678[[#This Row],[Weight]:[Weight]]*((_xlfn.XMATCH(Table2678[[#This Row],[3]],Table2678[[#This Row],[1]:[11]],0))-1)/(COUNTA(Table2678[[#This Row],[1]:[11]])-COUNTBLANK(Table2678[[#This Row],[1]:[11]])-1)))</f>
        <v/>
      </c>
      <c r="AB13" s="30" t="str" cm="1">
        <f t="array" ref="AB13">IF(Table2678[[#This Row],[4]]="","",Table2678[[#This Row],[Weight]:[Weight]]-(Table2678[[#This Row],[Weight]:[Weight]]*((_xlfn.XMATCH(Table2678[[#This Row],[4]],Table2678[[#This Row],[1]:[11]],0))-1)/(COUNTA(Table2678[[#This Row],[1]:[11]])-COUNTBLANK(Table2678[[#This Row],[1]:[11]])-1)))</f>
        <v/>
      </c>
      <c r="AC13" s="30" t="str" cm="1">
        <f t="array" ref="AC13">IF(Table2678[[#This Row],[5]]="","",Table2678[[#This Row],[Weight]:[Weight]]-(Table2678[[#This Row],[Weight]:[Weight]]*((_xlfn.XMATCH(Table2678[[#This Row],[5]],Table2678[[#This Row],[1]:[11]],0))-1)/(COUNTA(Table2678[[#This Row],[1]:[11]])-COUNTBLANK(Table2678[[#This Row],[1]:[11]])-1)))</f>
        <v/>
      </c>
      <c r="AD13" s="30" t="str" cm="1">
        <f t="array" ref="AD13">IF(Table2678[[#This Row],[6]]="","",Table2678[[#This Row],[Weight]:[Weight]]-(Table2678[[#This Row],[Weight]:[Weight]]*((_xlfn.XMATCH(Table2678[[#This Row],[6]],Table2678[[#This Row],[1]:[11]],0))-1)/(COUNTA(Table2678[[#This Row],[1]:[11]])-COUNTBLANK(Table2678[[#This Row],[1]:[11]])-1)))</f>
        <v/>
      </c>
      <c r="AE13" s="30" t="str" cm="1">
        <f t="array" ref="AE13">IF(Table2678[[#This Row],[7]]="","",Table2678[[#This Row],[Weight]:[Weight]]-(Table2678[[#This Row],[Weight]:[Weight]]*((_xlfn.XMATCH(Table2678[[#This Row],[7]],Table2678[[#This Row],[1]:[11]],0))-1)/(COUNTA(Table2678[[#This Row],[1]:[11]])-COUNTBLANK(Table2678[[#This Row],[1]:[11]])-1)))</f>
        <v/>
      </c>
      <c r="AF13" s="30" t="str" cm="1">
        <f t="array" ref="AF13">IF(Table2678[[#This Row],[8]]="","",Table2678[[#This Row],[Weight]:[Weight]]-(Table2678[[#This Row],[Weight]:[Weight]]*((_xlfn.XMATCH(Table2678[[#This Row],[8]],Table2678[[#This Row],[1]:[11]],0))-1)/(COUNTA(Table2678[[#This Row],[1]:[11]])-COUNTBLANK(Table2678[[#This Row],[1]:[11]])-1)))</f>
        <v/>
      </c>
      <c r="AG13" s="30" t="str" cm="1">
        <f t="array" ref="AG13">IF(Table2678[[#This Row],[9]]="","",Table2678[[#This Row],[Weight]:[Weight]]-(Table2678[[#This Row],[Weight]:[Weight]]*((_xlfn.XMATCH(Table2678[[#This Row],[9]],Table2678[[#This Row],[1]:[11]],0))-1)/(COUNTA(Table2678[[#This Row],[1]:[11]])-COUNTBLANK(Table2678[[#This Row],[1]:[11]])-1)))</f>
        <v/>
      </c>
      <c r="AH13" s="30" t="str" cm="1">
        <f t="array" ref="AH13">IF(Table2678[[#This Row],[10]]="","",Table2678[[#This Row],[Weight]:[Weight]]-(Table2678[[#This Row],[Weight]:[Weight]]*((_xlfn.XMATCH(Table2678[[#This Row],[10]],Table2678[[#This Row],[1]:[11]],0))-1)/(COUNTA(Table2678[[#This Row],[1]:[11]])-COUNTBLANK(Table2678[[#This Row],[1]:[11]])-1)))</f>
        <v/>
      </c>
      <c r="AI13" s="30" t="str" cm="1">
        <f t="array" ref="AI13">IF(Table2678[[#This Row],[11]]="","",Table2678[[#This Row],[Weight]:[Weight]]-(Table2678[[#This Row],[Weight]:[Weight]]*((_xlfn.XMATCH(Table2678[[#This Row],[11]],Table2678[[#This Row],[1]:[11]],0))-1)/(COUNTA(Table2678[[#This Row],[1]:[11]])-COUNTBLANK(Table2678[[#This Row],[1]:[11]])-1)))</f>
        <v/>
      </c>
    </row>
    <row r="14" spans="1:35" ht="46" x14ac:dyDescent="0.25">
      <c r="A14" s="20">
        <v>2</v>
      </c>
      <c r="B14" s="190" t="s">
        <v>184</v>
      </c>
      <c r="C14" s="190" t="s">
        <v>185</v>
      </c>
      <c r="D14" s="31"/>
      <c r="E14" s="31"/>
      <c r="F14" s="22" t="s">
        <v>114</v>
      </c>
      <c r="G14" s="23" cm="1">
        <f t="array" ref="G14">_xlfn.IFS(F14="","",F14="No interest",0,F14="Nice to have",1,F14="Useful",2,F14="Important",3,F14="Very important",4,F14="Critical",5,F14="Show stopper",6)</f>
        <v>5</v>
      </c>
      <c r="H14" s="24">
        <f t="shared" si="0"/>
        <v>0</v>
      </c>
      <c r="I14" s="25" t="s">
        <v>61</v>
      </c>
      <c r="J14" s="25" t="str" cm="1">
        <f t="array" ref="J14">_xlfn.TEXTJOIN(","&amp;CHAR(10),,TEXT(Table2678[[#This Row],[12]:[22]],"0,00%"))</f>
        <v>0,00%,
0,00%,
0,00%,
0,00%</v>
      </c>
      <c r="K14" s="26" t="s">
        <v>62</v>
      </c>
      <c r="L14" s="27">
        <f>H14-(H14*((MATCH(Table2678[[#This Row],[Evaluators Response (SELECT)]],Table2678[[#This Row],[1]:[11]],0)-1)/(COUNTA(Table2678[[#This Row],[1]:[11]])-COUNTBLANK(Table2678[[#This Row],[1]:[11]])-1)))</f>
        <v>0</v>
      </c>
      <c r="M14" s="28"/>
      <c r="N14" s="29" t="str" cm="1">
        <f t="array" ref="N14">IFERROR(INDEX(_xlfn.UNIQUE(TRIM(_xlfn.TEXTSPLIT(Table2678[[#This Row],[Selection Options]:[Selection Options]],","))),,N$11),"")</f>
        <v>abc</v>
      </c>
      <c r="O14" s="29" t="str" cm="1">
        <f t="array" ref="O14">IFERROR(INDEX(_xlfn.UNIQUE(TRIM(_xlfn.TEXTSPLIT(Table2678[[#This Row],[Selection Options]:[Selection Options]],","))),,O$11),"")</f>
        <v xml:space="preserve">
klm</v>
      </c>
      <c r="P14" s="29" t="str" cm="1">
        <f t="array" ref="P14">IFERROR(INDEX(_xlfn.UNIQUE(TRIM(_xlfn.TEXTSPLIT(Table2678[[#This Row],[Selection Options]:[Selection Options]],","))),,P$11),"")</f>
        <v xml:space="preserve">
pqr</v>
      </c>
      <c r="Q14" s="29" t="str" cm="1">
        <f t="array" ref="Q14">IFERROR(INDEX(_xlfn.UNIQUE(TRIM(_xlfn.TEXTSPLIT(Table2678[[#This Row],[Selection Options]:[Selection Options]],","))),,Q$11),"")</f>
        <v xml:space="preserve">
xyz</v>
      </c>
      <c r="R14" s="29" t="str" cm="1">
        <f t="array" ref="R14">IFERROR(INDEX(_xlfn.UNIQUE(TRIM(_xlfn.TEXTSPLIT(Table2678[[#This Row],[Selection Options]:[Selection Options]],","))),,R$11),"")</f>
        <v/>
      </c>
      <c r="S14" s="29" t="str" cm="1">
        <f t="array" ref="S14">IFERROR(INDEX(_xlfn.UNIQUE(TRIM(_xlfn.TEXTSPLIT(Table2678[[#This Row],[Selection Options]:[Selection Options]],","))),,S$11),"")</f>
        <v/>
      </c>
      <c r="T14" s="29" t="str" cm="1">
        <f t="array" ref="T14">IFERROR(INDEX(_xlfn.UNIQUE(TRIM(_xlfn.TEXTSPLIT(Table2678[[#This Row],[Selection Options]:[Selection Options]],","))),,T$11),"")</f>
        <v/>
      </c>
      <c r="U14" s="29" t="str" cm="1">
        <f t="array" ref="U14">IFERROR(INDEX(_xlfn.UNIQUE(TRIM(_xlfn.TEXTSPLIT(Table2678[[#This Row],[Selection Options]:[Selection Options]],","))),,U$11),"")</f>
        <v/>
      </c>
      <c r="V14" s="29" t="str" cm="1">
        <f t="array" ref="V14">IFERROR(INDEX(_xlfn.UNIQUE(TRIM(_xlfn.TEXTSPLIT(Table2678[[#This Row],[Selection Options]:[Selection Options]],","))),,V$11),"")</f>
        <v/>
      </c>
      <c r="W14" s="29" t="str" cm="1">
        <f t="array" ref="W14">IFERROR(INDEX(_xlfn.UNIQUE(TRIM(_xlfn.TEXTSPLIT(Table2678[[#This Row],[Selection Options]:[Selection Options]],","))),,W$11),"")</f>
        <v/>
      </c>
      <c r="X14" s="29" t="str" cm="1">
        <f t="array" ref="X14">IFERROR(INDEX(_xlfn.UNIQUE(TRIM(_xlfn.TEXTSPLIT(Table2678[[#This Row],[Selection Options]:[Selection Options]],","))),,X$11),"")</f>
        <v/>
      </c>
      <c r="Y14" s="30" cm="1">
        <f t="array" ref="Y14">IF(Table2678[[#This Row],[1]]="","",Table2678[[#This Row],[Weight]:[Weight]]-(Table2678[[#This Row],[Weight]:[Weight]]*((_xlfn.XMATCH(Table2678[[#This Row],[1]],Table2678[[#This Row],[1]:[11]],0))-1)/(COUNTA(Table2678[[#This Row],[1]:[11]])-COUNTBLANK(Table2678[[#This Row],[1]:[11]])-1)))</f>
        <v>0</v>
      </c>
      <c r="Z14" s="30" cm="1">
        <f t="array" ref="Z14">IF(Table2678[[#This Row],[2]]="","",Table2678[[#This Row],[Weight]:[Weight]]-(Table2678[[#This Row],[Weight]:[Weight]]*((_xlfn.XMATCH(Table2678[[#This Row],[2]],Table2678[[#This Row],[1]:[11]],0))-1)/(COUNTA(Table2678[[#This Row],[1]:[11]])-COUNTBLANK(Table2678[[#This Row],[1]:[11]])-1)))</f>
        <v>0</v>
      </c>
      <c r="AA14" s="30" cm="1">
        <f t="array" ref="AA14">IF(Table2678[[#This Row],[3]]="","",Table2678[[#This Row],[Weight]:[Weight]]-(Table2678[[#This Row],[Weight]:[Weight]]*((_xlfn.XMATCH(Table2678[[#This Row],[3]],Table2678[[#This Row],[1]:[11]],0))-1)/(COUNTA(Table2678[[#This Row],[1]:[11]])-COUNTBLANK(Table2678[[#This Row],[1]:[11]])-1)))</f>
        <v>0</v>
      </c>
      <c r="AB14" s="30" cm="1">
        <f t="array" ref="AB14">IF(Table2678[[#This Row],[4]]="","",Table2678[[#This Row],[Weight]:[Weight]]-(Table2678[[#This Row],[Weight]:[Weight]]*((_xlfn.XMATCH(Table2678[[#This Row],[4]],Table2678[[#This Row],[1]:[11]],0))-1)/(COUNTA(Table2678[[#This Row],[1]:[11]])-COUNTBLANK(Table2678[[#This Row],[1]:[11]])-1)))</f>
        <v>0</v>
      </c>
      <c r="AC14" s="30" t="str" cm="1">
        <f t="array" ref="AC14">IF(Table2678[[#This Row],[5]]="","",Table2678[[#This Row],[Weight]:[Weight]]-(Table2678[[#This Row],[Weight]:[Weight]]*((_xlfn.XMATCH(Table2678[[#This Row],[5]],Table2678[[#This Row],[1]:[11]],0))-1)/(COUNTA(Table2678[[#This Row],[1]:[11]])-COUNTBLANK(Table2678[[#This Row],[1]:[11]])-1)))</f>
        <v/>
      </c>
      <c r="AD14" s="30" t="str" cm="1">
        <f t="array" ref="AD14">IF(Table2678[[#This Row],[6]]="","",Table2678[[#This Row],[Weight]:[Weight]]-(Table2678[[#This Row],[Weight]:[Weight]]*((_xlfn.XMATCH(Table2678[[#This Row],[6]],Table2678[[#This Row],[1]:[11]],0))-1)/(COUNTA(Table2678[[#This Row],[1]:[11]])-COUNTBLANK(Table2678[[#This Row],[1]:[11]])-1)))</f>
        <v/>
      </c>
      <c r="AE14" s="30" t="str" cm="1">
        <f t="array" ref="AE14">IF(Table2678[[#This Row],[7]]="","",Table2678[[#This Row],[Weight]:[Weight]]-(Table2678[[#This Row],[Weight]:[Weight]]*((_xlfn.XMATCH(Table2678[[#This Row],[7]],Table2678[[#This Row],[1]:[11]],0))-1)/(COUNTA(Table2678[[#This Row],[1]:[11]])-COUNTBLANK(Table2678[[#This Row],[1]:[11]])-1)))</f>
        <v/>
      </c>
      <c r="AF14" s="30" t="str" cm="1">
        <f t="array" ref="AF14">IF(Table2678[[#This Row],[8]]="","",Table2678[[#This Row],[Weight]:[Weight]]-(Table2678[[#This Row],[Weight]:[Weight]]*((_xlfn.XMATCH(Table2678[[#This Row],[8]],Table2678[[#This Row],[1]:[11]],0))-1)/(COUNTA(Table2678[[#This Row],[1]:[11]])-COUNTBLANK(Table2678[[#This Row],[1]:[11]])-1)))</f>
        <v/>
      </c>
      <c r="AG14" s="30" t="str" cm="1">
        <f t="array" ref="AG14">IF(Table2678[[#This Row],[9]]="","",Table2678[[#This Row],[Weight]:[Weight]]-(Table2678[[#This Row],[Weight]:[Weight]]*((_xlfn.XMATCH(Table2678[[#This Row],[9]],Table2678[[#This Row],[1]:[11]],0))-1)/(COUNTA(Table2678[[#This Row],[1]:[11]])-COUNTBLANK(Table2678[[#This Row],[1]:[11]])-1)))</f>
        <v/>
      </c>
      <c r="AH14" s="30" t="str" cm="1">
        <f t="array" ref="AH14">IF(Table2678[[#This Row],[10]]="","",Table2678[[#This Row],[Weight]:[Weight]]-(Table2678[[#This Row],[Weight]:[Weight]]*((_xlfn.XMATCH(Table2678[[#This Row],[10]],Table2678[[#This Row],[1]:[11]],0))-1)/(COUNTA(Table2678[[#This Row],[1]:[11]])-COUNTBLANK(Table2678[[#This Row],[1]:[11]])-1)))</f>
        <v/>
      </c>
      <c r="AI14" s="30" t="str" cm="1">
        <f t="array" ref="AI14">IF(Table2678[[#This Row],[11]]="","",Table2678[[#This Row],[Weight]:[Weight]]-(Table2678[[#This Row],[Weight]:[Weight]]*((_xlfn.XMATCH(Table2678[[#This Row],[11]],Table2678[[#This Row],[1]:[11]],0))-1)/(COUNTA(Table2678[[#This Row],[1]:[11]])-COUNTBLANK(Table2678[[#This Row],[1]:[11]])-1)))</f>
        <v/>
      </c>
    </row>
    <row r="15" spans="1:35" ht="34.5" x14ac:dyDescent="0.25">
      <c r="A15" s="32">
        <v>3</v>
      </c>
      <c r="B15" s="33"/>
      <c r="C15" s="33"/>
      <c r="D15" s="33"/>
      <c r="E15" s="33"/>
      <c r="F15" s="34" t="s">
        <v>114</v>
      </c>
      <c r="G15" s="35" cm="1">
        <f t="array" ref="G15">_xlfn.IFS(F15="","",F15="No interest",0,F15="Nice to have",1,F15="Useful",2,F15="Important",3,F15="Very important",4,F15="Critical",5,F15="Show stopper",6)</f>
        <v>5</v>
      </c>
      <c r="H15" s="36">
        <f t="shared" si="0"/>
        <v>0</v>
      </c>
      <c r="I15" s="37" t="s">
        <v>158</v>
      </c>
      <c r="J15" s="37" t="str" cm="1">
        <f t="array" ref="J15">_xlfn.TEXTJOIN(","&amp;CHAR(10),,TEXT(Table2678[[#This Row],[12]:[22]],"0,00%"))</f>
        <v>0,00%,
0,00%,
0,00%</v>
      </c>
      <c r="K15" s="38" t="s">
        <v>159</v>
      </c>
      <c r="L15" s="39">
        <f>H15-(H15*((MATCH(Table2678[[#This Row],[Evaluators Response (SELECT)]],Table2678[[#This Row],[1]:[11]],0)-1)/(COUNTA(Table2678[[#This Row],[1]:[11]])-COUNTBLANK(Table2678[[#This Row],[1]:[11]])-1)))</f>
        <v>0</v>
      </c>
      <c r="M15" s="40"/>
      <c r="N15" s="29" t="str" cm="1">
        <f t="array" ref="N15">IFERROR(INDEX(_xlfn.UNIQUE(TRIM(_xlfn.TEXTSPLIT(Table2678[[#This Row],[Selection Options]:[Selection Options]],","))),,N$11),"")</f>
        <v>10 or more clients</v>
      </c>
      <c r="O15" s="29" t="str" cm="1">
        <f t="array" ref="O15">IFERROR(INDEX(_xlfn.UNIQUE(TRIM(_xlfn.TEXTSPLIT(Table2678[[#This Row],[Selection Options]:[Selection Options]],","))),,O$11),"")</f>
        <v xml:space="preserve">
4-7 clients</v>
      </c>
      <c r="P15" s="29" t="str" cm="1">
        <f t="array" ref="P15">IFERROR(INDEX(_xlfn.UNIQUE(TRIM(_xlfn.TEXTSPLIT(Table2678[[#This Row],[Selection Options]:[Selection Options]],","))),,P$11),"")</f>
        <v xml:space="preserve">
3 or less clients.</v>
      </c>
      <c r="Q15" s="29" t="str" cm="1">
        <f t="array" ref="Q15">IFERROR(INDEX(_xlfn.UNIQUE(TRIM(_xlfn.TEXTSPLIT(Table2678[[#This Row],[Selection Options]:[Selection Options]],","))),,Q$11),"")</f>
        <v/>
      </c>
      <c r="R15" s="29" t="str" cm="1">
        <f t="array" ref="R15">IFERROR(INDEX(_xlfn.UNIQUE(TRIM(_xlfn.TEXTSPLIT(Table2678[[#This Row],[Selection Options]:[Selection Options]],","))),,R$11),"")</f>
        <v/>
      </c>
      <c r="S15" s="29" t="str" cm="1">
        <f t="array" ref="S15">IFERROR(INDEX(_xlfn.UNIQUE(TRIM(_xlfn.TEXTSPLIT(Table2678[[#This Row],[Selection Options]:[Selection Options]],","))),,S$11),"")</f>
        <v/>
      </c>
      <c r="T15" s="29" t="str" cm="1">
        <f t="array" ref="T15">IFERROR(INDEX(_xlfn.UNIQUE(TRIM(_xlfn.TEXTSPLIT(Table2678[[#This Row],[Selection Options]:[Selection Options]],","))),,T$11),"")</f>
        <v/>
      </c>
      <c r="U15" s="29" t="str" cm="1">
        <f t="array" ref="U15">IFERROR(INDEX(_xlfn.UNIQUE(TRIM(_xlfn.TEXTSPLIT(Table2678[[#This Row],[Selection Options]:[Selection Options]],","))),,U$11),"")</f>
        <v/>
      </c>
      <c r="V15" s="29" t="str" cm="1">
        <f t="array" ref="V15">IFERROR(INDEX(_xlfn.UNIQUE(TRIM(_xlfn.TEXTSPLIT(Table2678[[#This Row],[Selection Options]:[Selection Options]],","))),,V$11),"")</f>
        <v/>
      </c>
      <c r="W15" s="29" t="str" cm="1">
        <f t="array" ref="W15">IFERROR(INDEX(_xlfn.UNIQUE(TRIM(_xlfn.TEXTSPLIT(Table2678[[#This Row],[Selection Options]:[Selection Options]],","))),,W$11),"")</f>
        <v/>
      </c>
      <c r="X15" s="29" t="str" cm="1">
        <f t="array" ref="X15">IFERROR(INDEX(_xlfn.UNIQUE(TRIM(_xlfn.TEXTSPLIT(Table2678[[#This Row],[Selection Options]:[Selection Options]],","))),,X$11),"")</f>
        <v/>
      </c>
      <c r="Y15" s="30" cm="1">
        <f t="array" ref="Y15">IF(Table2678[[#This Row],[1]]="","",Table2678[[#This Row],[Weight]:[Weight]]-(Table2678[[#This Row],[Weight]:[Weight]]*((_xlfn.XMATCH(Table2678[[#This Row],[1]],Table2678[[#This Row],[1]:[11]],0))-1)/(COUNTA(Table2678[[#This Row],[1]:[11]])-COUNTBLANK(Table2678[[#This Row],[1]:[11]])-1)))</f>
        <v>0</v>
      </c>
      <c r="Z15" s="30" cm="1">
        <f t="array" ref="Z15">IF(Table2678[[#This Row],[2]]="","",Table2678[[#This Row],[Weight]:[Weight]]-(Table2678[[#This Row],[Weight]:[Weight]]*((_xlfn.XMATCH(Table2678[[#This Row],[2]],Table2678[[#This Row],[1]:[11]],0))-1)/(COUNTA(Table2678[[#This Row],[1]:[11]])-COUNTBLANK(Table2678[[#This Row],[1]:[11]])-1)))</f>
        <v>0</v>
      </c>
      <c r="AA15" s="30" cm="1">
        <f t="array" ref="AA15">IF(Table2678[[#This Row],[3]]="","",Table2678[[#This Row],[Weight]:[Weight]]-(Table2678[[#This Row],[Weight]:[Weight]]*((_xlfn.XMATCH(Table2678[[#This Row],[3]],Table2678[[#This Row],[1]:[11]],0))-1)/(COUNTA(Table2678[[#This Row],[1]:[11]])-COUNTBLANK(Table2678[[#This Row],[1]:[11]])-1)))</f>
        <v>0</v>
      </c>
      <c r="AB15" s="30" t="str" cm="1">
        <f t="array" ref="AB15">IF(Table2678[[#This Row],[4]]="","",Table2678[[#This Row],[Weight]:[Weight]]-(Table2678[[#This Row],[Weight]:[Weight]]*((_xlfn.XMATCH(Table2678[[#This Row],[4]],Table2678[[#This Row],[1]:[11]],0))-1)/(COUNTA(Table2678[[#This Row],[1]:[11]])-COUNTBLANK(Table2678[[#This Row],[1]:[11]])-1)))</f>
        <v/>
      </c>
      <c r="AC15" s="30" t="str" cm="1">
        <f t="array" ref="AC15">IF(Table2678[[#This Row],[5]]="","",Table2678[[#This Row],[Weight]:[Weight]]-(Table2678[[#This Row],[Weight]:[Weight]]*((_xlfn.XMATCH(Table2678[[#This Row],[5]],Table2678[[#This Row],[1]:[11]],0))-1)/(COUNTA(Table2678[[#This Row],[1]:[11]])-COUNTBLANK(Table2678[[#This Row],[1]:[11]])-1)))</f>
        <v/>
      </c>
      <c r="AD15" s="30" t="str" cm="1">
        <f t="array" ref="AD15">IF(Table2678[[#This Row],[6]]="","",Table2678[[#This Row],[Weight]:[Weight]]-(Table2678[[#This Row],[Weight]:[Weight]]*((_xlfn.XMATCH(Table2678[[#This Row],[6]],Table2678[[#This Row],[1]:[11]],0))-1)/(COUNTA(Table2678[[#This Row],[1]:[11]])-COUNTBLANK(Table2678[[#This Row],[1]:[11]])-1)))</f>
        <v/>
      </c>
      <c r="AE15" s="30" t="str" cm="1">
        <f t="array" ref="AE15">IF(Table2678[[#This Row],[7]]="","",Table2678[[#This Row],[Weight]:[Weight]]-(Table2678[[#This Row],[Weight]:[Weight]]*((_xlfn.XMATCH(Table2678[[#This Row],[7]],Table2678[[#This Row],[1]:[11]],0))-1)/(COUNTA(Table2678[[#This Row],[1]:[11]])-COUNTBLANK(Table2678[[#This Row],[1]:[11]])-1)))</f>
        <v/>
      </c>
      <c r="AF15" s="30" t="str" cm="1">
        <f t="array" ref="AF15">IF(Table2678[[#This Row],[8]]="","",Table2678[[#This Row],[Weight]:[Weight]]-(Table2678[[#This Row],[Weight]:[Weight]]*((_xlfn.XMATCH(Table2678[[#This Row],[8]],Table2678[[#This Row],[1]:[11]],0))-1)/(COUNTA(Table2678[[#This Row],[1]:[11]])-COUNTBLANK(Table2678[[#This Row],[1]:[11]])-1)))</f>
        <v/>
      </c>
      <c r="AG15" s="30" t="str" cm="1">
        <f t="array" ref="AG15">IF(Table2678[[#This Row],[9]]="","",Table2678[[#This Row],[Weight]:[Weight]]-(Table2678[[#This Row],[Weight]:[Weight]]*((_xlfn.XMATCH(Table2678[[#This Row],[9]],Table2678[[#This Row],[1]:[11]],0))-1)/(COUNTA(Table2678[[#This Row],[1]:[11]])-COUNTBLANK(Table2678[[#This Row],[1]:[11]])-1)))</f>
        <v/>
      </c>
      <c r="AH15" s="30" t="str" cm="1">
        <f t="array" ref="AH15">IF(Table2678[[#This Row],[10]]="","",Table2678[[#This Row],[Weight]:[Weight]]-(Table2678[[#This Row],[Weight]:[Weight]]*((_xlfn.XMATCH(Table2678[[#This Row],[10]],Table2678[[#This Row],[1]:[11]],0))-1)/(COUNTA(Table2678[[#This Row],[1]:[11]])-COUNTBLANK(Table2678[[#This Row],[1]:[11]])-1)))</f>
        <v/>
      </c>
      <c r="AI15" s="30" t="str" cm="1">
        <f t="array" ref="AI15">IF(Table2678[[#This Row],[11]]="","",Table2678[[#This Row],[Weight]:[Weight]]-(Table2678[[#This Row],[Weight]:[Weight]]*((_xlfn.XMATCH(Table2678[[#This Row],[11]],Table2678[[#This Row],[1]:[11]],0))-1)/(COUNTA(Table2678[[#This Row],[1]:[11]])-COUNTBLANK(Table2678[[#This Row],[1]:[11]])-1)))</f>
        <v/>
      </c>
    </row>
    <row r="16" spans="1:35" ht="23" x14ac:dyDescent="0.25">
      <c r="A16" s="20"/>
      <c r="B16" s="31"/>
      <c r="C16" s="31"/>
      <c r="D16" s="31"/>
      <c r="E16" s="31"/>
      <c r="F16" s="22" t="s">
        <v>160</v>
      </c>
      <c r="G16" s="23" cm="1">
        <f t="array" ref="G16">_xlfn.IFS(F16="","",F16="No interest",0,F16="Nice to have",1,F16="Useful",2,F16="Important",3,F16="Very important",4,F16="Critical",5,F16="Show stopper",6)</f>
        <v>2</v>
      </c>
      <c r="H16" s="24">
        <f t="shared" si="0"/>
        <v>0</v>
      </c>
      <c r="I16" s="25" t="s">
        <v>135</v>
      </c>
      <c r="J16" s="25" t="str" cm="1">
        <f t="array" ref="J16">_xlfn.TEXTJOIN(","&amp;CHAR(10),,TEXT(Table2678[[#This Row],[12]:[22]],"0,00%"))</f>
        <v>0,00%,
0,00%</v>
      </c>
      <c r="K16" s="26" t="s">
        <v>161</v>
      </c>
      <c r="L16" s="27">
        <f>H16-(H16*((MATCH(Table2678[[#This Row],[Evaluators Response (SELECT)]],Table2678[[#This Row],[1]:[11]],0)-1)/(COUNTA(Table2678[[#This Row],[1]:[11]])-COUNTBLANK(Table2678[[#This Row],[1]:[11]])-1)))</f>
        <v>0</v>
      </c>
      <c r="M16" s="28"/>
      <c r="N16" s="29" t="str" cm="1">
        <f t="array" ref="N16">IFERROR(INDEX(_xlfn.UNIQUE(TRIM(_xlfn.TEXTSPLIT(Table2678[[#This Row],[Selection Options]:[Selection Options]],","))),,N$11),"")</f>
        <v>Yes</v>
      </c>
      <c r="O16" s="29" t="str" cm="1">
        <f t="array" ref="O16">IFERROR(INDEX(_xlfn.UNIQUE(TRIM(_xlfn.TEXTSPLIT(Table2678[[#This Row],[Selection Options]:[Selection Options]],","))),,O$11),"")</f>
        <v xml:space="preserve">
No</v>
      </c>
      <c r="P16" s="29" t="str" cm="1">
        <f t="array" ref="P16">IFERROR(INDEX(_xlfn.UNIQUE(TRIM(_xlfn.TEXTSPLIT(Table2678[[#This Row],[Selection Options]:[Selection Options]],","))),,P$11),"")</f>
        <v/>
      </c>
      <c r="Q16" s="29" t="str" cm="1">
        <f t="array" ref="Q16">IFERROR(INDEX(_xlfn.UNIQUE(TRIM(_xlfn.TEXTSPLIT(Table2678[[#This Row],[Selection Options]:[Selection Options]],","))),,Q$11),"")</f>
        <v/>
      </c>
      <c r="R16" s="29" t="str" cm="1">
        <f t="array" ref="R16">IFERROR(INDEX(_xlfn.UNIQUE(TRIM(_xlfn.TEXTSPLIT(Table2678[[#This Row],[Selection Options]:[Selection Options]],","))),,R$11),"")</f>
        <v/>
      </c>
      <c r="S16" s="29" t="str" cm="1">
        <f t="array" ref="S16">IFERROR(INDEX(_xlfn.UNIQUE(TRIM(_xlfn.TEXTSPLIT(Table2678[[#This Row],[Selection Options]:[Selection Options]],","))),,S$11),"")</f>
        <v/>
      </c>
      <c r="T16" s="29" t="str" cm="1">
        <f t="array" ref="T16">IFERROR(INDEX(_xlfn.UNIQUE(TRIM(_xlfn.TEXTSPLIT(Table2678[[#This Row],[Selection Options]:[Selection Options]],","))),,T$11),"")</f>
        <v/>
      </c>
      <c r="U16" s="29" t="str" cm="1">
        <f t="array" ref="U16">IFERROR(INDEX(_xlfn.UNIQUE(TRIM(_xlfn.TEXTSPLIT(Table2678[[#This Row],[Selection Options]:[Selection Options]],","))),,U$11),"")</f>
        <v/>
      </c>
      <c r="V16" s="29" t="str" cm="1">
        <f t="array" ref="V16">IFERROR(INDEX(_xlfn.UNIQUE(TRIM(_xlfn.TEXTSPLIT(Table2678[[#This Row],[Selection Options]:[Selection Options]],","))),,V$11),"")</f>
        <v/>
      </c>
      <c r="W16" s="29" t="str" cm="1">
        <f t="array" ref="W16">IFERROR(INDEX(_xlfn.UNIQUE(TRIM(_xlfn.TEXTSPLIT(Table2678[[#This Row],[Selection Options]:[Selection Options]],","))),,W$11),"")</f>
        <v/>
      </c>
      <c r="X16" s="29" t="str" cm="1">
        <f t="array" ref="X16">IFERROR(INDEX(_xlfn.UNIQUE(TRIM(_xlfn.TEXTSPLIT(Table2678[[#This Row],[Selection Options]:[Selection Options]],","))),,X$11),"")</f>
        <v/>
      </c>
      <c r="Y16" s="30" cm="1">
        <f t="array" ref="Y16">IF(Table2678[[#This Row],[1]]="","",Table2678[[#This Row],[Weight]:[Weight]]-(Table2678[[#This Row],[Weight]:[Weight]]*((_xlfn.XMATCH(Table2678[[#This Row],[1]],Table2678[[#This Row],[1]:[11]],0))-1)/(COUNTA(Table2678[[#This Row],[1]:[11]])-COUNTBLANK(Table2678[[#This Row],[1]:[11]])-1)))</f>
        <v>0</v>
      </c>
      <c r="Z16" s="30" cm="1">
        <f t="array" ref="Z16">IF(Table2678[[#This Row],[2]]="","",Table2678[[#This Row],[Weight]:[Weight]]-(Table2678[[#This Row],[Weight]:[Weight]]*((_xlfn.XMATCH(Table2678[[#This Row],[2]],Table2678[[#This Row],[1]:[11]],0))-1)/(COUNTA(Table2678[[#This Row],[1]:[11]])-COUNTBLANK(Table2678[[#This Row],[1]:[11]])-1)))</f>
        <v>0</v>
      </c>
      <c r="AA16" s="30" t="str" cm="1">
        <f t="array" ref="AA16">IF(Table2678[[#This Row],[3]]="","",Table2678[[#This Row],[Weight]:[Weight]]-(Table2678[[#This Row],[Weight]:[Weight]]*((_xlfn.XMATCH(Table2678[[#This Row],[3]],Table2678[[#This Row],[1]:[11]],0))-1)/(COUNTA(Table2678[[#This Row],[1]:[11]])-COUNTBLANK(Table2678[[#This Row],[1]:[11]])-1)))</f>
        <v/>
      </c>
      <c r="AB16" s="30" t="str" cm="1">
        <f t="array" ref="AB16">IF(Table2678[[#This Row],[4]]="","",Table2678[[#This Row],[Weight]:[Weight]]-(Table2678[[#This Row],[Weight]:[Weight]]*((_xlfn.XMATCH(Table2678[[#This Row],[4]],Table2678[[#This Row],[1]:[11]],0))-1)/(COUNTA(Table2678[[#This Row],[1]:[11]])-COUNTBLANK(Table2678[[#This Row],[1]:[11]])-1)))</f>
        <v/>
      </c>
      <c r="AC16" s="30" t="str" cm="1">
        <f t="array" ref="AC16">IF(Table2678[[#This Row],[5]]="","",Table2678[[#This Row],[Weight]:[Weight]]-(Table2678[[#This Row],[Weight]:[Weight]]*((_xlfn.XMATCH(Table2678[[#This Row],[5]],Table2678[[#This Row],[1]:[11]],0))-1)/(COUNTA(Table2678[[#This Row],[1]:[11]])-COUNTBLANK(Table2678[[#This Row],[1]:[11]])-1)))</f>
        <v/>
      </c>
      <c r="AD16" s="30" t="str" cm="1">
        <f t="array" ref="AD16">IF(Table2678[[#This Row],[6]]="","",Table2678[[#This Row],[Weight]:[Weight]]-(Table2678[[#This Row],[Weight]:[Weight]]*((_xlfn.XMATCH(Table2678[[#This Row],[6]],Table2678[[#This Row],[1]:[11]],0))-1)/(COUNTA(Table2678[[#This Row],[1]:[11]])-COUNTBLANK(Table2678[[#This Row],[1]:[11]])-1)))</f>
        <v/>
      </c>
      <c r="AE16" s="30" t="str" cm="1">
        <f t="array" ref="AE16">IF(Table2678[[#This Row],[7]]="","",Table2678[[#This Row],[Weight]:[Weight]]-(Table2678[[#This Row],[Weight]:[Weight]]*((_xlfn.XMATCH(Table2678[[#This Row],[7]],Table2678[[#This Row],[1]:[11]],0))-1)/(COUNTA(Table2678[[#This Row],[1]:[11]])-COUNTBLANK(Table2678[[#This Row],[1]:[11]])-1)))</f>
        <v/>
      </c>
      <c r="AF16" s="30" t="str" cm="1">
        <f t="array" ref="AF16">IF(Table2678[[#This Row],[8]]="","",Table2678[[#This Row],[Weight]:[Weight]]-(Table2678[[#This Row],[Weight]:[Weight]]*((_xlfn.XMATCH(Table2678[[#This Row],[8]],Table2678[[#This Row],[1]:[11]],0))-1)/(COUNTA(Table2678[[#This Row],[1]:[11]])-COUNTBLANK(Table2678[[#This Row],[1]:[11]])-1)))</f>
        <v/>
      </c>
      <c r="AG16" s="30" t="str" cm="1">
        <f t="array" ref="AG16">IF(Table2678[[#This Row],[9]]="","",Table2678[[#This Row],[Weight]:[Weight]]-(Table2678[[#This Row],[Weight]:[Weight]]*((_xlfn.XMATCH(Table2678[[#This Row],[9]],Table2678[[#This Row],[1]:[11]],0))-1)/(COUNTA(Table2678[[#This Row],[1]:[11]])-COUNTBLANK(Table2678[[#This Row],[1]:[11]])-1)))</f>
        <v/>
      </c>
      <c r="AH16" s="30" t="str" cm="1">
        <f t="array" ref="AH16">IF(Table2678[[#This Row],[10]]="","",Table2678[[#This Row],[Weight]:[Weight]]-(Table2678[[#This Row],[Weight]:[Weight]]*((_xlfn.XMATCH(Table2678[[#This Row],[10]],Table2678[[#This Row],[1]:[11]],0))-1)/(COUNTA(Table2678[[#This Row],[1]:[11]])-COUNTBLANK(Table2678[[#This Row],[1]:[11]])-1)))</f>
        <v/>
      </c>
      <c r="AI16" s="30" t="str" cm="1">
        <f t="array" ref="AI16">IF(Table2678[[#This Row],[11]]="","",Table2678[[#This Row],[Weight]:[Weight]]-(Table2678[[#This Row],[Weight]:[Weight]]*((_xlfn.XMATCH(Table2678[[#This Row],[11]],Table2678[[#This Row],[1]:[11]],0))-1)/(COUNTA(Table2678[[#This Row],[1]:[11]])-COUNTBLANK(Table2678[[#This Row],[1]:[11]])-1)))</f>
        <v/>
      </c>
    </row>
    <row r="17" spans="1:35" ht="57.5" x14ac:dyDescent="0.25">
      <c r="A17" s="20"/>
      <c r="B17" s="31"/>
      <c r="C17" s="31"/>
      <c r="D17" s="31"/>
      <c r="E17" s="31"/>
      <c r="F17" s="22" t="s">
        <v>56</v>
      </c>
      <c r="G17" s="23" cm="1">
        <f t="array" ref="G17">_xlfn.IFS(F17="","",F17="No interest",0,F17="Nice to have",1,F17="Useful",2,F17="Important",3,F17="Very important",4,F17="Critical",5,F17="Show stopper",6)</f>
        <v>3</v>
      </c>
      <c r="H17" s="24">
        <f>(G17/$G$11)*$F$11</f>
        <v>0</v>
      </c>
      <c r="I17" s="25" t="s">
        <v>162</v>
      </c>
      <c r="J17" s="37" t="str" cm="1">
        <f t="array" ref="J17">_xlfn.TEXTJOIN(","&amp;CHAR(10),,TEXT(Table2678[[#This Row],[12]:[22]],"0,00%"))</f>
        <v>0,00%,
0,00%,
0,00%,
0,00%,
0,00%</v>
      </c>
      <c r="K17" s="26" t="s">
        <v>34</v>
      </c>
      <c r="L17" s="27">
        <f>H17-(H17*((MATCH(Table2678[[#This Row],[Evaluators Response (SELECT)]],Table2678[[#This Row],[1]:[11]],0)-1)/(COUNTA(Table2678[[#This Row],[1]:[11]])-COUNTBLANK(Table2678[[#This Row],[1]:[11]])-1)))</f>
        <v>0</v>
      </c>
      <c r="M17" s="28"/>
      <c r="N17" s="29" t="str" cm="1">
        <f t="array" ref="N17">IFERROR(INDEX(_xlfn.UNIQUE(TRIM(_xlfn.TEXTSPLIT(Table2678[[#This Row],[Selection Options]:[Selection Options]],","))),,N$11),"")</f>
        <v>5</v>
      </c>
      <c r="O17" s="29" t="str" cm="1">
        <f t="array" ref="O17">IFERROR(INDEX(_xlfn.UNIQUE(TRIM(_xlfn.TEXTSPLIT(Table2678[[#This Row],[Selection Options]:[Selection Options]],","))),,O$11),"")</f>
        <v>4</v>
      </c>
      <c r="P17" s="29" t="str" cm="1">
        <f t="array" ref="P17">IFERROR(INDEX(_xlfn.UNIQUE(TRIM(_xlfn.TEXTSPLIT(Table2678[[#This Row],[Selection Options]:[Selection Options]],","))),,P$11),"")</f>
        <v>3</v>
      </c>
      <c r="Q17" s="29" t="str" cm="1">
        <f t="array" ref="Q17">IFERROR(INDEX(_xlfn.UNIQUE(TRIM(_xlfn.TEXTSPLIT(Table2678[[#This Row],[Selection Options]:[Selection Options]],","))),,Q$11),"")</f>
        <v>2</v>
      </c>
      <c r="R17" s="29" t="str" cm="1">
        <f t="array" ref="R17">IFERROR(INDEX(_xlfn.UNIQUE(TRIM(_xlfn.TEXTSPLIT(Table2678[[#This Row],[Selection Options]:[Selection Options]],","))),,R$11),"")</f>
        <v>1</v>
      </c>
      <c r="S17" s="29" t="str" cm="1">
        <f t="array" ref="S17">IFERROR(INDEX(_xlfn.UNIQUE(TRIM(_xlfn.TEXTSPLIT(Table2678[[#This Row],[Selection Options]:[Selection Options]],","))),,S$11),"")</f>
        <v/>
      </c>
      <c r="T17" s="29" t="str" cm="1">
        <f t="array" ref="T17">IFERROR(INDEX(_xlfn.UNIQUE(TRIM(_xlfn.TEXTSPLIT(Table2678[[#This Row],[Selection Options]:[Selection Options]],","))),,T$11),"")</f>
        <v/>
      </c>
      <c r="U17" s="29" t="str" cm="1">
        <f t="array" ref="U17">IFERROR(INDEX(_xlfn.UNIQUE(TRIM(_xlfn.TEXTSPLIT(Table2678[[#This Row],[Selection Options]:[Selection Options]],","))),,U$11),"")</f>
        <v/>
      </c>
      <c r="V17" s="29" t="str" cm="1">
        <f t="array" ref="V17">IFERROR(INDEX(_xlfn.UNIQUE(TRIM(_xlfn.TEXTSPLIT(Table2678[[#This Row],[Selection Options]:[Selection Options]],","))),,V$11),"")</f>
        <v/>
      </c>
      <c r="W17" s="29" t="str" cm="1">
        <f t="array" ref="W17">IFERROR(INDEX(_xlfn.UNIQUE(TRIM(_xlfn.TEXTSPLIT(Table2678[[#This Row],[Selection Options]:[Selection Options]],","))),,W$11),"")</f>
        <v/>
      </c>
      <c r="X17" s="29" t="str" cm="1">
        <f t="array" ref="X17">IFERROR(INDEX(_xlfn.UNIQUE(TRIM(_xlfn.TEXTSPLIT(Table2678[[#This Row],[Selection Options]:[Selection Options]],","))),,X$11),"")</f>
        <v/>
      </c>
      <c r="Y17" s="30" cm="1">
        <f t="array" ref="Y17">IF(Table2678[[#This Row],[1]]="","",Table2678[[#This Row],[Weight]:[Weight]]-(Table2678[[#This Row],[Weight]:[Weight]]*((_xlfn.XMATCH(Table2678[[#This Row],[1]],Table2678[[#This Row],[1]:[11]],0))-1)/(COUNTA(Table2678[[#This Row],[1]:[11]])-COUNTBLANK(Table2678[[#This Row],[1]:[11]])-1)))</f>
        <v>0</v>
      </c>
      <c r="Z17" s="30" cm="1">
        <f t="array" ref="Z17">IF(Table2678[[#This Row],[2]]="","",Table2678[[#This Row],[Weight]:[Weight]]-(Table2678[[#This Row],[Weight]:[Weight]]*((_xlfn.XMATCH(Table2678[[#This Row],[2]],Table2678[[#This Row],[1]:[11]],0))-1)/(COUNTA(Table2678[[#This Row],[1]:[11]])-COUNTBLANK(Table2678[[#This Row],[1]:[11]])-1)))</f>
        <v>0</v>
      </c>
      <c r="AA17" s="30" cm="1">
        <f t="array" ref="AA17">IF(Table2678[[#This Row],[3]]="","",Table2678[[#This Row],[Weight]:[Weight]]-(Table2678[[#This Row],[Weight]:[Weight]]*((_xlfn.XMATCH(Table2678[[#This Row],[3]],Table2678[[#This Row],[1]:[11]],0))-1)/(COUNTA(Table2678[[#This Row],[1]:[11]])-COUNTBLANK(Table2678[[#This Row],[1]:[11]])-1)))</f>
        <v>0</v>
      </c>
      <c r="AB17" s="30" cm="1">
        <f t="array" ref="AB17">IF(Table2678[[#This Row],[4]]="","",Table2678[[#This Row],[Weight]:[Weight]]-(Table2678[[#This Row],[Weight]:[Weight]]*((_xlfn.XMATCH(Table2678[[#This Row],[4]],Table2678[[#This Row],[1]:[11]],0))-1)/(COUNTA(Table2678[[#This Row],[1]:[11]])-COUNTBLANK(Table2678[[#This Row],[1]:[11]])-1)))</f>
        <v>0</v>
      </c>
      <c r="AC17" s="30" cm="1">
        <f t="array" ref="AC17">IF(Table2678[[#This Row],[5]]="","",Table2678[[#This Row],[Weight]:[Weight]]-(Table2678[[#This Row],[Weight]:[Weight]]*((_xlfn.XMATCH(Table2678[[#This Row],[5]],Table2678[[#This Row],[1]:[11]],0))-1)/(COUNTA(Table2678[[#This Row],[1]:[11]])-COUNTBLANK(Table2678[[#This Row],[1]:[11]])-1)))</f>
        <v>0</v>
      </c>
      <c r="AD17" s="30" t="str" cm="1">
        <f t="array" ref="AD17">IF(Table2678[[#This Row],[6]]="","",Table2678[[#This Row],[Weight]:[Weight]]-(Table2678[[#This Row],[Weight]:[Weight]]*((_xlfn.XMATCH(Table2678[[#This Row],[6]],Table2678[[#This Row],[1]:[11]],0))-1)/(COUNTA(Table2678[[#This Row],[1]:[11]])-COUNTBLANK(Table2678[[#This Row],[1]:[11]])-1)))</f>
        <v/>
      </c>
      <c r="AE17" s="30" t="str" cm="1">
        <f t="array" ref="AE17">IF(Table2678[[#This Row],[7]]="","",Table2678[[#This Row],[Weight]:[Weight]]-(Table2678[[#This Row],[Weight]:[Weight]]*((_xlfn.XMATCH(Table2678[[#This Row],[7]],Table2678[[#This Row],[1]:[11]],0))-1)/(COUNTA(Table2678[[#This Row],[1]:[11]])-COUNTBLANK(Table2678[[#This Row],[1]:[11]])-1)))</f>
        <v/>
      </c>
      <c r="AF17" s="30" t="str" cm="1">
        <f t="array" ref="AF17">IF(Table2678[[#This Row],[8]]="","",Table2678[[#This Row],[Weight]:[Weight]]-(Table2678[[#This Row],[Weight]:[Weight]]*((_xlfn.XMATCH(Table2678[[#This Row],[8]],Table2678[[#This Row],[1]:[11]],0))-1)/(COUNTA(Table2678[[#This Row],[1]:[11]])-COUNTBLANK(Table2678[[#This Row],[1]:[11]])-1)))</f>
        <v/>
      </c>
      <c r="AG17" s="30" t="str" cm="1">
        <f t="array" ref="AG17">IF(Table2678[[#This Row],[9]]="","",Table2678[[#This Row],[Weight]:[Weight]]-(Table2678[[#This Row],[Weight]:[Weight]]*((_xlfn.XMATCH(Table2678[[#This Row],[9]],Table2678[[#This Row],[1]:[11]],0))-1)/(COUNTA(Table2678[[#This Row],[1]:[11]])-COUNTBLANK(Table2678[[#This Row],[1]:[11]])-1)))</f>
        <v/>
      </c>
      <c r="AH17" s="30" t="str" cm="1">
        <f t="array" ref="AH17">IF(Table2678[[#This Row],[10]]="","",Table2678[[#This Row],[Weight]:[Weight]]-(Table2678[[#This Row],[Weight]:[Weight]]*((_xlfn.XMATCH(Table2678[[#This Row],[10]],Table2678[[#This Row],[1]:[11]],0))-1)/(COUNTA(Table2678[[#This Row],[1]:[11]])-COUNTBLANK(Table2678[[#This Row],[1]:[11]])-1)))</f>
        <v/>
      </c>
      <c r="AI17" s="30" t="str" cm="1">
        <f t="array" ref="AI17">IF(Table2678[[#This Row],[11]]="","",Table2678[[#This Row],[Weight]:[Weight]]-(Table2678[[#This Row],[Weight]:[Weight]]*((_xlfn.XMATCH(Table2678[[#This Row],[11]],Table2678[[#This Row],[1]:[11]],0))-1)/(COUNTA(Table2678[[#This Row],[1]:[11]])-COUNTBLANK(Table2678[[#This Row],[1]:[11]])-1)))</f>
        <v/>
      </c>
    </row>
    <row r="18" spans="1:35" ht="57.5" x14ac:dyDescent="0.25">
      <c r="A18" s="32">
        <v>4</v>
      </c>
      <c r="B18" s="33"/>
      <c r="C18" s="33"/>
      <c r="D18" s="33"/>
      <c r="E18" s="33"/>
      <c r="F18" s="34" t="s">
        <v>60</v>
      </c>
      <c r="G18" s="35" cm="1">
        <f t="array" ref="G18">_xlfn.IFS(F18="","",F18="No interest",0,F18="Nice to have",1,F18="Useful",2,F18="Important",3,F18="Very important",4,F18="Critical",5,F18="Show stopper",6)</f>
        <v>6</v>
      </c>
      <c r="H18" s="36">
        <f t="shared" ref="H18:H31" si="1">(G18/$G$11)*$F$11</f>
        <v>0</v>
      </c>
      <c r="I18" s="37" t="s">
        <v>163</v>
      </c>
      <c r="J18" s="37" t="str" cm="1">
        <f t="array" ref="J18">_xlfn.TEXTJOIN(","&amp;CHAR(10),,TEXT(Table2678[[#This Row],[12]:[22]],"0,00%"))</f>
        <v>0,00%,
0,00%,
0,00%,
0,00%,
0,00%</v>
      </c>
      <c r="K18" s="38" t="s">
        <v>164</v>
      </c>
      <c r="L18" s="39">
        <f>H18-(H18*((MATCH(Table2678[[#This Row],[Evaluators Response (SELECT)]],Table2678[[#This Row],[1]:[11]],0)-1)/(COUNTA(Table2678[[#This Row],[1]:[11]])-COUNTBLANK(Table2678[[#This Row],[1]:[11]])-1)))</f>
        <v>0</v>
      </c>
      <c r="M18" s="40"/>
      <c r="N18" s="29" t="str" cm="1">
        <f t="array" ref="N18">IFERROR(INDEX(_xlfn.UNIQUE(TRIM(_xlfn.TEXTSPLIT(Table2678[[#This Row],[Selection Options]:[Selection Options]],","))),,N$11),"")</f>
        <v>op1</v>
      </c>
      <c r="O18" s="29" t="str" cm="1">
        <f t="array" ref="O18">IFERROR(INDEX(_xlfn.UNIQUE(TRIM(_xlfn.TEXTSPLIT(Table2678[[#This Row],[Selection Options]:[Selection Options]],","))),,O$11),"")</f>
        <v xml:space="preserve">
op2</v>
      </c>
      <c r="P18" s="29" t="str" cm="1">
        <f t="array" ref="P18">IFERROR(INDEX(_xlfn.UNIQUE(TRIM(_xlfn.TEXTSPLIT(Table2678[[#This Row],[Selection Options]:[Selection Options]],","))),,P$11),"")</f>
        <v xml:space="preserve">
op3</v>
      </c>
      <c r="Q18" s="29" t="str" cm="1">
        <f t="array" ref="Q18">IFERROR(INDEX(_xlfn.UNIQUE(TRIM(_xlfn.TEXTSPLIT(Table2678[[#This Row],[Selection Options]:[Selection Options]],","))),,Q$11),"")</f>
        <v xml:space="preserve">
op4</v>
      </c>
      <c r="R18" s="29" t="str" cm="1">
        <f t="array" ref="R18">IFERROR(INDEX(_xlfn.UNIQUE(TRIM(_xlfn.TEXTSPLIT(Table2678[[#This Row],[Selection Options]:[Selection Options]],","))),,R$11),"")</f>
        <v xml:space="preserve">
op5</v>
      </c>
      <c r="S18" s="29" t="str" cm="1">
        <f t="array" ref="S18">IFERROR(INDEX(_xlfn.UNIQUE(TRIM(_xlfn.TEXTSPLIT(Table2678[[#This Row],[Selection Options]:[Selection Options]],","))),,S$11),"")</f>
        <v/>
      </c>
      <c r="T18" s="29" t="str" cm="1">
        <f t="array" ref="T18">IFERROR(INDEX(_xlfn.UNIQUE(TRIM(_xlfn.TEXTSPLIT(Table2678[[#This Row],[Selection Options]:[Selection Options]],","))),,T$11),"")</f>
        <v/>
      </c>
      <c r="U18" s="29" t="str" cm="1">
        <f t="array" ref="U18">IFERROR(INDEX(_xlfn.UNIQUE(TRIM(_xlfn.TEXTSPLIT(Table2678[[#This Row],[Selection Options]:[Selection Options]],","))),,U$11),"")</f>
        <v/>
      </c>
      <c r="V18" s="29" t="str" cm="1">
        <f t="array" ref="V18">IFERROR(INDEX(_xlfn.UNIQUE(TRIM(_xlfn.TEXTSPLIT(Table2678[[#This Row],[Selection Options]:[Selection Options]],","))),,V$11),"")</f>
        <v/>
      </c>
      <c r="W18" s="29" t="str" cm="1">
        <f t="array" ref="W18">IFERROR(INDEX(_xlfn.UNIQUE(TRIM(_xlfn.TEXTSPLIT(Table2678[[#This Row],[Selection Options]:[Selection Options]],","))),,W$11),"")</f>
        <v/>
      </c>
      <c r="X18" s="29" t="str" cm="1">
        <f t="array" ref="X18">IFERROR(INDEX(_xlfn.UNIQUE(TRIM(_xlfn.TEXTSPLIT(Table2678[[#This Row],[Selection Options]:[Selection Options]],","))),,X$11),"")</f>
        <v/>
      </c>
      <c r="Y18" s="30" cm="1">
        <f t="array" ref="Y18">IF(Table2678[[#This Row],[1]]="","",Table2678[[#This Row],[Weight]:[Weight]]-(Table2678[[#This Row],[Weight]:[Weight]]*((_xlfn.XMATCH(Table2678[[#This Row],[1]],Table2678[[#This Row],[1]:[11]],0))-1)/(COUNTA(Table2678[[#This Row],[1]:[11]])-COUNTBLANK(Table2678[[#This Row],[1]:[11]])-1)))</f>
        <v>0</v>
      </c>
      <c r="Z18" s="30" cm="1">
        <f t="array" ref="Z18">IF(Table2678[[#This Row],[2]]="","",Table2678[[#This Row],[Weight]:[Weight]]-(Table2678[[#This Row],[Weight]:[Weight]]*((_xlfn.XMATCH(Table2678[[#This Row],[2]],Table2678[[#This Row],[1]:[11]],0))-1)/(COUNTA(Table2678[[#This Row],[1]:[11]])-COUNTBLANK(Table2678[[#This Row],[1]:[11]])-1)))</f>
        <v>0</v>
      </c>
      <c r="AA18" s="30" cm="1">
        <f t="array" ref="AA18">IF(Table2678[[#This Row],[3]]="","",Table2678[[#This Row],[Weight]:[Weight]]-(Table2678[[#This Row],[Weight]:[Weight]]*((_xlfn.XMATCH(Table2678[[#This Row],[3]],Table2678[[#This Row],[1]:[11]],0))-1)/(COUNTA(Table2678[[#This Row],[1]:[11]])-COUNTBLANK(Table2678[[#This Row],[1]:[11]])-1)))</f>
        <v>0</v>
      </c>
      <c r="AB18" s="30" cm="1">
        <f t="array" ref="AB18">IF(Table2678[[#This Row],[4]]="","",Table2678[[#This Row],[Weight]:[Weight]]-(Table2678[[#This Row],[Weight]:[Weight]]*((_xlfn.XMATCH(Table2678[[#This Row],[4]],Table2678[[#This Row],[1]:[11]],0))-1)/(COUNTA(Table2678[[#This Row],[1]:[11]])-COUNTBLANK(Table2678[[#This Row],[1]:[11]])-1)))</f>
        <v>0</v>
      </c>
      <c r="AC18" s="30" cm="1">
        <f t="array" ref="AC18">IF(Table2678[[#This Row],[5]]="","",Table2678[[#This Row],[Weight]:[Weight]]-(Table2678[[#This Row],[Weight]:[Weight]]*((_xlfn.XMATCH(Table2678[[#This Row],[5]],Table2678[[#This Row],[1]:[11]],0))-1)/(COUNTA(Table2678[[#This Row],[1]:[11]])-COUNTBLANK(Table2678[[#This Row],[1]:[11]])-1)))</f>
        <v>0</v>
      </c>
      <c r="AD18" s="30" t="str" cm="1">
        <f t="array" ref="AD18">IF(Table2678[[#This Row],[6]]="","",Table2678[[#This Row],[Weight]:[Weight]]-(Table2678[[#This Row],[Weight]:[Weight]]*((_xlfn.XMATCH(Table2678[[#This Row],[6]],Table2678[[#This Row],[1]:[11]],0))-1)/(COUNTA(Table2678[[#This Row],[1]:[11]])-COUNTBLANK(Table2678[[#This Row],[1]:[11]])-1)))</f>
        <v/>
      </c>
      <c r="AE18" s="30" t="str" cm="1">
        <f t="array" ref="AE18">IF(Table2678[[#This Row],[7]]="","",Table2678[[#This Row],[Weight]:[Weight]]-(Table2678[[#This Row],[Weight]:[Weight]]*((_xlfn.XMATCH(Table2678[[#This Row],[7]],Table2678[[#This Row],[1]:[11]],0))-1)/(COUNTA(Table2678[[#This Row],[1]:[11]])-COUNTBLANK(Table2678[[#This Row],[1]:[11]])-1)))</f>
        <v/>
      </c>
      <c r="AF18" s="30" t="str" cm="1">
        <f t="array" ref="AF18">IF(Table2678[[#This Row],[8]]="","",Table2678[[#This Row],[Weight]:[Weight]]-(Table2678[[#This Row],[Weight]:[Weight]]*((_xlfn.XMATCH(Table2678[[#This Row],[8]],Table2678[[#This Row],[1]:[11]],0))-1)/(COUNTA(Table2678[[#This Row],[1]:[11]])-COUNTBLANK(Table2678[[#This Row],[1]:[11]])-1)))</f>
        <v/>
      </c>
      <c r="AG18" s="30" t="str" cm="1">
        <f t="array" ref="AG18">IF(Table2678[[#This Row],[9]]="","",Table2678[[#This Row],[Weight]:[Weight]]-(Table2678[[#This Row],[Weight]:[Weight]]*((_xlfn.XMATCH(Table2678[[#This Row],[9]],Table2678[[#This Row],[1]:[11]],0))-1)/(COUNTA(Table2678[[#This Row],[1]:[11]])-COUNTBLANK(Table2678[[#This Row],[1]:[11]])-1)))</f>
        <v/>
      </c>
      <c r="AH18" s="30" t="str" cm="1">
        <f t="array" ref="AH18">IF(Table2678[[#This Row],[10]]="","",Table2678[[#This Row],[Weight]:[Weight]]-(Table2678[[#This Row],[Weight]:[Weight]]*((_xlfn.XMATCH(Table2678[[#This Row],[10]],Table2678[[#This Row],[1]:[11]],0))-1)/(COUNTA(Table2678[[#This Row],[1]:[11]])-COUNTBLANK(Table2678[[#This Row],[1]:[11]])-1)))</f>
        <v/>
      </c>
      <c r="AI18" s="30" t="str" cm="1">
        <f t="array" ref="AI18">IF(Table2678[[#This Row],[11]]="","",Table2678[[#This Row],[Weight]:[Weight]]-(Table2678[[#This Row],[Weight]:[Weight]]*((_xlfn.XMATCH(Table2678[[#This Row],[11]],Table2678[[#This Row],[1]:[11]],0))-1)/(COUNTA(Table2678[[#This Row],[1]:[11]])-COUNTBLANK(Table2678[[#This Row],[1]:[11]])-1)))</f>
        <v/>
      </c>
    </row>
    <row r="19" spans="1:35" ht="46" x14ac:dyDescent="0.25">
      <c r="A19" s="32">
        <v>5</v>
      </c>
      <c r="B19" s="33"/>
      <c r="C19" s="33"/>
      <c r="D19" s="33"/>
      <c r="E19" s="33"/>
      <c r="F19" s="34" t="s">
        <v>165</v>
      </c>
      <c r="G19" s="35" cm="1">
        <f t="array" ref="G19">_xlfn.IFS(F19="","",F19="No interest",0,F19="Nice to have",1,F19="Useful",2,F19="Important",3,F19="Very important",4,F19="Critical",5,F19="Show stopper",6)</f>
        <v>4</v>
      </c>
      <c r="H19" s="36">
        <f t="shared" si="1"/>
        <v>0</v>
      </c>
      <c r="I19" s="37" t="s">
        <v>166</v>
      </c>
      <c r="J19" s="37" t="str" cm="1">
        <f t="array" ref="J19">_xlfn.TEXTJOIN(","&amp;CHAR(10),,TEXT(Table2678[[#This Row],[12]:[22]],"0,00%"))</f>
        <v>0,00%,
0,00%,
0,00%,
0,00%</v>
      </c>
      <c r="K19" s="38" t="s">
        <v>167</v>
      </c>
      <c r="L19" s="39">
        <f>H19-(H19*((MATCH(Table2678[[#This Row],[Evaluators Response (SELECT)]],Table2678[[#This Row],[1]:[11]],0)-1)/(COUNTA(Table2678[[#This Row],[1]:[11]])-COUNTBLANK(Table2678[[#This Row],[1]:[11]])-1)))</f>
        <v>0</v>
      </c>
      <c r="M19" s="40"/>
      <c r="N19" s="29" t="str" cm="1">
        <f t="array" ref="N19">IFERROR(INDEX(_xlfn.UNIQUE(TRIM(_xlfn.TEXTSPLIT(Table2678[[#This Row],[Selection Options]:[Selection Options]],","))),,N$11),"")</f>
        <v>A</v>
      </c>
      <c r="O19" s="29" t="str" cm="1">
        <f t="array" ref="O19">IFERROR(INDEX(_xlfn.UNIQUE(TRIM(_xlfn.TEXTSPLIT(Table2678[[#This Row],[Selection Options]:[Selection Options]],","))),,O$11),"")</f>
        <v xml:space="preserve">
B</v>
      </c>
      <c r="P19" s="29" t="str" cm="1">
        <f t="array" ref="P19">IFERROR(INDEX(_xlfn.UNIQUE(TRIM(_xlfn.TEXTSPLIT(Table2678[[#This Row],[Selection Options]:[Selection Options]],","))),,P$11),"")</f>
        <v xml:space="preserve">
C</v>
      </c>
      <c r="Q19" s="29" t="str" cm="1">
        <f t="array" ref="Q19">IFERROR(INDEX(_xlfn.UNIQUE(TRIM(_xlfn.TEXTSPLIT(Table2678[[#This Row],[Selection Options]:[Selection Options]],","))),,Q$11),"")</f>
        <v xml:space="preserve">
D</v>
      </c>
      <c r="R19" s="29" t="str" cm="1">
        <f t="array" ref="R19">IFERROR(INDEX(_xlfn.UNIQUE(TRIM(_xlfn.TEXTSPLIT(Table2678[[#This Row],[Selection Options]:[Selection Options]],","))),,R$11),"")</f>
        <v/>
      </c>
      <c r="S19" s="29" t="str" cm="1">
        <f t="array" ref="S19">IFERROR(INDEX(_xlfn.UNIQUE(TRIM(_xlfn.TEXTSPLIT(Table2678[[#This Row],[Selection Options]:[Selection Options]],","))),,S$11),"")</f>
        <v/>
      </c>
      <c r="T19" s="29" t="str" cm="1">
        <f t="array" ref="T19">IFERROR(INDEX(_xlfn.UNIQUE(TRIM(_xlfn.TEXTSPLIT(Table2678[[#This Row],[Selection Options]:[Selection Options]],","))),,T$11),"")</f>
        <v/>
      </c>
      <c r="U19" s="29" t="str" cm="1">
        <f t="array" ref="U19">IFERROR(INDEX(_xlfn.UNIQUE(TRIM(_xlfn.TEXTSPLIT(Table2678[[#This Row],[Selection Options]:[Selection Options]],","))),,U$11),"")</f>
        <v/>
      </c>
      <c r="V19" s="29" t="str" cm="1">
        <f t="array" ref="V19">IFERROR(INDEX(_xlfn.UNIQUE(TRIM(_xlfn.TEXTSPLIT(Table2678[[#This Row],[Selection Options]:[Selection Options]],","))),,V$11),"")</f>
        <v/>
      </c>
      <c r="W19" s="29" t="str" cm="1">
        <f t="array" ref="W19">IFERROR(INDEX(_xlfn.UNIQUE(TRIM(_xlfn.TEXTSPLIT(Table2678[[#This Row],[Selection Options]:[Selection Options]],","))),,W$11),"")</f>
        <v/>
      </c>
      <c r="X19" s="29" t="str" cm="1">
        <f t="array" ref="X19">IFERROR(INDEX(_xlfn.UNIQUE(TRIM(_xlfn.TEXTSPLIT(Table2678[[#This Row],[Selection Options]:[Selection Options]],","))),,X$11),"")</f>
        <v/>
      </c>
      <c r="Y19" s="30" cm="1">
        <f t="array" ref="Y19">IF(Table2678[[#This Row],[1]]="","",Table2678[[#This Row],[Weight]:[Weight]]-(Table2678[[#This Row],[Weight]:[Weight]]*((_xlfn.XMATCH(Table2678[[#This Row],[1]],Table2678[[#This Row],[1]:[11]],0))-1)/(COUNTA(Table2678[[#This Row],[1]:[11]])-COUNTBLANK(Table2678[[#This Row],[1]:[11]])-1)))</f>
        <v>0</v>
      </c>
      <c r="Z19" s="30" cm="1">
        <f t="array" ref="Z19">IF(Table2678[[#This Row],[2]]="","",Table2678[[#This Row],[Weight]:[Weight]]-(Table2678[[#This Row],[Weight]:[Weight]]*((_xlfn.XMATCH(Table2678[[#This Row],[2]],Table2678[[#This Row],[1]:[11]],0))-1)/(COUNTA(Table2678[[#This Row],[1]:[11]])-COUNTBLANK(Table2678[[#This Row],[1]:[11]])-1)))</f>
        <v>0</v>
      </c>
      <c r="AA19" s="30" cm="1">
        <f t="array" ref="AA19">IF(Table2678[[#This Row],[3]]="","",Table2678[[#This Row],[Weight]:[Weight]]-(Table2678[[#This Row],[Weight]:[Weight]]*((_xlfn.XMATCH(Table2678[[#This Row],[3]],Table2678[[#This Row],[1]:[11]],0))-1)/(COUNTA(Table2678[[#This Row],[1]:[11]])-COUNTBLANK(Table2678[[#This Row],[1]:[11]])-1)))</f>
        <v>0</v>
      </c>
      <c r="AB19" s="30" cm="1">
        <f t="array" ref="AB19">IF(Table2678[[#This Row],[4]]="","",Table2678[[#This Row],[Weight]:[Weight]]-(Table2678[[#This Row],[Weight]:[Weight]]*((_xlfn.XMATCH(Table2678[[#This Row],[4]],Table2678[[#This Row],[1]:[11]],0))-1)/(COUNTA(Table2678[[#This Row],[1]:[11]])-COUNTBLANK(Table2678[[#This Row],[1]:[11]])-1)))</f>
        <v>0</v>
      </c>
      <c r="AC19" s="30" t="str" cm="1">
        <f t="array" ref="AC19">IF(Table2678[[#This Row],[5]]="","",Table2678[[#This Row],[Weight]:[Weight]]-(Table2678[[#This Row],[Weight]:[Weight]]*((_xlfn.XMATCH(Table2678[[#This Row],[5]],Table2678[[#This Row],[1]:[11]],0))-1)/(COUNTA(Table2678[[#This Row],[1]:[11]])-COUNTBLANK(Table2678[[#This Row],[1]:[11]])-1)))</f>
        <v/>
      </c>
      <c r="AD19" s="30" t="str" cm="1">
        <f t="array" ref="AD19">IF(Table2678[[#This Row],[6]]="","",Table2678[[#This Row],[Weight]:[Weight]]-(Table2678[[#This Row],[Weight]:[Weight]]*((_xlfn.XMATCH(Table2678[[#This Row],[6]],Table2678[[#This Row],[1]:[11]],0))-1)/(COUNTA(Table2678[[#This Row],[1]:[11]])-COUNTBLANK(Table2678[[#This Row],[1]:[11]])-1)))</f>
        <v/>
      </c>
      <c r="AE19" s="30" t="str" cm="1">
        <f t="array" ref="AE19">IF(Table2678[[#This Row],[7]]="","",Table2678[[#This Row],[Weight]:[Weight]]-(Table2678[[#This Row],[Weight]:[Weight]]*((_xlfn.XMATCH(Table2678[[#This Row],[7]],Table2678[[#This Row],[1]:[11]],0))-1)/(COUNTA(Table2678[[#This Row],[1]:[11]])-COUNTBLANK(Table2678[[#This Row],[1]:[11]])-1)))</f>
        <v/>
      </c>
      <c r="AF19" s="30" t="str" cm="1">
        <f t="array" ref="AF19">IF(Table2678[[#This Row],[8]]="","",Table2678[[#This Row],[Weight]:[Weight]]-(Table2678[[#This Row],[Weight]:[Weight]]*((_xlfn.XMATCH(Table2678[[#This Row],[8]],Table2678[[#This Row],[1]:[11]],0))-1)/(COUNTA(Table2678[[#This Row],[1]:[11]])-COUNTBLANK(Table2678[[#This Row],[1]:[11]])-1)))</f>
        <v/>
      </c>
      <c r="AG19" s="30" t="str" cm="1">
        <f t="array" ref="AG19">IF(Table2678[[#This Row],[9]]="","",Table2678[[#This Row],[Weight]:[Weight]]-(Table2678[[#This Row],[Weight]:[Weight]]*((_xlfn.XMATCH(Table2678[[#This Row],[9]],Table2678[[#This Row],[1]:[11]],0))-1)/(COUNTA(Table2678[[#This Row],[1]:[11]])-COUNTBLANK(Table2678[[#This Row],[1]:[11]])-1)))</f>
        <v/>
      </c>
      <c r="AH19" s="30" t="str" cm="1">
        <f t="array" ref="AH19">IF(Table2678[[#This Row],[10]]="","",Table2678[[#This Row],[Weight]:[Weight]]-(Table2678[[#This Row],[Weight]:[Weight]]*((_xlfn.XMATCH(Table2678[[#This Row],[10]],Table2678[[#This Row],[1]:[11]],0))-1)/(COUNTA(Table2678[[#This Row],[1]:[11]])-COUNTBLANK(Table2678[[#This Row],[1]:[11]])-1)))</f>
        <v/>
      </c>
      <c r="AI19" s="30" t="str" cm="1">
        <f t="array" ref="AI19">IF(Table2678[[#This Row],[11]]="","",Table2678[[#This Row],[Weight]:[Weight]]-(Table2678[[#This Row],[Weight]:[Weight]]*((_xlfn.XMATCH(Table2678[[#This Row],[11]],Table2678[[#This Row],[1]:[11]],0))-1)/(COUNTA(Table2678[[#This Row],[1]:[11]])-COUNTBLANK(Table2678[[#This Row],[1]:[11]])-1)))</f>
        <v/>
      </c>
    </row>
    <row r="20" spans="1:35" ht="23" x14ac:dyDescent="0.25">
      <c r="A20" s="32">
        <v>6</v>
      </c>
      <c r="B20" s="33"/>
      <c r="C20" s="33"/>
      <c r="D20" s="33"/>
      <c r="E20" s="33"/>
      <c r="F20" s="34" t="s">
        <v>114</v>
      </c>
      <c r="G20" s="35" cm="1">
        <f t="array" ref="G20">_xlfn.IFS(F20="","",F20="No interest",0,F20="Nice to have",1,F20="Useful",2,F20="Important",3,F20="Very important",4,F20="Critical",5,F20="Show stopper",6)</f>
        <v>5</v>
      </c>
      <c r="H20" s="36">
        <f t="shared" si="1"/>
        <v>0</v>
      </c>
      <c r="I20" s="37" t="s">
        <v>135</v>
      </c>
      <c r="J20" s="37" t="str" cm="1">
        <f t="array" ref="J20">_xlfn.TEXTJOIN(","&amp;CHAR(10),,TEXT(Table2678[[#This Row],[12]:[22]],"0,00%"))</f>
        <v>0,00%,
0,00%</v>
      </c>
      <c r="K20" s="38" t="s">
        <v>120</v>
      </c>
      <c r="L20" s="39">
        <f>H20-(H20*((MATCH(Table2678[[#This Row],[Evaluators Response (SELECT)]],Table2678[[#This Row],[1]:[11]],0)-1)/(COUNTA(Table2678[[#This Row],[1]:[11]])-COUNTBLANK(Table2678[[#This Row],[1]:[11]])-1)))</f>
        <v>0</v>
      </c>
      <c r="M20" s="40"/>
      <c r="N20" s="29" t="str" cm="1">
        <f t="array" ref="N20">IFERROR(INDEX(_xlfn.UNIQUE(TRIM(_xlfn.TEXTSPLIT(Table2678[[#This Row],[Selection Options]:[Selection Options]],","))),,N$11),"")</f>
        <v>Yes</v>
      </c>
      <c r="O20" s="29" t="str" cm="1">
        <f t="array" ref="O20">IFERROR(INDEX(_xlfn.UNIQUE(TRIM(_xlfn.TEXTSPLIT(Table2678[[#This Row],[Selection Options]:[Selection Options]],","))),,O$11),"")</f>
        <v xml:space="preserve">
No</v>
      </c>
      <c r="P20" s="29" t="str" cm="1">
        <f t="array" ref="P20">IFERROR(INDEX(_xlfn.UNIQUE(TRIM(_xlfn.TEXTSPLIT(Table2678[[#This Row],[Selection Options]:[Selection Options]],","))),,P$11),"")</f>
        <v/>
      </c>
      <c r="Q20" s="29" t="str" cm="1">
        <f t="array" ref="Q20">IFERROR(INDEX(_xlfn.UNIQUE(TRIM(_xlfn.TEXTSPLIT(Table2678[[#This Row],[Selection Options]:[Selection Options]],","))),,Q$11),"")</f>
        <v/>
      </c>
      <c r="R20" s="29" t="str" cm="1">
        <f t="array" ref="R20">IFERROR(INDEX(_xlfn.UNIQUE(TRIM(_xlfn.TEXTSPLIT(Table2678[[#This Row],[Selection Options]:[Selection Options]],","))),,R$11),"")</f>
        <v/>
      </c>
      <c r="S20" s="29" t="str" cm="1">
        <f t="array" ref="S20">IFERROR(INDEX(_xlfn.UNIQUE(TRIM(_xlfn.TEXTSPLIT(Table2678[[#This Row],[Selection Options]:[Selection Options]],","))),,S$11),"")</f>
        <v/>
      </c>
      <c r="T20" s="29" t="str" cm="1">
        <f t="array" ref="T20">IFERROR(INDEX(_xlfn.UNIQUE(TRIM(_xlfn.TEXTSPLIT(Table2678[[#This Row],[Selection Options]:[Selection Options]],","))),,T$11),"")</f>
        <v/>
      </c>
      <c r="U20" s="29" t="str" cm="1">
        <f t="array" ref="U20">IFERROR(INDEX(_xlfn.UNIQUE(TRIM(_xlfn.TEXTSPLIT(Table2678[[#This Row],[Selection Options]:[Selection Options]],","))),,U$11),"")</f>
        <v/>
      </c>
      <c r="V20" s="29" t="str" cm="1">
        <f t="array" ref="V20">IFERROR(INDEX(_xlfn.UNIQUE(TRIM(_xlfn.TEXTSPLIT(Table2678[[#This Row],[Selection Options]:[Selection Options]],","))),,V$11),"")</f>
        <v/>
      </c>
      <c r="W20" s="29" t="str" cm="1">
        <f t="array" ref="W20">IFERROR(INDEX(_xlfn.UNIQUE(TRIM(_xlfn.TEXTSPLIT(Table2678[[#This Row],[Selection Options]:[Selection Options]],","))),,W$11),"")</f>
        <v/>
      </c>
      <c r="X20" s="29" t="str" cm="1">
        <f t="array" ref="X20">IFERROR(INDEX(_xlfn.UNIQUE(TRIM(_xlfn.TEXTSPLIT(Table2678[[#This Row],[Selection Options]:[Selection Options]],","))),,X$11),"")</f>
        <v/>
      </c>
      <c r="Y20" s="30" cm="1">
        <f t="array" ref="Y20">IF(Table2678[[#This Row],[1]]="","",Table2678[[#This Row],[Weight]:[Weight]]-(Table2678[[#This Row],[Weight]:[Weight]]*((_xlfn.XMATCH(Table2678[[#This Row],[1]],Table2678[[#This Row],[1]:[11]],0))-1)/(COUNTA(Table2678[[#This Row],[1]:[11]])-COUNTBLANK(Table2678[[#This Row],[1]:[11]])-1)))</f>
        <v>0</v>
      </c>
      <c r="Z20" s="30" cm="1">
        <f t="array" ref="Z20">IF(Table2678[[#This Row],[2]]="","",Table2678[[#This Row],[Weight]:[Weight]]-(Table2678[[#This Row],[Weight]:[Weight]]*((_xlfn.XMATCH(Table2678[[#This Row],[2]],Table2678[[#This Row],[1]:[11]],0))-1)/(COUNTA(Table2678[[#This Row],[1]:[11]])-COUNTBLANK(Table2678[[#This Row],[1]:[11]])-1)))</f>
        <v>0</v>
      </c>
      <c r="AA20" s="30" t="str" cm="1">
        <f t="array" ref="AA20">IF(Table2678[[#This Row],[3]]="","",Table2678[[#This Row],[Weight]:[Weight]]-(Table2678[[#This Row],[Weight]:[Weight]]*((_xlfn.XMATCH(Table2678[[#This Row],[3]],Table2678[[#This Row],[1]:[11]],0))-1)/(COUNTA(Table2678[[#This Row],[1]:[11]])-COUNTBLANK(Table2678[[#This Row],[1]:[11]])-1)))</f>
        <v/>
      </c>
      <c r="AB20" s="30" t="str" cm="1">
        <f t="array" ref="AB20">IF(Table2678[[#This Row],[4]]="","",Table2678[[#This Row],[Weight]:[Weight]]-(Table2678[[#This Row],[Weight]:[Weight]]*((_xlfn.XMATCH(Table2678[[#This Row],[4]],Table2678[[#This Row],[1]:[11]],0))-1)/(COUNTA(Table2678[[#This Row],[1]:[11]])-COUNTBLANK(Table2678[[#This Row],[1]:[11]])-1)))</f>
        <v/>
      </c>
      <c r="AC20" s="30" t="str" cm="1">
        <f t="array" ref="AC20">IF(Table2678[[#This Row],[5]]="","",Table2678[[#This Row],[Weight]:[Weight]]-(Table2678[[#This Row],[Weight]:[Weight]]*((_xlfn.XMATCH(Table2678[[#This Row],[5]],Table2678[[#This Row],[1]:[11]],0))-1)/(COUNTA(Table2678[[#This Row],[1]:[11]])-COUNTBLANK(Table2678[[#This Row],[1]:[11]])-1)))</f>
        <v/>
      </c>
      <c r="AD20" s="30" t="str" cm="1">
        <f t="array" ref="AD20">IF(Table2678[[#This Row],[6]]="","",Table2678[[#This Row],[Weight]:[Weight]]-(Table2678[[#This Row],[Weight]:[Weight]]*((_xlfn.XMATCH(Table2678[[#This Row],[6]],Table2678[[#This Row],[1]:[11]],0))-1)/(COUNTA(Table2678[[#This Row],[1]:[11]])-COUNTBLANK(Table2678[[#This Row],[1]:[11]])-1)))</f>
        <v/>
      </c>
      <c r="AE20" s="30" t="str" cm="1">
        <f t="array" ref="AE20">IF(Table2678[[#This Row],[7]]="","",Table2678[[#This Row],[Weight]:[Weight]]-(Table2678[[#This Row],[Weight]:[Weight]]*((_xlfn.XMATCH(Table2678[[#This Row],[7]],Table2678[[#This Row],[1]:[11]],0))-1)/(COUNTA(Table2678[[#This Row],[1]:[11]])-COUNTBLANK(Table2678[[#This Row],[1]:[11]])-1)))</f>
        <v/>
      </c>
      <c r="AF20" s="30" t="str" cm="1">
        <f t="array" ref="AF20">IF(Table2678[[#This Row],[8]]="","",Table2678[[#This Row],[Weight]:[Weight]]-(Table2678[[#This Row],[Weight]:[Weight]]*((_xlfn.XMATCH(Table2678[[#This Row],[8]],Table2678[[#This Row],[1]:[11]],0))-1)/(COUNTA(Table2678[[#This Row],[1]:[11]])-COUNTBLANK(Table2678[[#This Row],[1]:[11]])-1)))</f>
        <v/>
      </c>
      <c r="AG20" s="30" t="str" cm="1">
        <f t="array" ref="AG20">IF(Table2678[[#This Row],[9]]="","",Table2678[[#This Row],[Weight]:[Weight]]-(Table2678[[#This Row],[Weight]:[Weight]]*((_xlfn.XMATCH(Table2678[[#This Row],[9]],Table2678[[#This Row],[1]:[11]],0))-1)/(COUNTA(Table2678[[#This Row],[1]:[11]])-COUNTBLANK(Table2678[[#This Row],[1]:[11]])-1)))</f>
        <v/>
      </c>
      <c r="AH20" s="30" t="str" cm="1">
        <f t="array" ref="AH20">IF(Table2678[[#This Row],[10]]="","",Table2678[[#This Row],[Weight]:[Weight]]-(Table2678[[#This Row],[Weight]:[Weight]]*((_xlfn.XMATCH(Table2678[[#This Row],[10]],Table2678[[#This Row],[1]:[11]],0))-1)/(COUNTA(Table2678[[#This Row],[1]:[11]])-COUNTBLANK(Table2678[[#This Row],[1]:[11]])-1)))</f>
        <v/>
      </c>
      <c r="AI20" s="30" t="str" cm="1">
        <f t="array" ref="AI20">IF(Table2678[[#This Row],[11]]="","",Table2678[[#This Row],[Weight]:[Weight]]-(Table2678[[#This Row],[Weight]:[Weight]]*((_xlfn.XMATCH(Table2678[[#This Row],[11]],Table2678[[#This Row],[1]:[11]],0))-1)/(COUNTA(Table2678[[#This Row],[1]:[11]])-COUNTBLANK(Table2678[[#This Row],[1]:[11]])-1)))</f>
        <v/>
      </c>
    </row>
    <row r="21" spans="1:35" ht="23" x14ac:dyDescent="0.25">
      <c r="A21" s="32">
        <v>7</v>
      </c>
      <c r="B21" s="33"/>
      <c r="C21" s="33"/>
      <c r="D21" s="33"/>
      <c r="E21" s="33"/>
      <c r="F21" s="34" t="s">
        <v>165</v>
      </c>
      <c r="G21" s="35" cm="1">
        <f t="array" ref="G21">_xlfn.IFS(F21="","",F21="No interest",0,F21="Nice to have",1,F21="Useful",2,F21="Important",3,F21="Very important",4,F21="Critical",5,F21="Show stopper",6)</f>
        <v>4</v>
      </c>
      <c r="H21" s="36">
        <f t="shared" si="1"/>
        <v>0</v>
      </c>
      <c r="I21" s="37" t="s">
        <v>135</v>
      </c>
      <c r="J21" s="37" t="str" cm="1">
        <f t="array" ref="J21">_xlfn.TEXTJOIN(","&amp;CHAR(10),,TEXT(Table2678[[#This Row],[12]:[22]],"0,00%"))</f>
        <v>0,00%,
0,00%</v>
      </c>
      <c r="K21" s="38" t="s">
        <v>161</v>
      </c>
      <c r="L21" s="39">
        <f>H21-(H21*((MATCH(Table2678[[#This Row],[Evaluators Response (SELECT)]],Table2678[[#This Row],[1]:[11]],0)-1)/(COUNTA(Table2678[[#This Row],[1]:[11]])-COUNTBLANK(Table2678[[#This Row],[1]:[11]])-1)))</f>
        <v>0</v>
      </c>
      <c r="M21" s="40"/>
      <c r="N21" s="29" t="str" cm="1">
        <f t="array" ref="N21">IFERROR(INDEX(_xlfn.UNIQUE(TRIM(_xlfn.TEXTSPLIT(Table2678[[#This Row],[Selection Options]:[Selection Options]],","))),,N$11),"")</f>
        <v>Yes</v>
      </c>
      <c r="O21" s="29" t="str" cm="1">
        <f t="array" ref="O21">IFERROR(INDEX(_xlfn.UNIQUE(TRIM(_xlfn.TEXTSPLIT(Table2678[[#This Row],[Selection Options]:[Selection Options]],","))),,O$11),"")</f>
        <v xml:space="preserve">
No</v>
      </c>
      <c r="P21" s="29" t="str" cm="1">
        <f t="array" ref="P21">IFERROR(INDEX(_xlfn.UNIQUE(TRIM(_xlfn.TEXTSPLIT(Table2678[[#This Row],[Selection Options]:[Selection Options]],","))),,P$11),"")</f>
        <v/>
      </c>
      <c r="Q21" s="29" t="str" cm="1">
        <f t="array" ref="Q21">IFERROR(INDEX(_xlfn.UNIQUE(TRIM(_xlfn.TEXTSPLIT(Table2678[[#This Row],[Selection Options]:[Selection Options]],","))),,Q$11),"")</f>
        <v/>
      </c>
      <c r="R21" s="29" t="str" cm="1">
        <f t="array" ref="R21">IFERROR(INDEX(_xlfn.UNIQUE(TRIM(_xlfn.TEXTSPLIT(Table2678[[#This Row],[Selection Options]:[Selection Options]],","))),,R$11),"")</f>
        <v/>
      </c>
      <c r="S21" s="29" t="str" cm="1">
        <f t="array" ref="S21">IFERROR(INDEX(_xlfn.UNIQUE(TRIM(_xlfn.TEXTSPLIT(Table2678[[#This Row],[Selection Options]:[Selection Options]],","))),,S$11),"")</f>
        <v/>
      </c>
      <c r="T21" s="29" t="str" cm="1">
        <f t="array" ref="T21">IFERROR(INDEX(_xlfn.UNIQUE(TRIM(_xlfn.TEXTSPLIT(Table2678[[#This Row],[Selection Options]:[Selection Options]],","))),,T$11),"")</f>
        <v/>
      </c>
      <c r="U21" s="29" t="str" cm="1">
        <f t="array" ref="U21">IFERROR(INDEX(_xlfn.UNIQUE(TRIM(_xlfn.TEXTSPLIT(Table2678[[#This Row],[Selection Options]:[Selection Options]],","))),,U$11),"")</f>
        <v/>
      </c>
      <c r="V21" s="29" t="str" cm="1">
        <f t="array" ref="V21">IFERROR(INDEX(_xlfn.UNIQUE(TRIM(_xlfn.TEXTSPLIT(Table2678[[#This Row],[Selection Options]:[Selection Options]],","))),,V$11),"")</f>
        <v/>
      </c>
      <c r="W21" s="29" t="str" cm="1">
        <f t="array" ref="W21">IFERROR(INDEX(_xlfn.UNIQUE(TRIM(_xlfn.TEXTSPLIT(Table2678[[#This Row],[Selection Options]:[Selection Options]],","))),,W$11),"")</f>
        <v/>
      </c>
      <c r="X21" s="29" t="str" cm="1">
        <f t="array" ref="X21">IFERROR(INDEX(_xlfn.UNIQUE(TRIM(_xlfn.TEXTSPLIT(Table2678[[#This Row],[Selection Options]:[Selection Options]],","))),,X$11),"")</f>
        <v/>
      </c>
      <c r="Y21" s="30" cm="1">
        <f t="array" ref="Y21">IF(Table2678[[#This Row],[1]]="","",Table2678[[#This Row],[Weight]:[Weight]]-(Table2678[[#This Row],[Weight]:[Weight]]*((_xlfn.XMATCH(Table2678[[#This Row],[1]],Table2678[[#This Row],[1]:[11]],0))-1)/(COUNTA(Table2678[[#This Row],[1]:[11]])-COUNTBLANK(Table2678[[#This Row],[1]:[11]])-1)))</f>
        <v>0</v>
      </c>
      <c r="Z21" s="30" cm="1">
        <f t="array" ref="Z21">IF(Table2678[[#This Row],[2]]="","",Table2678[[#This Row],[Weight]:[Weight]]-(Table2678[[#This Row],[Weight]:[Weight]]*((_xlfn.XMATCH(Table2678[[#This Row],[2]],Table2678[[#This Row],[1]:[11]],0))-1)/(COUNTA(Table2678[[#This Row],[1]:[11]])-COUNTBLANK(Table2678[[#This Row],[1]:[11]])-1)))</f>
        <v>0</v>
      </c>
      <c r="AA21" s="30" t="str" cm="1">
        <f t="array" ref="AA21">IF(Table2678[[#This Row],[3]]="","",Table2678[[#This Row],[Weight]:[Weight]]-(Table2678[[#This Row],[Weight]:[Weight]]*((_xlfn.XMATCH(Table2678[[#This Row],[3]],Table2678[[#This Row],[1]:[11]],0))-1)/(COUNTA(Table2678[[#This Row],[1]:[11]])-COUNTBLANK(Table2678[[#This Row],[1]:[11]])-1)))</f>
        <v/>
      </c>
      <c r="AB21" s="30" t="str" cm="1">
        <f t="array" ref="AB21">IF(Table2678[[#This Row],[4]]="","",Table2678[[#This Row],[Weight]:[Weight]]-(Table2678[[#This Row],[Weight]:[Weight]]*((_xlfn.XMATCH(Table2678[[#This Row],[4]],Table2678[[#This Row],[1]:[11]],0))-1)/(COUNTA(Table2678[[#This Row],[1]:[11]])-COUNTBLANK(Table2678[[#This Row],[1]:[11]])-1)))</f>
        <v/>
      </c>
      <c r="AC21" s="30" t="str" cm="1">
        <f t="array" ref="AC21">IF(Table2678[[#This Row],[5]]="","",Table2678[[#This Row],[Weight]:[Weight]]-(Table2678[[#This Row],[Weight]:[Weight]]*((_xlfn.XMATCH(Table2678[[#This Row],[5]],Table2678[[#This Row],[1]:[11]],0))-1)/(COUNTA(Table2678[[#This Row],[1]:[11]])-COUNTBLANK(Table2678[[#This Row],[1]:[11]])-1)))</f>
        <v/>
      </c>
      <c r="AD21" s="30" t="str" cm="1">
        <f t="array" ref="AD21">IF(Table2678[[#This Row],[6]]="","",Table2678[[#This Row],[Weight]:[Weight]]-(Table2678[[#This Row],[Weight]:[Weight]]*((_xlfn.XMATCH(Table2678[[#This Row],[6]],Table2678[[#This Row],[1]:[11]],0))-1)/(COUNTA(Table2678[[#This Row],[1]:[11]])-COUNTBLANK(Table2678[[#This Row],[1]:[11]])-1)))</f>
        <v/>
      </c>
      <c r="AE21" s="30" t="str" cm="1">
        <f t="array" ref="AE21">IF(Table2678[[#This Row],[7]]="","",Table2678[[#This Row],[Weight]:[Weight]]-(Table2678[[#This Row],[Weight]:[Weight]]*((_xlfn.XMATCH(Table2678[[#This Row],[7]],Table2678[[#This Row],[1]:[11]],0))-1)/(COUNTA(Table2678[[#This Row],[1]:[11]])-COUNTBLANK(Table2678[[#This Row],[1]:[11]])-1)))</f>
        <v/>
      </c>
      <c r="AF21" s="30" t="str" cm="1">
        <f t="array" ref="AF21">IF(Table2678[[#This Row],[8]]="","",Table2678[[#This Row],[Weight]:[Weight]]-(Table2678[[#This Row],[Weight]:[Weight]]*((_xlfn.XMATCH(Table2678[[#This Row],[8]],Table2678[[#This Row],[1]:[11]],0))-1)/(COUNTA(Table2678[[#This Row],[1]:[11]])-COUNTBLANK(Table2678[[#This Row],[1]:[11]])-1)))</f>
        <v/>
      </c>
      <c r="AG21" s="30" t="str" cm="1">
        <f t="array" ref="AG21">IF(Table2678[[#This Row],[9]]="","",Table2678[[#This Row],[Weight]:[Weight]]-(Table2678[[#This Row],[Weight]:[Weight]]*((_xlfn.XMATCH(Table2678[[#This Row],[9]],Table2678[[#This Row],[1]:[11]],0))-1)/(COUNTA(Table2678[[#This Row],[1]:[11]])-COUNTBLANK(Table2678[[#This Row],[1]:[11]])-1)))</f>
        <v/>
      </c>
      <c r="AH21" s="30" t="str" cm="1">
        <f t="array" ref="AH21">IF(Table2678[[#This Row],[10]]="","",Table2678[[#This Row],[Weight]:[Weight]]-(Table2678[[#This Row],[Weight]:[Weight]]*((_xlfn.XMATCH(Table2678[[#This Row],[10]],Table2678[[#This Row],[1]:[11]],0))-1)/(COUNTA(Table2678[[#This Row],[1]:[11]])-COUNTBLANK(Table2678[[#This Row],[1]:[11]])-1)))</f>
        <v/>
      </c>
      <c r="AI21" s="30" t="str" cm="1">
        <f t="array" ref="AI21">IF(Table2678[[#This Row],[11]]="","",Table2678[[#This Row],[Weight]:[Weight]]-(Table2678[[#This Row],[Weight]:[Weight]]*((_xlfn.XMATCH(Table2678[[#This Row],[11]],Table2678[[#This Row],[1]:[11]],0))-1)/(COUNTA(Table2678[[#This Row],[1]:[11]])-COUNTBLANK(Table2678[[#This Row],[1]:[11]])-1)))</f>
        <v/>
      </c>
    </row>
    <row r="22" spans="1:35" ht="34.5" x14ac:dyDescent="0.25">
      <c r="A22" s="32">
        <v>8</v>
      </c>
      <c r="B22" s="33"/>
      <c r="C22" s="33"/>
      <c r="D22" s="33"/>
      <c r="E22" s="33"/>
      <c r="F22" s="34" t="s">
        <v>60</v>
      </c>
      <c r="G22" s="35" cm="1">
        <f t="array" ref="G22">_xlfn.IFS(F22="","",F22="No interest",0,F22="Nice to have",1,F22="Useful",2,F22="Important",3,F22="Very important",4,F22="Critical",5,F22="Show stopper",6)</f>
        <v>6</v>
      </c>
      <c r="H22" s="36">
        <f t="shared" si="1"/>
        <v>0</v>
      </c>
      <c r="I22" s="37" t="s">
        <v>168</v>
      </c>
      <c r="J22" s="37" t="str" cm="1">
        <f t="array" ref="J22">_xlfn.TEXTJOIN(","&amp;CHAR(10),,TEXT(Table2678[[#This Row],[12]:[22]],"0,00%"))</f>
        <v>0,00%,
0,00%,
0,00%</v>
      </c>
      <c r="K22" s="38" t="s">
        <v>169</v>
      </c>
      <c r="L22" s="39">
        <f>H22-(H22*((MATCH(Table2678[[#This Row],[Evaluators Response (SELECT)]],Table2678[[#This Row],[1]:[11]],0)-1)/(COUNTA(Table2678[[#This Row],[1]:[11]])-COUNTBLANK(Table2678[[#This Row],[1]:[11]])-1)))</f>
        <v>0</v>
      </c>
      <c r="M22" s="40"/>
      <c r="N22" s="29" t="str" cm="1">
        <f t="array" ref="N22">IFERROR(INDEX(_xlfn.UNIQUE(TRIM(_xlfn.TEXTSPLIT(Table2678[[#This Row],[Selection Options]:[Selection Options]],","))),,N$11),"")</f>
        <v>X</v>
      </c>
      <c r="O22" s="29" t="str" cm="1">
        <f t="array" ref="O22">IFERROR(INDEX(_xlfn.UNIQUE(TRIM(_xlfn.TEXTSPLIT(Table2678[[#This Row],[Selection Options]:[Selection Options]],","))),,O$11),"")</f>
        <v xml:space="preserve">
Y</v>
      </c>
      <c r="P22" s="29" t="str" cm="1">
        <f t="array" ref="P22">IFERROR(INDEX(_xlfn.UNIQUE(TRIM(_xlfn.TEXTSPLIT(Table2678[[#This Row],[Selection Options]:[Selection Options]],","))),,P$11),"")</f>
        <v xml:space="preserve">
Z</v>
      </c>
      <c r="Q22" s="29" t="str" cm="1">
        <f t="array" ref="Q22">IFERROR(INDEX(_xlfn.UNIQUE(TRIM(_xlfn.TEXTSPLIT(Table2678[[#This Row],[Selection Options]:[Selection Options]],","))),,Q$11),"")</f>
        <v/>
      </c>
      <c r="R22" s="29" t="str" cm="1">
        <f t="array" ref="R22">IFERROR(INDEX(_xlfn.UNIQUE(TRIM(_xlfn.TEXTSPLIT(Table2678[[#This Row],[Selection Options]:[Selection Options]],","))),,R$11),"")</f>
        <v/>
      </c>
      <c r="S22" s="29" t="str" cm="1">
        <f t="array" ref="S22">IFERROR(INDEX(_xlfn.UNIQUE(TRIM(_xlfn.TEXTSPLIT(Table2678[[#This Row],[Selection Options]:[Selection Options]],","))),,S$11),"")</f>
        <v/>
      </c>
      <c r="T22" s="29" t="str" cm="1">
        <f t="array" ref="T22">IFERROR(INDEX(_xlfn.UNIQUE(TRIM(_xlfn.TEXTSPLIT(Table2678[[#This Row],[Selection Options]:[Selection Options]],","))),,T$11),"")</f>
        <v/>
      </c>
      <c r="U22" s="29" t="str" cm="1">
        <f t="array" ref="U22">IFERROR(INDEX(_xlfn.UNIQUE(TRIM(_xlfn.TEXTSPLIT(Table2678[[#This Row],[Selection Options]:[Selection Options]],","))),,U$11),"")</f>
        <v/>
      </c>
      <c r="V22" s="29" t="str" cm="1">
        <f t="array" ref="V22">IFERROR(INDEX(_xlfn.UNIQUE(TRIM(_xlfn.TEXTSPLIT(Table2678[[#This Row],[Selection Options]:[Selection Options]],","))),,V$11),"")</f>
        <v/>
      </c>
      <c r="W22" s="29" t="str" cm="1">
        <f t="array" ref="W22">IFERROR(INDEX(_xlfn.UNIQUE(TRIM(_xlfn.TEXTSPLIT(Table2678[[#This Row],[Selection Options]:[Selection Options]],","))),,W$11),"")</f>
        <v/>
      </c>
      <c r="X22" s="29" t="str" cm="1">
        <f t="array" ref="X22">IFERROR(INDEX(_xlfn.UNIQUE(TRIM(_xlfn.TEXTSPLIT(Table2678[[#This Row],[Selection Options]:[Selection Options]],","))),,X$11),"")</f>
        <v/>
      </c>
      <c r="Y22" s="30" cm="1">
        <f t="array" ref="Y22">IF(Table2678[[#This Row],[1]]="","",Table2678[[#This Row],[Weight]:[Weight]]-(Table2678[[#This Row],[Weight]:[Weight]]*((_xlfn.XMATCH(Table2678[[#This Row],[1]],Table2678[[#This Row],[1]:[11]],0))-1)/(COUNTA(Table2678[[#This Row],[1]:[11]])-COUNTBLANK(Table2678[[#This Row],[1]:[11]])-1)))</f>
        <v>0</v>
      </c>
      <c r="Z22" s="30" cm="1">
        <f t="array" ref="Z22">IF(Table2678[[#This Row],[2]]="","",Table2678[[#This Row],[Weight]:[Weight]]-(Table2678[[#This Row],[Weight]:[Weight]]*((_xlfn.XMATCH(Table2678[[#This Row],[2]],Table2678[[#This Row],[1]:[11]],0))-1)/(COUNTA(Table2678[[#This Row],[1]:[11]])-COUNTBLANK(Table2678[[#This Row],[1]:[11]])-1)))</f>
        <v>0</v>
      </c>
      <c r="AA22" s="30" cm="1">
        <f t="array" ref="AA22">IF(Table2678[[#This Row],[3]]="","",Table2678[[#This Row],[Weight]:[Weight]]-(Table2678[[#This Row],[Weight]:[Weight]]*((_xlfn.XMATCH(Table2678[[#This Row],[3]],Table2678[[#This Row],[1]:[11]],0))-1)/(COUNTA(Table2678[[#This Row],[1]:[11]])-COUNTBLANK(Table2678[[#This Row],[1]:[11]])-1)))</f>
        <v>0</v>
      </c>
      <c r="AB22" s="30" t="str" cm="1">
        <f t="array" ref="AB22">IF(Table2678[[#This Row],[4]]="","",Table2678[[#This Row],[Weight]:[Weight]]-(Table2678[[#This Row],[Weight]:[Weight]]*((_xlfn.XMATCH(Table2678[[#This Row],[4]],Table2678[[#This Row],[1]:[11]],0))-1)/(COUNTA(Table2678[[#This Row],[1]:[11]])-COUNTBLANK(Table2678[[#This Row],[1]:[11]])-1)))</f>
        <v/>
      </c>
      <c r="AC22" s="30" t="str" cm="1">
        <f t="array" ref="AC22">IF(Table2678[[#This Row],[5]]="","",Table2678[[#This Row],[Weight]:[Weight]]-(Table2678[[#This Row],[Weight]:[Weight]]*((_xlfn.XMATCH(Table2678[[#This Row],[5]],Table2678[[#This Row],[1]:[11]],0))-1)/(COUNTA(Table2678[[#This Row],[1]:[11]])-COUNTBLANK(Table2678[[#This Row],[1]:[11]])-1)))</f>
        <v/>
      </c>
      <c r="AD22" s="30" t="str" cm="1">
        <f t="array" ref="AD22">IF(Table2678[[#This Row],[6]]="","",Table2678[[#This Row],[Weight]:[Weight]]-(Table2678[[#This Row],[Weight]:[Weight]]*((_xlfn.XMATCH(Table2678[[#This Row],[6]],Table2678[[#This Row],[1]:[11]],0))-1)/(COUNTA(Table2678[[#This Row],[1]:[11]])-COUNTBLANK(Table2678[[#This Row],[1]:[11]])-1)))</f>
        <v/>
      </c>
      <c r="AE22" s="30" t="str" cm="1">
        <f t="array" ref="AE22">IF(Table2678[[#This Row],[7]]="","",Table2678[[#This Row],[Weight]:[Weight]]-(Table2678[[#This Row],[Weight]:[Weight]]*((_xlfn.XMATCH(Table2678[[#This Row],[7]],Table2678[[#This Row],[1]:[11]],0))-1)/(COUNTA(Table2678[[#This Row],[1]:[11]])-COUNTBLANK(Table2678[[#This Row],[1]:[11]])-1)))</f>
        <v/>
      </c>
      <c r="AF22" s="30" t="str" cm="1">
        <f t="array" ref="AF22">IF(Table2678[[#This Row],[8]]="","",Table2678[[#This Row],[Weight]:[Weight]]-(Table2678[[#This Row],[Weight]:[Weight]]*((_xlfn.XMATCH(Table2678[[#This Row],[8]],Table2678[[#This Row],[1]:[11]],0))-1)/(COUNTA(Table2678[[#This Row],[1]:[11]])-COUNTBLANK(Table2678[[#This Row],[1]:[11]])-1)))</f>
        <v/>
      </c>
      <c r="AG22" s="30" t="str" cm="1">
        <f t="array" ref="AG22">IF(Table2678[[#This Row],[9]]="","",Table2678[[#This Row],[Weight]:[Weight]]-(Table2678[[#This Row],[Weight]:[Weight]]*((_xlfn.XMATCH(Table2678[[#This Row],[9]],Table2678[[#This Row],[1]:[11]],0))-1)/(COUNTA(Table2678[[#This Row],[1]:[11]])-COUNTBLANK(Table2678[[#This Row],[1]:[11]])-1)))</f>
        <v/>
      </c>
      <c r="AH22" s="30" t="str" cm="1">
        <f t="array" ref="AH22">IF(Table2678[[#This Row],[10]]="","",Table2678[[#This Row],[Weight]:[Weight]]-(Table2678[[#This Row],[Weight]:[Weight]]*((_xlfn.XMATCH(Table2678[[#This Row],[10]],Table2678[[#This Row],[1]:[11]],0))-1)/(COUNTA(Table2678[[#This Row],[1]:[11]])-COUNTBLANK(Table2678[[#This Row],[1]:[11]])-1)))</f>
        <v/>
      </c>
      <c r="AI22" s="30" t="str" cm="1">
        <f t="array" ref="AI22">IF(Table2678[[#This Row],[11]]="","",Table2678[[#This Row],[Weight]:[Weight]]-(Table2678[[#This Row],[Weight]:[Weight]]*((_xlfn.XMATCH(Table2678[[#This Row],[11]],Table2678[[#This Row],[1]:[11]],0))-1)/(COUNTA(Table2678[[#This Row],[1]:[11]])-COUNTBLANK(Table2678[[#This Row],[1]:[11]])-1)))</f>
        <v/>
      </c>
    </row>
    <row r="23" spans="1:35" ht="34.5" x14ac:dyDescent="0.25">
      <c r="A23" s="32">
        <v>9</v>
      </c>
      <c r="B23" s="40"/>
      <c r="C23" s="40"/>
      <c r="D23" s="40"/>
      <c r="E23" s="40"/>
      <c r="F23" s="34" t="s">
        <v>160</v>
      </c>
      <c r="G23" s="35" cm="1">
        <f t="array" ref="G23">_xlfn.IFS(F23="","",F23="No interest",0,F23="Nice to have",1,F23="Useful",2,F23="Important",3,F23="Very important",4,F23="Critical",5,F23="Show stopper",6)</f>
        <v>2</v>
      </c>
      <c r="H23" s="36">
        <f t="shared" si="1"/>
        <v>0</v>
      </c>
      <c r="I23" s="37" t="s">
        <v>170</v>
      </c>
      <c r="J23" s="37" t="str" cm="1">
        <f t="array" ref="J23">_xlfn.TEXTJOIN(","&amp;CHAR(10),,TEXT(Table2678[[#This Row],[12]:[22]],"0,00%"))</f>
        <v>0,00%,
0,00%,
0,00%</v>
      </c>
      <c r="K23" s="38" t="s">
        <v>171</v>
      </c>
      <c r="L23" s="39">
        <f>H23-(H23*((MATCH(Table2678[[#This Row],[Evaluators Response (SELECT)]],Table2678[[#This Row],[1]:[11]],0)-1)/(COUNTA(Table2678[[#This Row],[1]:[11]])-COUNTBLANK(Table2678[[#This Row],[1]:[11]])-1)))</f>
        <v>0</v>
      </c>
      <c r="M23" s="40"/>
      <c r="N23" s="29" t="str" cm="1">
        <f t="array" ref="N23">IFERROR(INDEX(_xlfn.UNIQUE(TRIM(_xlfn.TEXTSPLIT(Table2678[[#This Row],[Selection Options]:[Selection Options]],","))),,N$11),"")</f>
        <v>K</v>
      </c>
      <c r="O23" s="29" t="str" cm="1">
        <f t="array" ref="O23">IFERROR(INDEX(_xlfn.UNIQUE(TRIM(_xlfn.TEXTSPLIT(Table2678[[#This Row],[Selection Options]:[Selection Options]],","))),,O$11),"")</f>
        <v xml:space="preserve">
L</v>
      </c>
      <c r="P23" s="29" t="str" cm="1">
        <f t="array" ref="P23">IFERROR(INDEX(_xlfn.UNIQUE(TRIM(_xlfn.TEXTSPLIT(Table2678[[#This Row],[Selection Options]:[Selection Options]],","))),,P$11),"")</f>
        <v xml:space="preserve">
M</v>
      </c>
      <c r="Q23" s="29" t="str" cm="1">
        <f t="array" ref="Q23">IFERROR(INDEX(_xlfn.UNIQUE(TRIM(_xlfn.TEXTSPLIT(Table2678[[#This Row],[Selection Options]:[Selection Options]],","))),,Q$11),"")</f>
        <v/>
      </c>
      <c r="R23" s="29" t="str" cm="1">
        <f t="array" ref="R23">IFERROR(INDEX(_xlfn.UNIQUE(TRIM(_xlfn.TEXTSPLIT(Table2678[[#This Row],[Selection Options]:[Selection Options]],","))),,R$11),"")</f>
        <v/>
      </c>
      <c r="S23" s="29" t="str" cm="1">
        <f t="array" ref="S23">IFERROR(INDEX(_xlfn.UNIQUE(TRIM(_xlfn.TEXTSPLIT(Table2678[[#This Row],[Selection Options]:[Selection Options]],","))),,S$11),"")</f>
        <v/>
      </c>
      <c r="T23" s="29" t="str" cm="1">
        <f t="array" ref="T23">IFERROR(INDEX(_xlfn.UNIQUE(TRIM(_xlfn.TEXTSPLIT(Table2678[[#This Row],[Selection Options]:[Selection Options]],","))),,T$11),"")</f>
        <v/>
      </c>
      <c r="U23" s="29" t="str" cm="1">
        <f t="array" ref="U23">IFERROR(INDEX(_xlfn.UNIQUE(TRIM(_xlfn.TEXTSPLIT(Table2678[[#This Row],[Selection Options]:[Selection Options]],","))),,U$11),"")</f>
        <v/>
      </c>
      <c r="V23" s="29" t="str" cm="1">
        <f t="array" ref="V23">IFERROR(INDEX(_xlfn.UNIQUE(TRIM(_xlfn.TEXTSPLIT(Table2678[[#This Row],[Selection Options]:[Selection Options]],","))),,V$11),"")</f>
        <v/>
      </c>
      <c r="W23" s="29" t="str" cm="1">
        <f t="array" ref="W23">IFERROR(INDEX(_xlfn.UNIQUE(TRIM(_xlfn.TEXTSPLIT(Table2678[[#This Row],[Selection Options]:[Selection Options]],","))),,W$11),"")</f>
        <v/>
      </c>
      <c r="X23" s="29" t="str" cm="1">
        <f t="array" ref="X23">IFERROR(INDEX(_xlfn.UNIQUE(TRIM(_xlfn.TEXTSPLIT(Table2678[[#This Row],[Selection Options]:[Selection Options]],","))),,X$11),"")</f>
        <v/>
      </c>
      <c r="Y23" s="30" cm="1">
        <f t="array" ref="Y23">IF(Table2678[[#This Row],[1]]="","",Table2678[[#This Row],[Weight]:[Weight]]-(Table2678[[#This Row],[Weight]:[Weight]]*((_xlfn.XMATCH(Table2678[[#This Row],[1]],Table2678[[#This Row],[1]:[11]],0))-1)/(COUNTA(Table2678[[#This Row],[1]:[11]])-COUNTBLANK(Table2678[[#This Row],[1]:[11]])-1)))</f>
        <v>0</v>
      </c>
      <c r="Z23" s="30" cm="1">
        <f t="array" ref="Z23">IF(Table2678[[#This Row],[2]]="","",Table2678[[#This Row],[Weight]:[Weight]]-(Table2678[[#This Row],[Weight]:[Weight]]*((_xlfn.XMATCH(Table2678[[#This Row],[2]],Table2678[[#This Row],[1]:[11]],0))-1)/(COUNTA(Table2678[[#This Row],[1]:[11]])-COUNTBLANK(Table2678[[#This Row],[1]:[11]])-1)))</f>
        <v>0</v>
      </c>
      <c r="AA23" s="30" cm="1">
        <f t="array" ref="AA23">IF(Table2678[[#This Row],[3]]="","",Table2678[[#This Row],[Weight]:[Weight]]-(Table2678[[#This Row],[Weight]:[Weight]]*((_xlfn.XMATCH(Table2678[[#This Row],[3]],Table2678[[#This Row],[1]:[11]],0))-1)/(COUNTA(Table2678[[#This Row],[1]:[11]])-COUNTBLANK(Table2678[[#This Row],[1]:[11]])-1)))</f>
        <v>0</v>
      </c>
      <c r="AB23" s="30" t="str" cm="1">
        <f t="array" ref="AB23">IF(Table2678[[#This Row],[4]]="","",Table2678[[#This Row],[Weight]:[Weight]]-(Table2678[[#This Row],[Weight]:[Weight]]*((_xlfn.XMATCH(Table2678[[#This Row],[4]],Table2678[[#This Row],[1]:[11]],0))-1)/(COUNTA(Table2678[[#This Row],[1]:[11]])-COUNTBLANK(Table2678[[#This Row],[1]:[11]])-1)))</f>
        <v/>
      </c>
      <c r="AC23" s="30" t="str" cm="1">
        <f t="array" ref="AC23">IF(Table2678[[#This Row],[5]]="","",Table2678[[#This Row],[Weight]:[Weight]]-(Table2678[[#This Row],[Weight]:[Weight]]*((_xlfn.XMATCH(Table2678[[#This Row],[5]],Table2678[[#This Row],[1]:[11]],0))-1)/(COUNTA(Table2678[[#This Row],[1]:[11]])-COUNTBLANK(Table2678[[#This Row],[1]:[11]])-1)))</f>
        <v/>
      </c>
      <c r="AD23" s="30" t="str" cm="1">
        <f t="array" ref="AD23">IF(Table2678[[#This Row],[6]]="","",Table2678[[#This Row],[Weight]:[Weight]]-(Table2678[[#This Row],[Weight]:[Weight]]*((_xlfn.XMATCH(Table2678[[#This Row],[6]],Table2678[[#This Row],[1]:[11]],0))-1)/(COUNTA(Table2678[[#This Row],[1]:[11]])-COUNTBLANK(Table2678[[#This Row],[1]:[11]])-1)))</f>
        <v/>
      </c>
      <c r="AE23" s="30" t="str" cm="1">
        <f t="array" ref="AE23">IF(Table2678[[#This Row],[7]]="","",Table2678[[#This Row],[Weight]:[Weight]]-(Table2678[[#This Row],[Weight]:[Weight]]*((_xlfn.XMATCH(Table2678[[#This Row],[7]],Table2678[[#This Row],[1]:[11]],0))-1)/(COUNTA(Table2678[[#This Row],[1]:[11]])-COUNTBLANK(Table2678[[#This Row],[1]:[11]])-1)))</f>
        <v/>
      </c>
      <c r="AF23" s="30" t="str" cm="1">
        <f t="array" ref="AF23">IF(Table2678[[#This Row],[8]]="","",Table2678[[#This Row],[Weight]:[Weight]]-(Table2678[[#This Row],[Weight]:[Weight]]*((_xlfn.XMATCH(Table2678[[#This Row],[8]],Table2678[[#This Row],[1]:[11]],0))-1)/(COUNTA(Table2678[[#This Row],[1]:[11]])-COUNTBLANK(Table2678[[#This Row],[1]:[11]])-1)))</f>
        <v/>
      </c>
      <c r="AG23" s="30" t="str" cm="1">
        <f t="array" ref="AG23">IF(Table2678[[#This Row],[9]]="","",Table2678[[#This Row],[Weight]:[Weight]]-(Table2678[[#This Row],[Weight]:[Weight]]*((_xlfn.XMATCH(Table2678[[#This Row],[9]],Table2678[[#This Row],[1]:[11]],0))-1)/(COUNTA(Table2678[[#This Row],[1]:[11]])-COUNTBLANK(Table2678[[#This Row],[1]:[11]])-1)))</f>
        <v/>
      </c>
      <c r="AH23" s="30" t="str" cm="1">
        <f t="array" ref="AH23">IF(Table2678[[#This Row],[10]]="","",Table2678[[#This Row],[Weight]:[Weight]]-(Table2678[[#This Row],[Weight]:[Weight]]*((_xlfn.XMATCH(Table2678[[#This Row],[10]],Table2678[[#This Row],[1]:[11]],0))-1)/(COUNTA(Table2678[[#This Row],[1]:[11]])-COUNTBLANK(Table2678[[#This Row],[1]:[11]])-1)))</f>
        <v/>
      </c>
      <c r="AI23" s="30" t="str" cm="1">
        <f t="array" ref="AI23">IF(Table2678[[#This Row],[11]]="","",Table2678[[#This Row],[Weight]:[Weight]]-(Table2678[[#This Row],[Weight]:[Weight]]*((_xlfn.XMATCH(Table2678[[#This Row],[11]],Table2678[[#This Row],[1]:[11]],0))-1)/(COUNTA(Table2678[[#This Row],[1]:[11]])-COUNTBLANK(Table2678[[#This Row],[1]:[11]])-1)))</f>
        <v/>
      </c>
    </row>
    <row r="24" spans="1:35" ht="34.5" x14ac:dyDescent="0.25">
      <c r="A24" s="32">
        <v>10</v>
      </c>
      <c r="B24" s="40"/>
      <c r="C24" s="40"/>
      <c r="D24" s="40"/>
      <c r="E24" s="40"/>
      <c r="F24" s="34" t="s">
        <v>56</v>
      </c>
      <c r="G24" s="35" cm="1">
        <f t="array" ref="G24">_xlfn.IFS(F24="","",F24="No interest",0,F24="Nice to have",1,F24="Useful",2,F24="Important",3,F24="Very important",4,F24="Critical",5,F24="Show stopper",6)</f>
        <v>3</v>
      </c>
      <c r="H24" s="36">
        <f t="shared" si="1"/>
        <v>0</v>
      </c>
      <c r="I24" s="37" t="s">
        <v>172</v>
      </c>
      <c r="J24" s="37" t="str" cm="1">
        <f t="array" ref="J24">_xlfn.TEXTJOIN(","&amp;CHAR(10),,TEXT(Table2678[[#This Row],[12]:[22]],"0,00%"))</f>
        <v>0,00%,
0,00%,
0,00%</v>
      </c>
      <c r="K24" s="38" t="s">
        <v>173</v>
      </c>
      <c r="L24" s="39">
        <f>H24-(H24*((MATCH(Table2678[[#This Row],[Evaluators Response (SELECT)]],Table2678[[#This Row],[1]:[11]],0)-1)/(COUNTA(Table2678[[#This Row],[1]:[11]])-COUNTBLANK(Table2678[[#This Row],[1]:[11]])-1)))</f>
        <v>0</v>
      </c>
      <c r="M24" s="40"/>
      <c r="N24" s="29" t="str" cm="1">
        <f t="array" ref="N24">IFERROR(INDEX(_xlfn.UNIQUE(TRIM(_xlfn.TEXTSPLIT(Table2678[[#This Row],[Selection Options]:[Selection Options]],","))),,N$11),"")</f>
        <v>t</v>
      </c>
      <c r="O24" s="29" t="str" cm="1">
        <f t="array" ref="O24">IFERROR(INDEX(_xlfn.UNIQUE(TRIM(_xlfn.TEXTSPLIT(Table2678[[#This Row],[Selection Options]:[Selection Options]],","))),,O$11),"")</f>
        <v xml:space="preserve">
s</v>
      </c>
      <c r="P24" s="29" t="str" cm="1">
        <f t="array" ref="P24">IFERROR(INDEX(_xlfn.UNIQUE(TRIM(_xlfn.TEXTSPLIT(Table2678[[#This Row],[Selection Options]:[Selection Options]],","))),,P$11),"")</f>
        <v xml:space="preserve">
w</v>
      </c>
      <c r="Q24" s="29" t="str" cm="1">
        <f t="array" ref="Q24">IFERROR(INDEX(_xlfn.UNIQUE(TRIM(_xlfn.TEXTSPLIT(Table2678[[#This Row],[Selection Options]:[Selection Options]],","))),,Q$11),"")</f>
        <v/>
      </c>
      <c r="R24" s="29" t="str" cm="1">
        <f t="array" ref="R24">IFERROR(INDEX(_xlfn.UNIQUE(TRIM(_xlfn.TEXTSPLIT(Table2678[[#This Row],[Selection Options]:[Selection Options]],","))),,R$11),"")</f>
        <v/>
      </c>
      <c r="S24" s="29" t="str" cm="1">
        <f t="array" ref="S24">IFERROR(INDEX(_xlfn.UNIQUE(TRIM(_xlfn.TEXTSPLIT(Table2678[[#This Row],[Selection Options]:[Selection Options]],","))),,S$11),"")</f>
        <v/>
      </c>
      <c r="T24" s="29" t="str" cm="1">
        <f t="array" ref="T24">IFERROR(INDEX(_xlfn.UNIQUE(TRIM(_xlfn.TEXTSPLIT(Table2678[[#This Row],[Selection Options]:[Selection Options]],","))),,T$11),"")</f>
        <v/>
      </c>
      <c r="U24" s="29" t="str" cm="1">
        <f t="array" ref="U24">IFERROR(INDEX(_xlfn.UNIQUE(TRIM(_xlfn.TEXTSPLIT(Table2678[[#This Row],[Selection Options]:[Selection Options]],","))),,U$11),"")</f>
        <v/>
      </c>
      <c r="V24" s="29" t="str" cm="1">
        <f t="array" ref="V24">IFERROR(INDEX(_xlfn.UNIQUE(TRIM(_xlfn.TEXTSPLIT(Table2678[[#This Row],[Selection Options]:[Selection Options]],","))),,V$11),"")</f>
        <v/>
      </c>
      <c r="W24" s="29" t="str" cm="1">
        <f t="array" ref="W24">IFERROR(INDEX(_xlfn.UNIQUE(TRIM(_xlfn.TEXTSPLIT(Table2678[[#This Row],[Selection Options]:[Selection Options]],","))),,W$11),"")</f>
        <v/>
      </c>
      <c r="X24" s="29" t="str" cm="1">
        <f t="array" ref="X24">IFERROR(INDEX(_xlfn.UNIQUE(TRIM(_xlfn.TEXTSPLIT(Table2678[[#This Row],[Selection Options]:[Selection Options]],","))),,X$11),"")</f>
        <v/>
      </c>
      <c r="Y24" s="30" cm="1">
        <f t="array" ref="Y24">IF(Table2678[[#This Row],[1]]="","",Table2678[[#This Row],[Weight]:[Weight]]-(Table2678[[#This Row],[Weight]:[Weight]]*((_xlfn.XMATCH(Table2678[[#This Row],[1]],Table2678[[#This Row],[1]:[11]],0))-1)/(COUNTA(Table2678[[#This Row],[1]:[11]])-COUNTBLANK(Table2678[[#This Row],[1]:[11]])-1)))</f>
        <v>0</v>
      </c>
      <c r="Z24" s="30" cm="1">
        <f t="array" ref="Z24">IF(Table2678[[#This Row],[2]]="","",Table2678[[#This Row],[Weight]:[Weight]]-(Table2678[[#This Row],[Weight]:[Weight]]*((_xlfn.XMATCH(Table2678[[#This Row],[2]],Table2678[[#This Row],[1]:[11]],0))-1)/(COUNTA(Table2678[[#This Row],[1]:[11]])-COUNTBLANK(Table2678[[#This Row],[1]:[11]])-1)))</f>
        <v>0</v>
      </c>
      <c r="AA24" s="30" cm="1">
        <f t="array" ref="AA24">IF(Table2678[[#This Row],[3]]="","",Table2678[[#This Row],[Weight]:[Weight]]-(Table2678[[#This Row],[Weight]:[Weight]]*((_xlfn.XMATCH(Table2678[[#This Row],[3]],Table2678[[#This Row],[1]:[11]],0))-1)/(COUNTA(Table2678[[#This Row],[1]:[11]])-COUNTBLANK(Table2678[[#This Row],[1]:[11]])-1)))</f>
        <v>0</v>
      </c>
      <c r="AB24" s="30" t="str" cm="1">
        <f t="array" ref="AB24">IF(Table2678[[#This Row],[4]]="","",Table2678[[#This Row],[Weight]:[Weight]]-(Table2678[[#This Row],[Weight]:[Weight]]*((_xlfn.XMATCH(Table2678[[#This Row],[4]],Table2678[[#This Row],[1]:[11]],0))-1)/(COUNTA(Table2678[[#This Row],[1]:[11]])-COUNTBLANK(Table2678[[#This Row],[1]:[11]])-1)))</f>
        <v/>
      </c>
      <c r="AC24" s="30" t="str" cm="1">
        <f t="array" ref="AC24">IF(Table2678[[#This Row],[5]]="","",Table2678[[#This Row],[Weight]:[Weight]]-(Table2678[[#This Row],[Weight]:[Weight]]*((_xlfn.XMATCH(Table2678[[#This Row],[5]],Table2678[[#This Row],[1]:[11]],0))-1)/(COUNTA(Table2678[[#This Row],[1]:[11]])-COUNTBLANK(Table2678[[#This Row],[1]:[11]])-1)))</f>
        <v/>
      </c>
      <c r="AD24" s="30" t="str" cm="1">
        <f t="array" ref="AD24">IF(Table2678[[#This Row],[6]]="","",Table2678[[#This Row],[Weight]:[Weight]]-(Table2678[[#This Row],[Weight]:[Weight]]*((_xlfn.XMATCH(Table2678[[#This Row],[6]],Table2678[[#This Row],[1]:[11]],0))-1)/(COUNTA(Table2678[[#This Row],[1]:[11]])-COUNTBLANK(Table2678[[#This Row],[1]:[11]])-1)))</f>
        <v/>
      </c>
      <c r="AE24" s="30" t="str" cm="1">
        <f t="array" ref="AE24">IF(Table2678[[#This Row],[7]]="","",Table2678[[#This Row],[Weight]:[Weight]]-(Table2678[[#This Row],[Weight]:[Weight]]*((_xlfn.XMATCH(Table2678[[#This Row],[7]],Table2678[[#This Row],[1]:[11]],0))-1)/(COUNTA(Table2678[[#This Row],[1]:[11]])-COUNTBLANK(Table2678[[#This Row],[1]:[11]])-1)))</f>
        <v/>
      </c>
      <c r="AF24" s="30" t="str" cm="1">
        <f t="array" ref="AF24">IF(Table2678[[#This Row],[8]]="","",Table2678[[#This Row],[Weight]:[Weight]]-(Table2678[[#This Row],[Weight]:[Weight]]*((_xlfn.XMATCH(Table2678[[#This Row],[8]],Table2678[[#This Row],[1]:[11]],0))-1)/(COUNTA(Table2678[[#This Row],[1]:[11]])-COUNTBLANK(Table2678[[#This Row],[1]:[11]])-1)))</f>
        <v/>
      </c>
      <c r="AG24" s="30" t="str" cm="1">
        <f t="array" ref="AG24">IF(Table2678[[#This Row],[9]]="","",Table2678[[#This Row],[Weight]:[Weight]]-(Table2678[[#This Row],[Weight]:[Weight]]*((_xlfn.XMATCH(Table2678[[#This Row],[9]],Table2678[[#This Row],[1]:[11]],0))-1)/(COUNTA(Table2678[[#This Row],[1]:[11]])-COUNTBLANK(Table2678[[#This Row],[1]:[11]])-1)))</f>
        <v/>
      </c>
      <c r="AH24" s="30" t="str" cm="1">
        <f t="array" ref="AH24">IF(Table2678[[#This Row],[10]]="","",Table2678[[#This Row],[Weight]:[Weight]]-(Table2678[[#This Row],[Weight]:[Weight]]*((_xlfn.XMATCH(Table2678[[#This Row],[10]],Table2678[[#This Row],[1]:[11]],0))-1)/(COUNTA(Table2678[[#This Row],[1]:[11]])-COUNTBLANK(Table2678[[#This Row],[1]:[11]])-1)))</f>
        <v/>
      </c>
      <c r="AI24" s="30" t="str" cm="1">
        <f t="array" ref="AI24">IF(Table2678[[#This Row],[11]]="","",Table2678[[#This Row],[Weight]:[Weight]]-(Table2678[[#This Row],[Weight]:[Weight]]*((_xlfn.XMATCH(Table2678[[#This Row],[11]],Table2678[[#This Row],[1]:[11]],0))-1)/(COUNTA(Table2678[[#This Row],[1]:[11]])-COUNTBLANK(Table2678[[#This Row],[1]:[11]])-1)))</f>
        <v/>
      </c>
    </row>
    <row r="25" spans="1:35" ht="46" x14ac:dyDescent="0.25">
      <c r="A25" s="32">
        <v>11</v>
      </c>
      <c r="B25" s="40"/>
      <c r="C25" s="40"/>
      <c r="D25" s="40"/>
      <c r="E25" s="40"/>
      <c r="F25" s="34" t="s">
        <v>165</v>
      </c>
      <c r="G25" s="35" cm="1">
        <f t="array" ref="G25">_xlfn.IFS(F25="","",F25="No interest",0,F25="Nice to have",1,F25="Useful",2,F25="Important",3,F25="Very important",4,F25="Critical",5,F25="Show stopper",6)</f>
        <v>4</v>
      </c>
      <c r="H25" s="36">
        <f t="shared" si="1"/>
        <v>0</v>
      </c>
      <c r="I25" s="37" t="s">
        <v>166</v>
      </c>
      <c r="J25" s="37" t="str" cm="1">
        <f t="array" ref="J25">_xlfn.TEXTJOIN(","&amp;CHAR(10),,TEXT(Table2678[[#This Row],[12]:[22]],"0,00%"))</f>
        <v>0,00%,
0,00%,
0,00%,
0,00%</v>
      </c>
      <c r="K25" s="38" t="s">
        <v>174</v>
      </c>
      <c r="L25" s="39">
        <f>H25-(H25*((MATCH(Table2678[[#This Row],[Evaluators Response (SELECT)]],Table2678[[#This Row],[1]:[11]],0)-1)/(COUNTA(Table2678[[#This Row],[1]:[11]])-COUNTBLANK(Table2678[[#This Row],[1]:[11]])-1)))</f>
        <v>0</v>
      </c>
      <c r="M25" s="40"/>
      <c r="N25" s="29" t="str" cm="1">
        <f t="array" ref="N25">IFERROR(INDEX(_xlfn.UNIQUE(TRIM(_xlfn.TEXTSPLIT(Table2678[[#This Row],[Selection Options]:[Selection Options]],","))),,N$11),"")</f>
        <v>A</v>
      </c>
      <c r="O25" s="29" t="str" cm="1">
        <f t="array" ref="O25">IFERROR(INDEX(_xlfn.UNIQUE(TRIM(_xlfn.TEXTSPLIT(Table2678[[#This Row],[Selection Options]:[Selection Options]],","))),,O$11),"")</f>
        <v xml:space="preserve">
B</v>
      </c>
      <c r="P25" s="29" t="str" cm="1">
        <f t="array" ref="P25">IFERROR(INDEX(_xlfn.UNIQUE(TRIM(_xlfn.TEXTSPLIT(Table2678[[#This Row],[Selection Options]:[Selection Options]],","))),,P$11),"")</f>
        <v xml:space="preserve">
C</v>
      </c>
      <c r="Q25" s="29" t="str" cm="1">
        <f t="array" ref="Q25">IFERROR(INDEX(_xlfn.UNIQUE(TRIM(_xlfn.TEXTSPLIT(Table2678[[#This Row],[Selection Options]:[Selection Options]],","))),,Q$11),"")</f>
        <v xml:space="preserve">
D</v>
      </c>
      <c r="R25" s="29" t="str" cm="1">
        <f t="array" ref="R25">IFERROR(INDEX(_xlfn.UNIQUE(TRIM(_xlfn.TEXTSPLIT(Table2678[[#This Row],[Selection Options]:[Selection Options]],","))),,R$11),"")</f>
        <v/>
      </c>
      <c r="S25" s="29" t="str" cm="1">
        <f t="array" ref="S25">IFERROR(INDEX(_xlfn.UNIQUE(TRIM(_xlfn.TEXTSPLIT(Table2678[[#This Row],[Selection Options]:[Selection Options]],","))),,S$11),"")</f>
        <v/>
      </c>
      <c r="T25" s="29" t="str" cm="1">
        <f t="array" ref="T25">IFERROR(INDEX(_xlfn.UNIQUE(TRIM(_xlfn.TEXTSPLIT(Table2678[[#This Row],[Selection Options]:[Selection Options]],","))),,T$11),"")</f>
        <v/>
      </c>
      <c r="U25" s="29" t="str" cm="1">
        <f t="array" ref="U25">IFERROR(INDEX(_xlfn.UNIQUE(TRIM(_xlfn.TEXTSPLIT(Table2678[[#This Row],[Selection Options]:[Selection Options]],","))),,U$11),"")</f>
        <v/>
      </c>
      <c r="V25" s="29" t="str" cm="1">
        <f t="array" ref="V25">IFERROR(INDEX(_xlfn.UNIQUE(TRIM(_xlfn.TEXTSPLIT(Table2678[[#This Row],[Selection Options]:[Selection Options]],","))),,V$11),"")</f>
        <v/>
      </c>
      <c r="W25" s="29" t="str" cm="1">
        <f t="array" ref="W25">IFERROR(INDEX(_xlfn.UNIQUE(TRIM(_xlfn.TEXTSPLIT(Table2678[[#This Row],[Selection Options]:[Selection Options]],","))),,W$11),"")</f>
        <v/>
      </c>
      <c r="X25" s="29" t="str" cm="1">
        <f t="array" ref="X25">IFERROR(INDEX(_xlfn.UNIQUE(TRIM(_xlfn.TEXTSPLIT(Table2678[[#This Row],[Selection Options]:[Selection Options]],","))),,X$11),"")</f>
        <v/>
      </c>
      <c r="Y25" s="30" cm="1">
        <f t="array" ref="Y25">IF(Table2678[[#This Row],[1]]="","",Table2678[[#This Row],[Weight]:[Weight]]-(Table2678[[#This Row],[Weight]:[Weight]]*((_xlfn.XMATCH(Table2678[[#This Row],[1]],Table2678[[#This Row],[1]:[11]],0))-1)/(COUNTA(Table2678[[#This Row],[1]:[11]])-COUNTBLANK(Table2678[[#This Row],[1]:[11]])-1)))</f>
        <v>0</v>
      </c>
      <c r="Z25" s="30" cm="1">
        <f t="array" ref="Z25">IF(Table2678[[#This Row],[2]]="","",Table2678[[#This Row],[Weight]:[Weight]]-(Table2678[[#This Row],[Weight]:[Weight]]*((_xlfn.XMATCH(Table2678[[#This Row],[2]],Table2678[[#This Row],[1]:[11]],0))-1)/(COUNTA(Table2678[[#This Row],[1]:[11]])-COUNTBLANK(Table2678[[#This Row],[1]:[11]])-1)))</f>
        <v>0</v>
      </c>
      <c r="AA25" s="30" cm="1">
        <f t="array" ref="AA25">IF(Table2678[[#This Row],[3]]="","",Table2678[[#This Row],[Weight]:[Weight]]-(Table2678[[#This Row],[Weight]:[Weight]]*((_xlfn.XMATCH(Table2678[[#This Row],[3]],Table2678[[#This Row],[1]:[11]],0))-1)/(COUNTA(Table2678[[#This Row],[1]:[11]])-COUNTBLANK(Table2678[[#This Row],[1]:[11]])-1)))</f>
        <v>0</v>
      </c>
      <c r="AB25" s="30" cm="1">
        <f t="array" ref="AB25">IF(Table2678[[#This Row],[4]]="","",Table2678[[#This Row],[Weight]:[Weight]]-(Table2678[[#This Row],[Weight]:[Weight]]*((_xlfn.XMATCH(Table2678[[#This Row],[4]],Table2678[[#This Row],[1]:[11]],0))-1)/(COUNTA(Table2678[[#This Row],[1]:[11]])-COUNTBLANK(Table2678[[#This Row],[1]:[11]])-1)))</f>
        <v>0</v>
      </c>
      <c r="AC25" s="30" t="str" cm="1">
        <f t="array" ref="AC25">IF(Table2678[[#This Row],[5]]="","",Table2678[[#This Row],[Weight]:[Weight]]-(Table2678[[#This Row],[Weight]:[Weight]]*((_xlfn.XMATCH(Table2678[[#This Row],[5]],Table2678[[#This Row],[1]:[11]],0))-1)/(COUNTA(Table2678[[#This Row],[1]:[11]])-COUNTBLANK(Table2678[[#This Row],[1]:[11]])-1)))</f>
        <v/>
      </c>
      <c r="AD25" s="30" t="str" cm="1">
        <f t="array" ref="AD25">IF(Table2678[[#This Row],[6]]="","",Table2678[[#This Row],[Weight]:[Weight]]-(Table2678[[#This Row],[Weight]:[Weight]]*((_xlfn.XMATCH(Table2678[[#This Row],[6]],Table2678[[#This Row],[1]:[11]],0))-1)/(COUNTA(Table2678[[#This Row],[1]:[11]])-COUNTBLANK(Table2678[[#This Row],[1]:[11]])-1)))</f>
        <v/>
      </c>
      <c r="AE25" s="30" t="str" cm="1">
        <f t="array" ref="AE25">IF(Table2678[[#This Row],[7]]="","",Table2678[[#This Row],[Weight]:[Weight]]-(Table2678[[#This Row],[Weight]:[Weight]]*((_xlfn.XMATCH(Table2678[[#This Row],[7]],Table2678[[#This Row],[1]:[11]],0))-1)/(COUNTA(Table2678[[#This Row],[1]:[11]])-COUNTBLANK(Table2678[[#This Row],[1]:[11]])-1)))</f>
        <v/>
      </c>
      <c r="AF25" s="30" t="str" cm="1">
        <f t="array" ref="AF25">IF(Table2678[[#This Row],[8]]="","",Table2678[[#This Row],[Weight]:[Weight]]-(Table2678[[#This Row],[Weight]:[Weight]]*((_xlfn.XMATCH(Table2678[[#This Row],[8]],Table2678[[#This Row],[1]:[11]],0))-1)/(COUNTA(Table2678[[#This Row],[1]:[11]])-COUNTBLANK(Table2678[[#This Row],[1]:[11]])-1)))</f>
        <v/>
      </c>
      <c r="AG25" s="30" t="str" cm="1">
        <f t="array" ref="AG25">IF(Table2678[[#This Row],[9]]="","",Table2678[[#This Row],[Weight]:[Weight]]-(Table2678[[#This Row],[Weight]:[Weight]]*((_xlfn.XMATCH(Table2678[[#This Row],[9]],Table2678[[#This Row],[1]:[11]],0))-1)/(COUNTA(Table2678[[#This Row],[1]:[11]])-COUNTBLANK(Table2678[[#This Row],[1]:[11]])-1)))</f>
        <v/>
      </c>
      <c r="AH25" s="30" t="str" cm="1">
        <f t="array" ref="AH25">IF(Table2678[[#This Row],[10]]="","",Table2678[[#This Row],[Weight]:[Weight]]-(Table2678[[#This Row],[Weight]:[Weight]]*((_xlfn.XMATCH(Table2678[[#This Row],[10]],Table2678[[#This Row],[1]:[11]],0))-1)/(COUNTA(Table2678[[#This Row],[1]:[11]])-COUNTBLANK(Table2678[[#This Row],[1]:[11]])-1)))</f>
        <v/>
      </c>
      <c r="AI25" s="30" t="str" cm="1">
        <f t="array" ref="AI25">IF(Table2678[[#This Row],[11]]="","",Table2678[[#This Row],[Weight]:[Weight]]-(Table2678[[#This Row],[Weight]:[Weight]]*((_xlfn.XMATCH(Table2678[[#This Row],[11]],Table2678[[#This Row],[1]:[11]],0))-1)/(COUNTA(Table2678[[#This Row],[1]:[11]])-COUNTBLANK(Table2678[[#This Row],[1]:[11]])-1)))</f>
        <v/>
      </c>
    </row>
    <row r="26" spans="1:35" ht="34.5" x14ac:dyDescent="0.25">
      <c r="A26" s="32">
        <v>12</v>
      </c>
      <c r="B26" s="40"/>
      <c r="C26" s="40"/>
      <c r="D26" s="40"/>
      <c r="E26" s="40"/>
      <c r="F26" s="34" t="s">
        <v>160</v>
      </c>
      <c r="G26" s="35" cm="1">
        <f t="array" ref="G26">_xlfn.IFS(F26="","",F26="No interest",0,F26="Nice to have",1,F26="Useful",2,F26="Important",3,F26="Very important",4,F26="Critical",5,F26="Show stopper",6)</f>
        <v>2</v>
      </c>
      <c r="H26" s="36">
        <f t="shared" si="1"/>
        <v>0</v>
      </c>
      <c r="I26" s="37" t="s">
        <v>175</v>
      </c>
      <c r="J26" s="37" t="str" cm="1">
        <f t="array" ref="J26">_xlfn.TEXTJOIN(","&amp;CHAR(10),,TEXT(Table2678[[#This Row],[12]:[22]],"0,00%"))</f>
        <v>0,00%,
0,00%,
0,00%</v>
      </c>
      <c r="K26" s="38" t="s">
        <v>33</v>
      </c>
      <c r="L26" s="39">
        <f>H26-(H26*((MATCH(Table2678[[#This Row],[Evaluators Response (SELECT)]],Table2678[[#This Row],[1]:[11]],0)-1)/(COUNTA(Table2678[[#This Row],[1]:[11]])-COUNTBLANK(Table2678[[#This Row],[1]:[11]])-1)))</f>
        <v>0</v>
      </c>
      <c r="M26" s="40"/>
      <c r="N26" s="29" t="str" cm="1">
        <f t="array" ref="N26">IFERROR(INDEX(_xlfn.UNIQUE(TRIM(_xlfn.TEXTSPLIT(Table2678[[#This Row],[Selection Options]:[Selection Options]],","))),,N$11),"")</f>
        <v>3</v>
      </c>
      <c r="O26" s="29" t="str" cm="1">
        <f t="array" ref="O26">IFERROR(INDEX(_xlfn.UNIQUE(TRIM(_xlfn.TEXTSPLIT(Table2678[[#This Row],[Selection Options]:[Selection Options]],","))),,O$11),"")</f>
        <v>2</v>
      </c>
      <c r="P26" s="29" t="str" cm="1">
        <f t="array" ref="P26">IFERROR(INDEX(_xlfn.UNIQUE(TRIM(_xlfn.TEXTSPLIT(Table2678[[#This Row],[Selection Options]:[Selection Options]],","))),,P$11),"")</f>
        <v>1</v>
      </c>
      <c r="Q26" s="29" t="str" cm="1">
        <f t="array" ref="Q26">IFERROR(INDEX(_xlfn.UNIQUE(TRIM(_xlfn.TEXTSPLIT(Table2678[[#This Row],[Selection Options]:[Selection Options]],","))),,Q$11),"")</f>
        <v/>
      </c>
      <c r="R26" s="29" t="str" cm="1">
        <f t="array" ref="R26">IFERROR(INDEX(_xlfn.UNIQUE(TRIM(_xlfn.TEXTSPLIT(Table2678[[#This Row],[Selection Options]:[Selection Options]],","))),,R$11),"")</f>
        <v/>
      </c>
      <c r="S26" s="29" t="str" cm="1">
        <f t="array" ref="S26">IFERROR(INDEX(_xlfn.UNIQUE(TRIM(_xlfn.TEXTSPLIT(Table2678[[#This Row],[Selection Options]:[Selection Options]],","))),,S$11),"")</f>
        <v/>
      </c>
      <c r="T26" s="29" t="str" cm="1">
        <f t="array" ref="T26">IFERROR(INDEX(_xlfn.UNIQUE(TRIM(_xlfn.TEXTSPLIT(Table2678[[#This Row],[Selection Options]:[Selection Options]],","))),,T$11),"")</f>
        <v/>
      </c>
      <c r="U26" s="29" t="str" cm="1">
        <f t="array" ref="U26">IFERROR(INDEX(_xlfn.UNIQUE(TRIM(_xlfn.TEXTSPLIT(Table2678[[#This Row],[Selection Options]:[Selection Options]],","))),,U$11),"")</f>
        <v/>
      </c>
      <c r="V26" s="29" t="str" cm="1">
        <f t="array" ref="V26">IFERROR(INDEX(_xlfn.UNIQUE(TRIM(_xlfn.TEXTSPLIT(Table2678[[#This Row],[Selection Options]:[Selection Options]],","))),,V$11),"")</f>
        <v/>
      </c>
      <c r="W26" s="29" t="str" cm="1">
        <f t="array" ref="W26">IFERROR(INDEX(_xlfn.UNIQUE(TRIM(_xlfn.TEXTSPLIT(Table2678[[#This Row],[Selection Options]:[Selection Options]],","))),,W$11),"")</f>
        <v/>
      </c>
      <c r="X26" s="29" t="str" cm="1">
        <f t="array" ref="X26">IFERROR(INDEX(_xlfn.UNIQUE(TRIM(_xlfn.TEXTSPLIT(Table2678[[#This Row],[Selection Options]:[Selection Options]],","))),,X$11),"")</f>
        <v/>
      </c>
      <c r="Y26" s="30" cm="1">
        <f t="array" ref="Y26">IF(Table2678[[#This Row],[1]]="","",Table2678[[#This Row],[Weight]:[Weight]]-(Table2678[[#This Row],[Weight]:[Weight]]*((_xlfn.XMATCH(Table2678[[#This Row],[1]],Table2678[[#This Row],[1]:[11]],0))-1)/(COUNTA(Table2678[[#This Row],[1]:[11]])-COUNTBLANK(Table2678[[#This Row],[1]:[11]])-1)))</f>
        <v>0</v>
      </c>
      <c r="Z26" s="30" cm="1">
        <f t="array" ref="Z26">IF(Table2678[[#This Row],[2]]="","",Table2678[[#This Row],[Weight]:[Weight]]-(Table2678[[#This Row],[Weight]:[Weight]]*((_xlfn.XMATCH(Table2678[[#This Row],[2]],Table2678[[#This Row],[1]:[11]],0))-1)/(COUNTA(Table2678[[#This Row],[1]:[11]])-COUNTBLANK(Table2678[[#This Row],[1]:[11]])-1)))</f>
        <v>0</v>
      </c>
      <c r="AA26" s="30" cm="1">
        <f t="array" ref="AA26">IF(Table2678[[#This Row],[3]]="","",Table2678[[#This Row],[Weight]:[Weight]]-(Table2678[[#This Row],[Weight]:[Weight]]*((_xlfn.XMATCH(Table2678[[#This Row],[3]],Table2678[[#This Row],[1]:[11]],0))-1)/(COUNTA(Table2678[[#This Row],[1]:[11]])-COUNTBLANK(Table2678[[#This Row],[1]:[11]])-1)))</f>
        <v>0</v>
      </c>
      <c r="AB26" s="30" t="str" cm="1">
        <f t="array" ref="AB26">IF(Table2678[[#This Row],[4]]="","",Table2678[[#This Row],[Weight]:[Weight]]-(Table2678[[#This Row],[Weight]:[Weight]]*((_xlfn.XMATCH(Table2678[[#This Row],[4]],Table2678[[#This Row],[1]:[11]],0))-1)/(COUNTA(Table2678[[#This Row],[1]:[11]])-COUNTBLANK(Table2678[[#This Row],[1]:[11]])-1)))</f>
        <v/>
      </c>
      <c r="AC26" s="30" t="str" cm="1">
        <f t="array" ref="AC26">IF(Table2678[[#This Row],[5]]="","",Table2678[[#This Row],[Weight]:[Weight]]-(Table2678[[#This Row],[Weight]:[Weight]]*((_xlfn.XMATCH(Table2678[[#This Row],[5]],Table2678[[#This Row],[1]:[11]],0))-1)/(COUNTA(Table2678[[#This Row],[1]:[11]])-COUNTBLANK(Table2678[[#This Row],[1]:[11]])-1)))</f>
        <v/>
      </c>
      <c r="AD26" s="30" t="str" cm="1">
        <f t="array" ref="AD26">IF(Table2678[[#This Row],[6]]="","",Table2678[[#This Row],[Weight]:[Weight]]-(Table2678[[#This Row],[Weight]:[Weight]]*((_xlfn.XMATCH(Table2678[[#This Row],[6]],Table2678[[#This Row],[1]:[11]],0))-1)/(COUNTA(Table2678[[#This Row],[1]:[11]])-COUNTBLANK(Table2678[[#This Row],[1]:[11]])-1)))</f>
        <v/>
      </c>
      <c r="AE26" s="30" t="str" cm="1">
        <f t="array" ref="AE26">IF(Table2678[[#This Row],[7]]="","",Table2678[[#This Row],[Weight]:[Weight]]-(Table2678[[#This Row],[Weight]:[Weight]]*((_xlfn.XMATCH(Table2678[[#This Row],[7]],Table2678[[#This Row],[1]:[11]],0))-1)/(COUNTA(Table2678[[#This Row],[1]:[11]])-COUNTBLANK(Table2678[[#This Row],[1]:[11]])-1)))</f>
        <v/>
      </c>
      <c r="AF26" s="30" t="str" cm="1">
        <f t="array" ref="AF26">IF(Table2678[[#This Row],[8]]="","",Table2678[[#This Row],[Weight]:[Weight]]-(Table2678[[#This Row],[Weight]:[Weight]]*((_xlfn.XMATCH(Table2678[[#This Row],[8]],Table2678[[#This Row],[1]:[11]],0))-1)/(COUNTA(Table2678[[#This Row],[1]:[11]])-COUNTBLANK(Table2678[[#This Row],[1]:[11]])-1)))</f>
        <v/>
      </c>
      <c r="AG26" s="30" t="str" cm="1">
        <f t="array" ref="AG26">IF(Table2678[[#This Row],[9]]="","",Table2678[[#This Row],[Weight]:[Weight]]-(Table2678[[#This Row],[Weight]:[Weight]]*((_xlfn.XMATCH(Table2678[[#This Row],[9]],Table2678[[#This Row],[1]:[11]],0))-1)/(COUNTA(Table2678[[#This Row],[1]:[11]])-COUNTBLANK(Table2678[[#This Row],[1]:[11]])-1)))</f>
        <v/>
      </c>
      <c r="AH26" s="30" t="str" cm="1">
        <f t="array" ref="AH26">IF(Table2678[[#This Row],[10]]="","",Table2678[[#This Row],[Weight]:[Weight]]-(Table2678[[#This Row],[Weight]:[Weight]]*((_xlfn.XMATCH(Table2678[[#This Row],[10]],Table2678[[#This Row],[1]:[11]],0))-1)/(COUNTA(Table2678[[#This Row],[1]:[11]])-COUNTBLANK(Table2678[[#This Row],[1]:[11]])-1)))</f>
        <v/>
      </c>
      <c r="AI26" s="30" t="str" cm="1">
        <f t="array" ref="AI26">IF(Table2678[[#This Row],[11]]="","",Table2678[[#This Row],[Weight]:[Weight]]-(Table2678[[#This Row],[Weight]:[Weight]]*((_xlfn.XMATCH(Table2678[[#This Row],[11]],Table2678[[#This Row],[1]:[11]],0))-1)/(COUNTA(Table2678[[#This Row],[1]:[11]])-COUNTBLANK(Table2678[[#This Row],[1]:[11]])-1)))</f>
        <v/>
      </c>
    </row>
    <row r="27" spans="1:35" ht="34.5" x14ac:dyDescent="0.25">
      <c r="A27" s="20">
        <v>13</v>
      </c>
      <c r="B27" s="28"/>
      <c r="C27" s="28"/>
      <c r="D27" s="28"/>
      <c r="E27" s="28"/>
      <c r="F27" s="22" t="s">
        <v>60</v>
      </c>
      <c r="G27" s="23" cm="1">
        <f t="array" ref="G27">_xlfn.IFS(F27="","",F27="No interest",0,F27="Nice to have",1,F27="Useful",2,F27="Important",3,F27="Very important",4,F27="Critical",5,F27="Show stopper",6)</f>
        <v>6</v>
      </c>
      <c r="H27" s="24">
        <f t="shared" si="1"/>
        <v>0</v>
      </c>
      <c r="I27" s="25" t="s">
        <v>176</v>
      </c>
      <c r="J27" s="37" t="str" cm="1">
        <f t="array" ref="J27">_xlfn.TEXTJOIN(","&amp;CHAR(10),,TEXT(Table2678[[#This Row],[12]:[22]],"0,00%"))</f>
        <v>0,00%,
0,00%,
0,00%</v>
      </c>
      <c r="K27" s="26" t="s">
        <v>177</v>
      </c>
      <c r="L27" s="27">
        <f>H27-(H27*((MATCH(Table2678[[#This Row],[Evaluators Response (SELECT)]],Table2678[[#This Row],[1]:[11]],0)-1)/(COUNTA(Table2678[[#This Row],[1]:[11]])-COUNTBLANK(Table2678[[#This Row],[1]:[11]])-1)))</f>
        <v>0</v>
      </c>
      <c r="M27" s="28"/>
      <c r="N27" s="41" t="str" cm="1">
        <f t="array" ref="N27">IFERROR(INDEX(_xlfn.UNIQUE(TRIM(_xlfn.TEXTSPLIT(Table2678[[#This Row],[Selection Options]:[Selection Options]],","))),,N$11),"")</f>
        <v>M</v>
      </c>
      <c r="O27" s="41" t="str" cm="1">
        <f t="array" ref="O27">IFERROR(INDEX(_xlfn.UNIQUE(TRIM(_xlfn.TEXTSPLIT(Table2678[[#This Row],[Selection Options]],","))),,O$11),"")</f>
        <v>N</v>
      </c>
      <c r="P27" s="41" t="str" cm="1">
        <f t="array" ref="P27">IFERROR(INDEX(_xlfn.UNIQUE(TRIM(_xlfn.TEXTSPLIT(Table2678[[#This Row],[Selection Options]],","))),,P$11),"")</f>
        <v>P</v>
      </c>
      <c r="Q27" s="41" t="str" cm="1">
        <f t="array" ref="Q27">IFERROR(INDEX(_xlfn.UNIQUE(TRIM(_xlfn.TEXTSPLIT(Table2678[[#This Row],[Selection Options]],","))),,Q$11),"")</f>
        <v/>
      </c>
      <c r="R27" s="42" t="str" cm="1">
        <f t="array" ref="R27">IFERROR(INDEX(_xlfn.UNIQUE(TRIM(_xlfn.TEXTSPLIT(Table2678[[#This Row],[Selection Options]],","))),,R$11),"")</f>
        <v/>
      </c>
      <c r="S27" s="41" t="str" cm="1">
        <f t="array" ref="S27">IFERROR(INDEX(_xlfn.UNIQUE(TRIM(_xlfn.TEXTSPLIT(Table2678[[#This Row],[Selection Options]],","))),,S$11),"")</f>
        <v/>
      </c>
      <c r="T27" s="41" t="str" cm="1">
        <f t="array" ref="T27">IFERROR(INDEX(_xlfn.UNIQUE(TRIM(_xlfn.TEXTSPLIT(Table2678[[#This Row],[Selection Options]],","))),,T$11),"")</f>
        <v/>
      </c>
      <c r="U27" s="41" t="str" cm="1">
        <f t="array" ref="U27">IFERROR(INDEX(_xlfn.UNIQUE(TRIM(_xlfn.TEXTSPLIT(Table2678[[#This Row],[Selection Options]],","))),,U$11),"")</f>
        <v/>
      </c>
      <c r="V27" s="41" t="str" cm="1">
        <f t="array" ref="V27">IFERROR(INDEX(_xlfn.UNIQUE(TRIM(_xlfn.TEXTSPLIT(Table2678[[#This Row],[Selection Options]],","))),,V$11),"")</f>
        <v/>
      </c>
      <c r="W27" s="41" t="str" cm="1">
        <f t="array" ref="W27">IFERROR(INDEX(_xlfn.UNIQUE(TRIM(_xlfn.TEXTSPLIT(Table2678[[#This Row],[Selection Options]],","))),,W$11),"")</f>
        <v/>
      </c>
      <c r="X27" s="41" t="str" cm="1">
        <f t="array" ref="X27">IFERROR(INDEX(_xlfn.UNIQUE(TRIM(_xlfn.TEXTSPLIT(Table2678[[#This Row],[Selection Options]],","))),,X$11),"")</f>
        <v/>
      </c>
      <c r="Y27" s="30" cm="1">
        <f t="array" ref="Y27">IF(Table2678[[#This Row],[1]]="","",Table2678[[#This Row],[Weight]:[Weight]]-(Table2678[[#This Row],[Weight]:[Weight]]*((_xlfn.XMATCH(Table2678[[#This Row],[1]],Table2678[[#This Row],[1]:[11]],0))-1)/(COUNTA(Table2678[[#This Row],[1]:[11]])-COUNTBLANK(Table2678[[#This Row],[1]:[11]])-1)))</f>
        <v>0</v>
      </c>
      <c r="Z27" s="30" cm="1">
        <f t="array" ref="Z27">IF(Table2678[[#This Row],[2]]="","",Table2678[[#This Row],[Weight]:[Weight]]-(Table2678[[#This Row],[Weight]:[Weight]]*((_xlfn.XMATCH(Table2678[[#This Row],[2]],Table2678[[#This Row],[1]:[11]],0))-1)/(COUNTA(Table2678[[#This Row],[1]:[11]])-COUNTBLANK(Table2678[[#This Row],[1]:[11]])-1)))</f>
        <v>0</v>
      </c>
      <c r="AA27" s="30" cm="1">
        <f t="array" ref="AA27">IF(Table2678[[#This Row],[3]]="","",Table2678[[#This Row],[Weight]:[Weight]]-(Table2678[[#This Row],[Weight]:[Weight]]*((_xlfn.XMATCH(Table2678[[#This Row],[3]],Table2678[[#This Row],[1]:[11]],0))-1)/(COUNTA(Table2678[[#This Row],[1]:[11]])-COUNTBLANK(Table2678[[#This Row],[1]:[11]])-1)))</f>
        <v>0</v>
      </c>
      <c r="AB27" s="30" t="str" cm="1">
        <f t="array" ref="AB27">IF(Table2678[[#This Row],[4]]="","",Table2678[[#This Row],[Weight]:[Weight]]-(Table2678[[#This Row],[Weight]:[Weight]]*((_xlfn.XMATCH(Table2678[[#This Row],[4]],Table2678[[#This Row],[1]:[11]],0))-1)/(COUNTA(Table2678[[#This Row],[1]:[11]])-COUNTBLANK(Table2678[[#This Row],[1]:[11]])-1)))</f>
        <v/>
      </c>
      <c r="AC27" s="30" t="str" cm="1">
        <f t="array" ref="AC27">IF(Table2678[[#This Row],[5]]="","",Table2678[[#This Row],[Weight]:[Weight]]-(Table2678[[#This Row],[Weight]:[Weight]]*((_xlfn.XMATCH(Table2678[[#This Row],[5]],Table2678[[#This Row],[1]:[11]],0))-1)/(COUNTA(Table2678[[#This Row],[1]:[11]])-COUNTBLANK(Table2678[[#This Row],[1]:[11]])-1)))</f>
        <v/>
      </c>
      <c r="AD27" s="30" t="str" cm="1">
        <f t="array" ref="AD27">IF(Table2678[[#This Row],[6]]="","",Table2678[[#This Row],[Weight]:[Weight]]-(Table2678[[#This Row],[Weight]:[Weight]]*((_xlfn.XMATCH(Table2678[[#This Row],[6]],Table2678[[#This Row],[1]:[11]],0))-1)/(COUNTA(Table2678[[#This Row],[1]:[11]])-COUNTBLANK(Table2678[[#This Row],[1]:[11]])-1)))</f>
        <v/>
      </c>
      <c r="AE27" s="30" t="str" cm="1">
        <f t="array" ref="AE27">IF(Table2678[[#This Row],[7]]="","",Table2678[[#This Row],[Weight]:[Weight]]-(Table2678[[#This Row],[Weight]:[Weight]]*((_xlfn.XMATCH(Table2678[[#This Row],[7]],Table2678[[#This Row],[1]:[11]],0))-1)/(COUNTA(Table2678[[#This Row],[1]:[11]])-COUNTBLANK(Table2678[[#This Row],[1]:[11]])-1)))</f>
        <v/>
      </c>
      <c r="AF27" s="30" t="str" cm="1">
        <f t="array" ref="AF27">IF(Table2678[[#This Row],[8]]="","",Table2678[[#This Row],[Weight]:[Weight]]-(Table2678[[#This Row],[Weight]:[Weight]]*((_xlfn.XMATCH(Table2678[[#This Row],[8]],Table2678[[#This Row],[1]:[11]],0))-1)/(COUNTA(Table2678[[#This Row],[1]:[11]])-COUNTBLANK(Table2678[[#This Row],[1]:[11]])-1)))</f>
        <v/>
      </c>
      <c r="AG27" s="41" t="str" cm="1">
        <f t="array" ref="AG27">IF(Table2678[[#This Row],[9]]="","",Table2678[[#This Row],[Weight]:[Weight]]-(Table2678[[#This Row],[Weight]:[Weight]]*((_xlfn.XMATCH(Table2678[[#This Row],[9]],Table2678[[#This Row],[1]:[11]],0))-1)/(COUNTA(Table2678[[#This Row],[1]:[11]])-COUNTBLANK(Table2678[[#This Row],[1]:[11]])-1)))</f>
        <v/>
      </c>
      <c r="AH27" s="41" t="str" cm="1">
        <f t="array" ref="AH27">IF(Table2678[[#This Row],[10]]="","",Table2678[[#This Row],[Weight]:[Weight]]-(Table2678[[#This Row],[Weight]:[Weight]]*((_xlfn.XMATCH(Table2678[[#This Row],[10]],Table2678[[#This Row],[1]:[11]],0))-1)/(COUNTA(Table2678[[#This Row],[1]:[11]])-COUNTBLANK(Table2678[[#This Row],[1]:[11]])-1)))</f>
        <v/>
      </c>
      <c r="AI27" s="41" t="str" cm="1">
        <f t="array" ref="AI27">IF(Table2678[[#This Row],[11]]="","",Table2678[[#This Row],[Weight]:[Weight]]-(Table2678[[#This Row],[Weight]:[Weight]]*((_xlfn.XMATCH(Table2678[[#This Row],[11]],Table2678[[#This Row],[1]:[11]],0))-1)/(COUNTA(Table2678[[#This Row],[1]:[11]])-COUNTBLANK(Table2678[[#This Row],[1]:[11]])-1)))</f>
        <v/>
      </c>
    </row>
    <row r="28" spans="1:35" ht="23" x14ac:dyDescent="0.25">
      <c r="A28" s="32">
        <v>14</v>
      </c>
      <c r="B28" s="40"/>
      <c r="C28" s="40"/>
      <c r="D28" s="40"/>
      <c r="E28" s="40"/>
      <c r="F28" s="34" t="s">
        <v>56</v>
      </c>
      <c r="G28" s="35" cm="1">
        <f t="array" ref="G28">_xlfn.IFS(F28="","",F28="No interest",0,F28="Nice to have",1,F28="Useful",2,F28="Important",3,F28="Very important",4,F28="Critical",5,F28="Show stopper",6)</f>
        <v>3</v>
      </c>
      <c r="H28" s="36">
        <f t="shared" si="1"/>
        <v>0</v>
      </c>
      <c r="I28" s="37" t="s">
        <v>178</v>
      </c>
      <c r="J28" s="37" t="str" cm="1">
        <f t="array" ref="J28">_xlfn.TEXTJOIN(","&amp;CHAR(10),,TEXT(Table2678[[#This Row],[12]:[22]],"0,00%"))</f>
        <v>0,00%,
0,00%</v>
      </c>
      <c r="K28" s="38" t="s">
        <v>179</v>
      </c>
      <c r="L28" s="39">
        <f>H28-(H28*((MATCH(Table2678[[#This Row],[Evaluators Response (SELECT)]],Table2678[[#This Row],[1]:[11]],0)-1)/(COUNTA(Table2678[[#This Row],[1]:[11]])-COUNTBLANK(Table2678[[#This Row],[1]:[11]])-1)))</f>
        <v>0</v>
      </c>
      <c r="M28" s="40"/>
      <c r="N28" s="29" t="str" cm="1">
        <f t="array" ref="N28">IFERROR(INDEX(_xlfn.UNIQUE(TRIM(_xlfn.TEXTSPLIT(Table2678[[#This Row],[Selection Options]:[Selection Options]],","))),,N$11),"")</f>
        <v>Y</v>
      </c>
      <c r="O28" s="29" t="str" cm="1">
        <f t="array" ref="O28">IFERROR(INDEX(_xlfn.UNIQUE(TRIM(_xlfn.TEXTSPLIT(Table2678[[#This Row],[Selection Options]:[Selection Options]],","))),,O$11),"")</f>
        <v>N</v>
      </c>
      <c r="P28" s="29" t="str" cm="1">
        <f t="array" ref="P28">IFERROR(INDEX(_xlfn.UNIQUE(TRIM(_xlfn.TEXTSPLIT(Table2678[[#This Row],[Selection Options]:[Selection Options]],","))),,P$11),"")</f>
        <v/>
      </c>
      <c r="Q28" s="29" t="str" cm="1">
        <f t="array" ref="Q28">IFERROR(INDEX(_xlfn.UNIQUE(TRIM(_xlfn.TEXTSPLIT(Table2678[[#This Row],[Selection Options]:[Selection Options]],","))),,Q$11),"")</f>
        <v/>
      </c>
      <c r="R28" s="29" t="str" cm="1">
        <f t="array" ref="R28">IFERROR(INDEX(_xlfn.UNIQUE(TRIM(_xlfn.TEXTSPLIT(Table2678[[#This Row],[Selection Options]:[Selection Options]],","))),,R$11),"")</f>
        <v/>
      </c>
      <c r="S28" s="29" t="str" cm="1">
        <f t="array" ref="S28">IFERROR(INDEX(_xlfn.UNIQUE(TRIM(_xlfn.TEXTSPLIT(Table2678[[#This Row],[Selection Options]:[Selection Options]],","))),,S$11),"")</f>
        <v/>
      </c>
      <c r="T28" s="29" t="str" cm="1">
        <f t="array" ref="T28">IFERROR(INDEX(_xlfn.UNIQUE(TRIM(_xlfn.TEXTSPLIT(Table2678[[#This Row],[Selection Options]:[Selection Options]],","))),,T$11),"")</f>
        <v/>
      </c>
      <c r="U28" s="29" t="str" cm="1">
        <f t="array" ref="U28">IFERROR(INDEX(_xlfn.UNIQUE(TRIM(_xlfn.TEXTSPLIT(Table2678[[#This Row],[Selection Options]:[Selection Options]],","))),,U$11),"")</f>
        <v/>
      </c>
      <c r="V28" s="29" t="str" cm="1">
        <f t="array" ref="V28">IFERROR(INDEX(_xlfn.UNIQUE(TRIM(_xlfn.TEXTSPLIT(Table2678[[#This Row],[Selection Options]:[Selection Options]],","))),,V$11),"")</f>
        <v/>
      </c>
      <c r="W28" s="29" t="str" cm="1">
        <f t="array" ref="W28">IFERROR(INDEX(_xlfn.UNIQUE(TRIM(_xlfn.TEXTSPLIT(Table2678[[#This Row],[Selection Options]:[Selection Options]],","))),,W$11),"")</f>
        <v/>
      </c>
      <c r="X28" s="29" t="str" cm="1">
        <f t="array" ref="X28">IFERROR(INDEX(_xlfn.UNIQUE(TRIM(_xlfn.TEXTSPLIT(Table2678[[#This Row],[Selection Options]:[Selection Options]],","))),,X$11),"")</f>
        <v/>
      </c>
      <c r="Y28" s="30" cm="1">
        <f t="array" ref="Y28">IF(Table2678[[#This Row],[1]]="","",Table2678[[#This Row],[Weight]:[Weight]]-(Table2678[[#This Row],[Weight]:[Weight]]*((_xlfn.XMATCH(Table2678[[#This Row],[1]],Table2678[[#This Row],[1]:[11]],0))-1)/(COUNTA(Table2678[[#This Row],[1]:[11]])-COUNTBLANK(Table2678[[#This Row],[1]:[11]])-1)))</f>
        <v>0</v>
      </c>
      <c r="Z28" s="30" cm="1">
        <f t="array" ref="Z28">IF(Table2678[[#This Row],[2]]="","",Table2678[[#This Row],[Weight]:[Weight]]-(Table2678[[#This Row],[Weight]:[Weight]]*((_xlfn.XMATCH(Table2678[[#This Row],[2]],Table2678[[#This Row],[1]:[11]],0))-1)/(COUNTA(Table2678[[#This Row],[1]:[11]])-COUNTBLANK(Table2678[[#This Row],[1]:[11]])-1)))</f>
        <v>0</v>
      </c>
      <c r="AA28" s="30" t="str" cm="1">
        <f t="array" ref="AA28">IF(Table2678[[#This Row],[3]]="","",Table2678[[#This Row],[Weight]:[Weight]]-(Table2678[[#This Row],[Weight]:[Weight]]*((_xlfn.XMATCH(Table2678[[#This Row],[3]],Table2678[[#This Row],[1]:[11]],0))-1)/(COUNTA(Table2678[[#This Row],[1]:[11]])-COUNTBLANK(Table2678[[#This Row],[1]:[11]])-1)))</f>
        <v/>
      </c>
      <c r="AB28" s="30" t="str" cm="1">
        <f t="array" ref="AB28">IF(Table2678[[#This Row],[4]]="","",Table2678[[#This Row],[Weight]:[Weight]]-(Table2678[[#This Row],[Weight]:[Weight]]*((_xlfn.XMATCH(Table2678[[#This Row],[4]],Table2678[[#This Row],[1]:[11]],0))-1)/(COUNTA(Table2678[[#This Row],[1]:[11]])-COUNTBLANK(Table2678[[#This Row],[1]:[11]])-1)))</f>
        <v/>
      </c>
      <c r="AC28" s="30" t="str" cm="1">
        <f t="array" ref="AC28">IF(Table2678[[#This Row],[5]]="","",Table2678[[#This Row],[Weight]:[Weight]]-(Table2678[[#This Row],[Weight]:[Weight]]*((_xlfn.XMATCH(Table2678[[#This Row],[5]],Table2678[[#This Row],[1]:[11]],0))-1)/(COUNTA(Table2678[[#This Row],[1]:[11]])-COUNTBLANK(Table2678[[#This Row],[1]:[11]])-1)))</f>
        <v/>
      </c>
      <c r="AD28" s="30" t="str" cm="1">
        <f t="array" ref="AD28">IF(Table2678[[#This Row],[6]]="","",Table2678[[#This Row],[Weight]:[Weight]]-(Table2678[[#This Row],[Weight]:[Weight]]*((_xlfn.XMATCH(Table2678[[#This Row],[6]],Table2678[[#This Row],[1]:[11]],0))-1)/(COUNTA(Table2678[[#This Row],[1]:[11]])-COUNTBLANK(Table2678[[#This Row],[1]:[11]])-1)))</f>
        <v/>
      </c>
      <c r="AE28" s="30" t="str" cm="1">
        <f t="array" ref="AE28">IF(Table2678[[#This Row],[7]]="","",Table2678[[#This Row],[Weight]:[Weight]]-(Table2678[[#This Row],[Weight]:[Weight]]*((_xlfn.XMATCH(Table2678[[#This Row],[7]],Table2678[[#This Row],[1]:[11]],0))-1)/(COUNTA(Table2678[[#This Row],[1]:[11]])-COUNTBLANK(Table2678[[#This Row],[1]:[11]])-1)))</f>
        <v/>
      </c>
      <c r="AF28" s="30" t="str" cm="1">
        <f t="array" ref="AF28">IF(Table2678[[#This Row],[8]]="","",Table2678[[#This Row],[Weight]:[Weight]]-(Table2678[[#This Row],[Weight]:[Weight]]*((_xlfn.XMATCH(Table2678[[#This Row],[8]],Table2678[[#This Row],[1]:[11]],0))-1)/(COUNTA(Table2678[[#This Row],[1]:[11]])-COUNTBLANK(Table2678[[#This Row],[1]:[11]])-1)))</f>
        <v/>
      </c>
      <c r="AG28" s="30" t="str" cm="1">
        <f t="array" ref="AG28">IF(Table2678[[#This Row],[9]]="","",Table2678[[#This Row],[Weight]:[Weight]]-(Table2678[[#This Row],[Weight]:[Weight]]*((_xlfn.XMATCH(Table2678[[#This Row],[9]],Table2678[[#This Row],[1]:[11]],0))-1)/(COUNTA(Table2678[[#This Row],[1]:[11]])-COUNTBLANK(Table2678[[#This Row],[1]:[11]])-1)))</f>
        <v/>
      </c>
      <c r="AH28" s="30" t="str" cm="1">
        <f t="array" ref="AH28">IF(Table2678[[#This Row],[10]]="","",Table2678[[#This Row],[Weight]:[Weight]]-(Table2678[[#This Row],[Weight]:[Weight]]*((_xlfn.XMATCH(Table2678[[#This Row],[10]],Table2678[[#This Row],[1]:[11]],0))-1)/(COUNTA(Table2678[[#This Row],[1]:[11]])-COUNTBLANK(Table2678[[#This Row],[1]:[11]])-1)))</f>
        <v/>
      </c>
      <c r="AI28" s="30" t="str" cm="1">
        <f t="array" ref="AI28">IF(Table2678[[#This Row],[11]]="","",Table2678[[#This Row],[Weight]:[Weight]]-(Table2678[[#This Row],[Weight]:[Weight]]*((_xlfn.XMATCH(Table2678[[#This Row],[11]],Table2678[[#This Row],[1]:[11]],0))-1)/(COUNTA(Table2678[[#This Row],[1]:[11]])-COUNTBLANK(Table2678[[#This Row],[1]:[11]])-1)))</f>
        <v/>
      </c>
    </row>
    <row r="29" spans="1:35" ht="46" x14ac:dyDescent="0.25">
      <c r="A29" s="32">
        <v>15</v>
      </c>
      <c r="B29" s="40"/>
      <c r="C29" s="40"/>
      <c r="D29" s="40"/>
      <c r="E29" s="40"/>
      <c r="F29" s="34" t="s">
        <v>114</v>
      </c>
      <c r="G29" s="35" cm="1">
        <f t="array" ref="G29">_xlfn.IFS(F29="","",F29="No interest",0,F29="Nice to have",1,F29="Useful",2,F29="Important",3,F29="Very important",4,F29="Critical",5,F29="Show stopper",6)</f>
        <v>5</v>
      </c>
      <c r="H29" s="36">
        <f t="shared" si="1"/>
        <v>0</v>
      </c>
      <c r="I29" s="37" t="s">
        <v>180</v>
      </c>
      <c r="J29" s="37" t="str" cm="1">
        <f t="array" ref="J29">_xlfn.TEXTJOIN(","&amp;CHAR(10),,TEXT(Table2678[[#This Row],[12]:[22]],"0,00%"))</f>
        <v>0,00%,
0,00%,
0,00%,
0,00%</v>
      </c>
      <c r="K29" s="38" t="s">
        <v>169</v>
      </c>
      <c r="L29" s="39">
        <f>H29-(H29*((MATCH(Table2678[[#This Row],[Evaluators Response (SELECT)]],Table2678[[#This Row],[1]:[11]],0)-1)/(COUNTA(Table2678[[#This Row],[1]:[11]])-COUNTBLANK(Table2678[[#This Row],[1]:[11]])-1)))</f>
        <v>0</v>
      </c>
      <c r="M29" s="40"/>
      <c r="N29" s="29" t="str" cm="1">
        <f t="array" ref="N29">IFERROR(INDEX(_xlfn.UNIQUE(TRIM(_xlfn.TEXTSPLIT(Table2678[[#This Row],[Selection Options]:[Selection Options]],","))),,N$11),"")</f>
        <v>X</v>
      </c>
      <c r="O29" s="29" t="str" cm="1">
        <f t="array" ref="O29">IFERROR(INDEX(_xlfn.UNIQUE(TRIM(_xlfn.TEXTSPLIT(Table2678[[#This Row],[Selection Options]],","))),,O$11),"")</f>
        <v>Y</v>
      </c>
      <c r="P29" s="29" t="str" cm="1">
        <f t="array" ref="P29">IFERROR(INDEX(_xlfn.UNIQUE(TRIM(_xlfn.TEXTSPLIT(Table2678[[#This Row],[Selection Options]],","))),,P$11),"")</f>
        <v>Z</v>
      </c>
      <c r="Q29" s="29" t="str" cm="1">
        <f t="array" ref="Q29">IFERROR(INDEX(_xlfn.UNIQUE(TRIM(_xlfn.TEXTSPLIT(Table2678[[#This Row],[Selection Options]],","))),,Q$11),"")</f>
        <v>A</v>
      </c>
      <c r="R29" s="43" t="str" cm="1">
        <f t="array" ref="R29">IFERROR(INDEX(_xlfn.UNIQUE(TRIM(_xlfn.TEXTSPLIT(Table2678[[#This Row],[Selection Options]],","))),,R$11),"")</f>
        <v/>
      </c>
      <c r="S29" s="29" t="str" cm="1">
        <f t="array" ref="S29">IFERROR(INDEX(_xlfn.UNIQUE(TRIM(_xlfn.TEXTSPLIT(Table2678[[#This Row],[Selection Options]],","))),,S$11),"")</f>
        <v/>
      </c>
      <c r="T29" s="29" t="str" cm="1">
        <f t="array" ref="T29">IFERROR(INDEX(_xlfn.UNIQUE(TRIM(_xlfn.TEXTSPLIT(Table2678[[#This Row],[Selection Options]],","))),,T$11),"")</f>
        <v/>
      </c>
      <c r="U29" s="29" t="str" cm="1">
        <f t="array" ref="U29">IFERROR(INDEX(_xlfn.UNIQUE(TRIM(_xlfn.TEXTSPLIT(Table2678[[#This Row],[Selection Options]],","))),,U$11),"")</f>
        <v/>
      </c>
      <c r="V29" s="29" t="str" cm="1">
        <f t="array" ref="V29">IFERROR(INDEX(_xlfn.UNIQUE(TRIM(_xlfn.TEXTSPLIT(Table2678[[#This Row],[Selection Options]],","))),,V$11),"")</f>
        <v/>
      </c>
      <c r="W29" s="29" t="str" cm="1">
        <f t="array" ref="W29">IFERROR(INDEX(_xlfn.UNIQUE(TRIM(_xlfn.TEXTSPLIT(Table2678[[#This Row],[Selection Options]],","))),,W$11),"")</f>
        <v/>
      </c>
      <c r="X29" s="29" t="str" cm="1">
        <f t="array" ref="X29">IFERROR(INDEX(_xlfn.UNIQUE(TRIM(_xlfn.TEXTSPLIT(Table2678[[#This Row],[Selection Options]],","))),,X$11),"")</f>
        <v/>
      </c>
      <c r="Y29" s="30" cm="1">
        <f t="array" ref="Y29">IF(Table2678[[#This Row],[1]]="","",Table2678[[#This Row],[Weight]:[Weight]]-(Table2678[[#This Row],[Weight]:[Weight]]*((_xlfn.XMATCH(Table2678[[#This Row],[1]],Table2678[[#This Row],[1]:[11]],0))-1)/(COUNTA(Table2678[[#This Row],[1]:[11]])-COUNTBLANK(Table2678[[#This Row],[1]:[11]])-1)))</f>
        <v>0</v>
      </c>
      <c r="Z29" s="30" cm="1">
        <f t="array" ref="Z29">IF(Table2678[[#This Row],[2]]="","",Table2678[[#This Row],[Weight]:[Weight]]-(Table2678[[#This Row],[Weight]:[Weight]]*((_xlfn.XMATCH(Table2678[[#This Row],[2]],Table2678[[#This Row],[1]:[11]],0))-1)/(COUNTA(Table2678[[#This Row],[1]:[11]])-COUNTBLANK(Table2678[[#This Row],[1]:[11]])-1)))</f>
        <v>0</v>
      </c>
      <c r="AA29" s="30" cm="1">
        <f t="array" ref="AA29">IF(Table2678[[#This Row],[3]]="","",Table2678[[#This Row],[Weight]:[Weight]]-(Table2678[[#This Row],[Weight]:[Weight]]*((_xlfn.XMATCH(Table2678[[#This Row],[3]],Table2678[[#This Row],[1]:[11]],0))-1)/(COUNTA(Table2678[[#This Row],[1]:[11]])-COUNTBLANK(Table2678[[#This Row],[1]:[11]])-1)))</f>
        <v>0</v>
      </c>
      <c r="AB29" s="30" cm="1">
        <f t="array" ref="AB29">IF(Table2678[[#This Row],[4]]="","",Table2678[[#This Row],[Weight]:[Weight]]-(Table2678[[#This Row],[Weight]:[Weight]]*((_xlfn.XMATCH(Table2678[[#This Row],[4]],Table2678[[#This Row],[1]:[11]],0))-1)/(COUNTA(Table2678[[#This Row],[1]:[11]])-COUNTBLANK(Table2678[[#This Row],[1]:[11]])-1)))</f>
        <v>0</v>
      </c>
      <c r="AC29" s="30" t="str" cm="1">
        <f t="array" ref="AC29">IF(Table2678[[#This Row],[5]]="","",Table2678[[#This Row],[Weight]:[Weight]]-(Table2678[[#This Row],[Weight]:[Weight]]*((_xlfn.XMATCH(Table2678[[#This Row],[5]],Table2678[[#This Row],[1]:[11]],0))-1)/(COUNTA(Table2678[[#This Row],[1]:[11]])-COUNTBLANK(Table2678[[#This Row],[1]:[11]])-1)))</f>
        <v/>
      </c>
      <c r="AD29" s="30" t="str" cm="1">
        <f t="array" ref="AD29">IF(Table2678[[#This Row],[6]]="","",Table2678[[#This Row],[Weight]:[Weight]]-(Table2678[[#This Row],[Weight]:[Weight]]*((_xlfn.XMATCH(Table2678[[#This Row],[6]],Table2678[[#This Row],[1]:[11]],0))-1)/(COUNTA(Table2678[[#This Row],[1]:[11]])-COUNTBLANK(Table2678[[#This Row],[1]:[11]])-1)))</f>
        <v/>
      </c>
      <c r="AE29" s="30" t="str" cm="1">
        <f t="array" ref="AE29">IF(Table2678[[#This Row],[7]]="","",Table2678[[#This Row],[Weight]:[Weight]]-(Table2678[[#This Row],[Weight]:[Weight]]*((_xlfn.XMATCH(Table2678[[#This Row],[7]],Table2678[[#This Row],[1]:[11]],0))-1)/(COUNTA(Table2678[[#This Row],[1]:[11]])-COUNTBLANK(Table2678[[#This Row],[1]:[11]])-1)))</f>
        <v/>
      </c>
      <c r="AF29" s="30" t="str" cm="1">
        <f t="array" ref="AF29">IF(Table2678[[#This Row],[8]]="","",Table2678[[#This Row],[Weight]:[Weight]]-(Table2678[[#This Row],[Weight]:[Weight]]*((_xlfn.XMATCH(Table2678[[#This Row],[8]],Table2678[[#This Row],[1]:[11]],0))-1)/(COUNTA(Table2678[[#This Row],[1]:[11]])-COUNTBLANK(Table2678[[#This Row],[1]:[11]])-1)))</f>
        <v/>
      </c>
      <c r="AG29" s="30" t="str" cm="1">
        <f t="array" ref="AG29">IF(Table2678[[#This Row],[9]]="","",Table2678[[#This Row],[Weight]:[Weight]]-(Table2678[[#This Row],[Weight]:[Weight]]*((_xlfn.XMATCH(Table2678[[#This Row],[9]],Table2678[[#This Row],[1]:[11]],0))-1)/(COUNTA(Table2678[[#This Row],[1]:[11]])-COUNTBLANK(Table2678[[#This Row],[1]:[11]])-1)))</f>
        <v/>
      </c>
      <c r="AH29" s="30" t="str" cm="1">
        <f t="array" ref="AH29">IF(Table2678[[#This Row],[10]]="","",Table2678[[#This Row],[Weight]:[Weight]]-(Table2678[[#This Row],[Weight]:[Weight]]*((_xlfn.XMATCH(Table2678[[#This Row],[10]],Table2678[[#This Row],[1]:[11]],0))-1)/(COUNTA(Table2678[[#This Row],[1]:[11]])-COUNTBLANK(Table2678[[#This Row],[1]:[11]])-1)))</f>
        <v/>
      </c>
      <c r="AI29" s="30" t="str" cm="1">
        <f t="array" ref="AI29">IF(Table2678[[#This Row],[11]]="","",Table2678[[#This Row],[Weight]:[Weight]]-(Table2678[[#This Row],[Weight]:[Weight]]*((_xlfn.XMATCH(Table2678[[#This Row],[11]],Table2678[[#This Row],[1]:[11]],0))-1)/(COUNTA(Table2678[[#This Row],[1]:[11]])-COUNTBLANK(Table2678[[#This Row],[1]:[11]])-1)))</f>
        <v/>
      </c>
    </row>
    <row r="30" spans="1:35" ht="46" x14ac:dyDescent="0.25">
      <c r="A30" s="32">
        <v>16</v>
      </c>
      <c r="B30" s="40"/>
      <c r="C30" s="40"/>
      <c r="D30" s="40"/>
      <c r="E30" s="40"/>
      <c r="F30" s="34" t="s">
        <v>114</v>
      </c>
      <c r="G30" s="35" cm="1">
        <f t="array" ref="G30">_xlfn.IFS(F30="","",F30="No interest",0,F30="Nice to have",1,F30="Useful",2,F30="Important",3,F30="Very important",4,F30="Critical",5,F30="Show stopper",6)</f>
        <v>5</v>
      </c>
      <c r="H30" s="36">
        <f t="shared" si="1"/>
        <v>0</v>
      </c>
      <c r="I30" s="37" t="s">
        <v>181</v>
      </c>
      <c r="J30" s="37" t="str" cm="1">
        <f t="array" ref="J30">_xlfn.TEXTJOIN(","&amp;CHAR(10),,TEXT(Table2678[[#This Row],[12]:[22]],"0,00%"))</f>
        <v>0,00%,
0,00%,
0,00%,
0,00%</v>
      </c>
      <c r="K30" s="38" t="s">
        <v>182</v>
      </c>
      <c r="L30" s="39">
        <f>H30-(H30*((MATCH(Table2678[[#This Row],[Evaluators Response (SELECT)]],Table2678[[#This Row],[1]:[11]],0)-1)/(COUNTA(Table2678[[#This Row],[1]:[11]])-COUNTBLANK(Table2678[[#This Row],[1]:[11]])-1)))</f>
        <v>0</v>
      </c>
      <c r="M30" s="40"/>
      <c r="N30" s="29" t="str" cm="1">
        <f t="array" ref="N30">IFERROR(INDEX(_xlfn.UNIQUE(TRIM(_xlfn.TEXTSPLIT(Table2678[[#This Row],[Selection Options]:[Selection Options]],","))),,N$11),"")</f>
        <v>A</v>
      </c>
      <c r="O30" s="29" t="str" cm="1">
        <f t="array" ref="O30">IFERROR(INDEX(_xlfn.UNIQUE(TRIM(_xlfn.TEXTSPLIT(Table2678[[#This Row],[Selection Options]],","))),,O$11),"")</f>
        <v>B</v>
      </c>
      <c r="P30" s="29" t="str" cm="1">
        <f t="array" ref="P30">IFERROR(INDEX(_xlfn.UNIQUE(TRIM(_xlfn.TEXTSPLIT(Table2678[[#This Row],[Selection Options]],","))),,P$11),"")</f>
        <v>X</v>
      </c>
      <c r="Q30" s="29" t="str" cm="1">
        <f t="array" ref="Q30">IFERROR(INDEX(_xlfn.UNIQUE(TRIM(_xlfn.TEXTSPLIT(Table2678[[#This Row],[Selection Options]],","))),,Q$11),"")</f>
        <v>Y</v>
      </c>
      <c r="R30" s="43" t="str" cm="1">
        <f t="array" ref="R30">IFERROR(INDEX(_xlfn.UNIQUE(TRIM(_xlfn.TEXTSPLIT(Table2678[[#This Row],[Selection Options]],","))),,R$11),"")</f>
        <v/>
      </c>
      <c r="S30" s="29" t="str" cm="1">
        <f t="array" ref="S30">IFERROR(INDEX(_xlfn.UNIQUE(TRIM(_xlfn.TEXTSPLIT(Table2678[[#This Row],[Selection Options]],","))),,S$11),"")</f>
        <v/>
      </c>
      <c r="T30" s="29" t="str" cm="1">
        <f t="array" ref="T30">IFERROR(INDEX(_xlfn.UNIQUE(TRIM(_xlfn.TEXTSPLIT(Table2678[[#This Row],[Selection Options]],","))),,T$11),"")</f>
        <v/>
      </c>
      <c r="U30" s="29" t="str" cm="1">
        <f t="array" ref="U30">IFERROR(INDEX(_xlfn.UNIQUE(TRIM(_xlfn.TEXTSPLIT(Table2678[[#This Row],[Selection Options]],","))),,U$11),"")</f>
        <v/>
      </c>
      <c r="V30" s="29" t="str" cm="1">
        <f t="array" ref="V30">IFERROR(INDEX(_xlfn.UNIQUE(TRIM(_xlfn.TEXTSPLIT(Table2678[[#This Row],[Selection Options]],","))),,V$11),"")</f>
        <v/>
      </c>
      <c r="W30" s="29" t="str" cm="1">
        <f t="array" ref="W30">IFERROR(INDEX(_xlfn.UNIQUE(TRIM(_xlfn.TEXTSPLIT(Table2678[[#This Row],[Selection Options]],","))),,W$11),"")</f>
        <v/>
      </c>
      <c r="X30" s="29" t="str" cm="1">
        <f t="array" ref="X30">IFERROR(INDEX(_xlfn.UNIQUE(TRIM(_xlfn.TEXTSPLIT(Table2678[[#This Row],[Selection Options]],","))),,X$11),"")</f>
        <v/>
      </c>
      <c r="Y30" s="44" cm="1">
        <f t="array" ref="Y30">IF(Table2678[[#This Row],[1]]="","",Table2678[[#This Row],[Weight]:[Weight]]-(Table2678[[#This Row],[Weight]:[Weight]]*((_xlfn.XMATCH(Table2678[[#This Row],[1]],Table2678[[#This Row],[1]:[11]],0))-1)/(COUNTA(Table2678[[#This Row],[1]:[11]])-COUNTBLANK(Table2678[[#This Row],[1]:[11]])-1)))</f>
        <v>0</v>
      </c>
      <c r="Z30" s="44" cm="1">
        <f t="array" ref="Z30">IF(Table2678[[#This Row],[2]]="","",Table2678[[#This Row],[Weight]:[Weight]]-(Table2678[[#This Row],[Weight]:[Weight]]*((_xlfn.XMATCH(Table2678[[#This Row],[2]],Table2678[[#This Row],[1]:[11]],0))-1)/(COUNTA(Table2678[[#This Row],[1]:[11]])-COUNTBLANK(Table2678[[#This Row],[1]:[11]])-1)))</f>
        <v>0</v>
      </c>
      <c r="AA30" s="44" cm="1">
        <f t="array" ref="AA30">IF(Table2678[[#This Row],[3]]="","",Table2678[[#This Row],[Weight]:[Weight]]-(Table2678[[#This Row],[Weight]:[Weight]]*((_xlfn.XMATCH(Table2678[[#This Row],[3]],Table2678[[#This Row],[1]:[11]],0))-1)/(COUNTA(Table2678[[#This Row],[1]:[11]])-COUNTBLANK(Table2678[[#This Row],[1]:[11]])-1)))</f>
        <v>0</v>
      </c>
      <c r="AB30" s="44" cm="1">
        <f t="array" ref="AB30">IF(Table2678[[#This Row],[4]]="","",Table2678[[#This Row],[Weight]:[Weight]]-(Table2678[[#This Row],[Weight]:[Weight]]*((_xlfn.XMATCH(Table2678[[#This Row],[4]],Table2678[[#This Row],[1]:[11]],0))-1)/(COUNTA(Table2678[[#This Row],[1]:[11]])-COUNTBLANK(Table2678[[#This Row],[1]:[11]])-1)))</f>
        <v>0</v>
      </c>
      <c r="AC30" s="44" t="str" cm="1">
        <f t="array" ref="AC30">IF(Table2678[[#This Row],[5]]="","",Table2678[[#This Row],[Weight]:[Weight]]-(Table2678[[#This Row],[Weight]:[Weight]]*((_xlfn.XMATCH(Table2678[[#This Row],[5]],Table2678[[#This Row],[1]:[11]],0))-1)/(COUNTA(Table2678[[#This Row],[1]:[11]])-COUNTBLANK(Table2678[[#This Row],[1]:[11]])-1)))</f>
        <v/>
      </c>
      <c r="AD30" s="44" t="str" cm="1">
        <f t="array" ref="AD30">IF(Table2678[[#This Row],[6]]="","",Table2678[[#This Row],[Weight]:[Weight]]-(Table2678[[#This Row],[Weight]:[Weight]]*((_xlfn.XMATCH(Table2678[[#This Row],[6]],Table2678[[#This Row],[1]:[11]],0))-1)/(COUNTA(Table2678[[#This Row],[1]:[11]])-COUNTBLANK(Table2678[[#This Row],[1]:[11]])-1)))</f>
        <v/>
      </c>
      <c r="AE30" s="44" t="str" cm="1">
        <f t="array" ref="AE30">IF(Table2678[[#This Row],[7]]="","",Table2678[[#This Row],[Weight]:[Weight]]-(Table2678[[#This Row],[Weight]:[Weight]]*((_xlfn.XMATCH(Table2678[[#This Row],[7]],Table2678[[#This Row],[1]:[11]],0))-1)/(COUNTA(Table2678[[#This Row],[1]:[11]])-COUNTBLANK(Table2678[[#This Row],[1]:[11]])-1)))</f>
        <v/>
      </c>
      <c r="AF30" s="44" t="str" cm="1">
        <f t="array" ref="AF30">IF(Table2678[[#This Row],[8]]="","",Table2678[[#This Row],[Weight]:[Weight]]-(Table2678[[#This Row],[Weight]:[Weight]]*((_xlfn.XMATCH(Table2678[[#This Row],[8]],Table2678[[#This Row],[1]:[11]],0))-1)/(COUNTA(Table2678[[#This Row],[1]:[11]])-COUNTBLANK(Table2678[[#This Row],[1]:[11]])-1)))</f>
        <v/>
      </c>
      <c r="AG30" s="29" t="str" cm="1">
        <f t="array" ref="AG30">IF(Table2678[[#This Row],[9]]="","",Table2678[[#This Row],[Weight]:[Weight]]-(Table2678[[#This Row],[Weight]:[Weight]]*((_xlfn.XMATCH(Table2678[[#This Row],[9]],Table2678[[#This Row],[1]:[11]],0))-1)/(COUNTA(Table2678[[#This Row],[1]:[11]])-COUNTBLANK(Table2678[[#This Row],[1]:[11]])-1)))</f>
        <v/>
      </c>
      <c r="AH30" s="29" t="str" cm="1">
        <f t="array" ref="AH30">IF(Table2678[[#This Row],[10]]="","",Table2678[[#This Row],[Weight]:[Weight]]-(Table2678[[#This Row],[Weight]:[Weight]]*((_xlfn.XMATCH(Table2678[[#This Row],[10]],Table2678[[#This Row],[1]:[11]],0))-1)/(COUNTA(Table2678[[#This Row],[1]:[11]])-COUNTBLANK(Table2678[[#This Row],[1]:[11]])-1)))</f>
        <v/>
      </c>
      <c r="AI30" s="29" t="str" cm="1">
        <f t="array" ref="AI30">IF(Table2678[[#This Row],[11]]="","",Table2678[[#This Row],[Weight]:[Weight]]-(Table2678[[#This Row],[Weight]:[Weight]]*((_xlfn.XMATCH(Table2678[[#This Row],[11]],Table2678[[#This Row],[1]:[11]],0))-1)/(COUNTA(Table2678[[#This Row],[1]:[11]])-COUNTBLANK(Table2678[[#This Row],[1]:[11]])-1)))</f>
        <v/>
      </c>
    </row>
    <row r="31" spans="1:35" ht="126.5" x14ac:dyDescent="0.25">
      <c r="A31" s="32">
        <v>17</v>
      </c>
      <c r="B31" s="40"/>
      <c r="C31" s="40"/>
      <c r="D31" s="40"/>
      <c r="E31" s="40"/>
      <c r="F31" s="34" t="s">
        <v>56</v>
      </c>
      <c r="G31" s="35" cm="1">
        <f t="array" ref="G31">_xlfn.IFS(F31="","",F31="No interest",0,F31="Nice to have",1,F31="Useful",2,F31="Important",3,F31="Very important",4,F31="Critical",5,F31="Show stopper",6)</f>
        <v>3</v>
      </c>
      <c r="H31" s="36">
        <f t="shared" si="1"/>
        <v>0</v>
      </c>
      <c r="I31" s="37" t="s">
        <v>183</v>
      </c>
      <c r="J31" s="37" t="str" cm="1">
        <f t="array" ref="J31">_xlfn.TEXTJOIN(","&amp;CHAR(10),,TEXT(Table2678[[#This Row],[12]:[22]],"0,00%"))</f>
        <v>0,00%,
0,00%,
0,00%,
0,00%,
0,00%,
0,00%,
0,00%,
0,00%,
0,00%,
0,00%,
0,00%</v>
      </c>
      <c r="K31" s="38" t="s">
        <v>36</v>
      </c>
      <c r="L31" s="39">
        <f>H31-(H31*((MATCH(Table2678[[#This Row],[Evaluators Response (SELECT)]],Table2678[[#This Row],[1]:[11]],0)-1)/(COUNTA(Table2678[[#This Row],[1]:[11]])-COUNTBLANK(Table2678[[#This Row],[1]:[11]])-1)))</f>
        <v>0</v>
      </c>
      <c r="M31" s="40"/>
      <c r="N31" s="29" t="str" cm="1">
        <f t="array" ref="N31">IFERROR(INDEX(_xlfn.UNIQUE(TRIM(_xlfn.TEXTSPLIT(Table2678[[#This Row],[Selection Options]:[Selection Options]],","))),,N$11),"")</f>
        <v>10</v>
      </c>
      <c r="O31" s="29" t="str" cm="1">
        <f t="array" ref="O31">IFERROR(INDEX(_xlfn.UNIQUE(TRIM(_xlfn.TEXTSPLIT(Table2678[[#This Row],[Selection Options]],","))),,O$11),"")</f>
        <v>9</v>
      </c>
      <c r="P31" s="29" t="str" cm="1">
        <f t="array" ref="P31">IFERROR(INDEX(_xlfn.UNIQUE(TRIM(_xlfn.TEXTSPLIT(Table2678[[#This Row],[Selection Options]],","))),,P$11),"")</f>
        <v>8</v>
      </c>
      <c r="Q31" s="29" t="str" cm="1">
        <f t="array" ref="Q31">IFERROR(INDEX(_xlfn.UNIQUE(TRIM(_xlfn.TEXTSPLIT(Table2678[[#This Row],[Selection Options]],","))),,Q$11),"")</f>
        <v>7</v>
      </c>
      <c r="R31" s="43" t="str" cm="1">
        <f t="array" ref="R31">IFERROR(INDEX(_xlfn.UNIQUE(TRIM(_xlfn.TEXTSPLIT(Table2678[[#This Row],[Selection Options]],","))),,R$11),"")</f>
        <v>6</v>
      </c>
      <c r="S31" s="29" t="str" cm="1">
        <f t="array" ref="S31">IFERROR(INDEX(_xlfn.UNIQUE(TRIM(_xlfn.TEXTSPLIT(Table2678[[#This Row],[Selection Options]],","))),,S$11),"")</f>
        <v>5</v>
      </c>
      <c r="T31" s="29" t="str" cm="1">
        <f t="array" ref="T31">IFERROR(INDEX(_xlfn.UNIQUE(TRIM(_xlfn.TEXTSPLIT(Table2678[[#This Row],[Selection Options]],","))),,T$11),"")</f>
        <v>4</v>
      </c>
      <c r="U31" s="29" t="str" cm="1">
        <f t="array" ref="U31">IFERROR(INDEX(_xlfn.UNIQUE(TRIM(_xlfn.TEXTSPLIT(Table2678[[#This Row],[Selection Options]],","))),,U$11),"")</f>
        <v>3</v>
      </c>
      <c r="V31" s="29" t="str" cm="1">
        <f t="array" ref="V31">IFERROR(INDEX(_xlfn.UNIQUE(TRIM(_xlfn.TEXTSPLIT(Table2678[[#This Row],[Selection Options]],","))),,V$11),"")</f>
        <v>2</v>
      </c>
      <c r="W31" s="29" t="str" cm="1">
        <f t="array" ref="W31">IFERROR(INDEX(_xlfn.UNIQUE(TRIM(_xlfn.TEXTSPLIT(Table2678[[#This Row],[Selection Options]],","))),,W$11),"")</f>
        <v>1</v>
      </c>
      <c r="X31" s="29" t="str" cm="1">
        <f t="array" ref="X31">IFERROR(INDEX(_xlfn.UNIQUE(TRIM(_xlfn.TEXTSPLIT(Table2678[[#This Row],[Selection Options]],","))),,X$11),"")</f>
        <v>0</v>
      </c>
      <c r="Y31" s="44" cm="1">
        <f t="array" ref="Y31">IF(Table2678[[#This Row],[1]]="","",Table2678[[#This Row],[Weight]:[Weight]]-(Table2678[[#This Row],[Weight]:[Weight]]*((_xlfn.XMATCH(Table2678[[#This Row],[1]],Table2678[[#This Row],[1]:[11]],0))-1)/(COUNTA(Table2678[[#This Row],[1]:[11]])-COUNTBLANK(Table2678[[#This Row],[1]:[11]])-1)))</f>
        <v>0</v>
      </c>
      <c r="Z31" s="44" cm="1">
        <f t="array" ref="Z31">IF(Table2678[[#This Row],[2]]="","",Table2678[[#This Row],[Weight]:[Weight]]-(Table2678[[#This Row],[Weight]:[Weight]]*((_xlfn.XMATCH(Table2678[[#This Row],[2]],Table2678[[#This Row],[1]:[11]],0))-1)/(COUNTA(Table2678[[#This Row],[1]:[11]])-COUNTBLANK(Table2678[[#This Row],[1]:[11]])-1)))</f>
        <v>0</v>
      </c>
      <c r="AA31" s="44" cm="1">
        <f t="array" ref="AA31">IF(Table2678[[#This Row],[3]]="","",Table2678[[#This Row],[Weight]:[Weight]]-(Table2678[[#This Row],[Weight]:[Weight]]*((_xlfn.XMATCH(Table2678[[#This Row],[3]],Table2678[[#This Row],[1]:[11]],0))-1)/(COUNTA(Table2678[[#This Row],[1]:[11]])-COUNTBLANK(Table2678[[#This Row],[1]:[11]])-1)))</f>
        <v>0</v>
      </c>
      <c r="AB31" s="44" cm="1">
        <f t="array" ref="AB31">IF(Table2678[[#This Row],[4]]="","",Table2678[[#This Row],[Weight]:[Weight]]-(Table2678[[#This Row],[Weight]:[Weight]]*((_xlfn.XMATCH(Table2678[[#This Row],[4]],Table2678[[#This Row],[1]:[11]],0))-1)/(COUNTA(Table2678[[#This Row],[1]:[11]])-COUNTBLANK(Table2678[[#This Row],[1]:[11]])-1)))</f>
        <v>0</v>
      </c>
      <c r="AC31" s="44" cm="1">
        <f t="array" ref="AC31">IF(Table2678[[#This Row],[5]]="","",Table2678[[#This Row],[Weight]:[Weight]]-(Table2678[[#This Row],[Weight]:[Weight]]*((_xlfn.XMATCH(Table2678[[#This Row],[5]],Table2678[[#This Row],[1]:[11]],0))-1)/(COUNTA(Table2678[[#This Row],[1]:[11]])-COUNTBLANK(Table2678[[#This Row],[1]:[11]])-1)))</f>
        <v>0</v>
      </c>
      <c r="AD31" s="44" cm="1">
        <f t="array" ref="AD31">IF(Table2678[[#This Row],[6]]="","",Table2678[[#This Row],[Weight]:[Weight]]-(Table2678[[#This Row],[Weight]:[Weight]]*((_xlfn.XMATCH(Table2678[[#This Row],[6]],Table2678[[#This Row],[1]:[11]],0))-1)/(COUNTA(Table2678[[#This Row],[1]:[11]])-COUNTBLANK(Table2678[[#This Row],[1]:[11]])-1)))</f>
        <v>0</v>
      </c>
      <c r="AE31" s="44" cm="1">
        <f t="array" ref="AE31">IF(Table2678[[#This Row],[7]]="","",Table2678[[#This Row],[Weight]:[Weight]]-(Table2678[[#This Row],[Weight]:[Weight]]*((_xlfn.XMATCH(Table2678[[#This Row],[7]],Table2678[[#This Row],[1]:[11]],0))-1)/(COUNTA(Table2678[[#This Row],[1]:[11]])-COUNTBLANK(Table2678[[#This Row],[1]:[11]])-1)))</f>
        <v>0</v>
      </c>
      <c r="AF31" s="44" cm="1">
        <f t="array" ref="AF31">IF(Table2678[[#This Row],[8]]="","",Table2678[[#This Row],[Weight]:[Weight]]-(Table2678[[#This Row],[Weight]:[Weight]]*((_xlfn.XMATCH(Table2678[[#This Row],[8]],Table2678[[#This Row],[1]:[11]],0))-1)/(COUNTA(Table2678[[#This Row],[1]:[11]])-COUNTBLANK(Table2678[[#This Row],[1]:[11]])-1)))</f>
        <v>0</v>
      </c>
      <c r="AG31" s="29" cm="1">
        <f t="array" ref="AG31">IF(Table2678[[#This Row],[9]]="","",Table2678[[#This Row],[Weight]:[Weight]]-(Table2678[[#This Row],[Weight]:[Weight]]*((_xlfn.XMATCH(Table2678[[#This Row],[9]],Table2678[[#This Row],[1]:[11]],0))-1)/(COUNTA(Table2678[[#This Row],[1]:[11]])-COUNTBLANK(Table2678[[#This Row],[1]:[11]])-1)))</f>
        <v>0</v>
      </c>
      <c r="AH31" s="29" cm="1">
        <f t="array" ref="AH31">IF(Table2678[[#This Row],[10]]="","",Table2678[[#This Row],[Weight]:[Weight]]-(Table2678[[#This Row],[Weight]:[Weight]]*((_xlfn.XMATCH(Table2678[[#This Row],[10]],Table2678[[#This Row],[1]:[11]],0))-1)/(COUNTA(Table2678[[#This Row],[1]:[11]])-COUNTBLANK(Table2678[[#This Row],[1]:[11]])-1)))</f>
        <v>0</v>
      </c>
      <c r="AI31" s="29" cm="1">
        <f t="array" ref="AI31">IF(Table2678[[#This Row],[11]]="","",Table2678[[#This Row],[Weight]:[Weight]]-(Table2678[[#This Row],[Weight]:[Weight]]*((_xlfn.XMATCH(Table2678[[#This Row],[11]],Table2678[[#This Row],[1]:[11]],0))-1)/(COUNTA(Table2678[[#This Row],[1]:[11]])-COUNTBLANK(Table2678[[#This Row],[1]:[11]])-1)))</f>
        <v>0</v>
      </c>
    </row>
  </sheetData>
  <sheetProtection insertRows="0" insertHyperlinks="0" deleteRows="0" autoFilter="0"/>
  <mergeCells count="4">
    <mergeCell ref="A10:A11"/>
    <mergeCell ref="B10:C11"/>
    <mergeCell ref="D10:E11"/>
    <mergeCell ref="E2:F3"/>
  </mergeCells>
  <conditionalFormatting sqref="K13:K31">
    <cfRule type="expression" dxfId="2" priority="1">
      <formula>COUNTIF(N13:X13,K13)&lt;&gt;1</formula>
    </cfRule>
  </conditionalFormatting>
  <dataValidations count="4">
    <dataValidation type="list" allowBlank="1" showInputMessage="1" showErrorMessage="1" sqref="K13:K31" xr:uid="{309CFB39-0844-421F-A378-409D5A05C523}">
      <formula1>$N13:$X13</formula1>
    </dataValidation>
    <dataValidation type="list" allowBlank="1" showInputMessage="1" showErrorMessage="1" sqref="F13:F31" xr:uid="{4867A12E-BA38-4AED-B3F9-CA7183973517}">
      <formula1>"No interest,Nice to have,Useful,Important,Very important,Critical,Show stopper"</formula1>
    </dataValidation>
    <dataValidation type="list" allowBlank="1" showInputMessage="1" showErrorMessage="1" sqref="H13:H31" xr:uid="{4420CCFB-0524-4B52-AFFE-45FA3C452A71}">
      <formula1>N13:R13</formula1>
    </dataValidation>
    <dataValidation type="list" allowBlank="1" showInputMessage="1" showErrorMessage="1" sqref="M14" xr:uid="{494CD1CB-1EFB-4B77-AFC0-96C26B78AD3C}">
      <formula1>_xlfn.UNIQUE(TRIM(_xlfn.TEXTSPLIT(#REF!,",")))</formula1>
    </dataValidation>
  </dataValidations>
  <pageMargins left="0.7" right="0.7" top="0.75" bottom="0.75" header="0.3" footer="0.3"/>
  <pageSetup paperSize="9" scale="49"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672FA39630E842B656C107AA776681" ma:contentTypeVersion="4" ma:contentTypeDescription="Create a new document." ma:contentTypeScope="" ma:versionID="ff14daf128f57dfc055d4c1c6907dd47">
  <xsd:schema xmlns:xsd="http://www.w3.org/2001/XMLSchema" xmlns:xs="http://www.w3.org/2001/XMLSchema" xmlns:p="http://schemas.microsoft.com/office/2006/metadata/properties" xmlns:ns2="63b9c958-37c6-40df-a500-7179a834e556" targetNamespace="http://schemas.microsoft.com/office/2006/metadata/properties" ma:root="true" ma:fieldsID="1f0ffccd8ee9d8e0ef96c95b84d9fb45" ns2:_="">
    <xsd:import namespace="63b9c958-37c6-40df-a500-7179a834e5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b9c958-37c6-40df-a500-7179a834e5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0E3DAD-D8AC-4466-9CB7-5641ADE4B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b9c958-37c6-40df-a500-7179a834e5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C25CE4-EDAD-4AF3-BDAB-BFF65BE50676}">
  <ds:schemaRefs>
    <ds:schemaRef ds:uri="http://schemas.microsoft.com/sharepoint/v3/contenttype/forms"/>
  </ds:schemaRefs>
</ds:datastoreItem>
</file>

<file path=customXml/itemProps3.xml><?xml version="1.0" encoding="utf-8"?>
<ds:datastoreItem xmlns:ds="http://schemas.openxmlformats.org/officeDocument/2006/customXml" ds:itemID="{53CB08D5-A071-4871-A1AE-F1CAFFC5CA20}">
  <ds:schemaRef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elements/1.1/"/>
    <ds:schemaRef ds:uri="63b9c958-37c6-40df-a500-7179a834e556"/>
    <ds:schemaRef ds:uri="http://purl.org/dc/dcmitype/"/>
    <ds:schemaRef ds:uri="http://purl.org/dc/te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TEC Development Guidelines</vt:lpstr>
      <vt:lpstr>Response Guidelines</vt:lpstr>
      <vt:lpstr>Scoring Summary</vt:lpstr>
      <vt:lpstr>Gatekeepers</vt:lpstr>
      <vt:lpstr>Key Requirements</vt:lpstr>
      <vt:lpstr>Functional</vt:lpstr>
      <vt:lpstr>Non-Functional</vt:lpstr>
      <vt:lpstr>Integration</vt:lpstr>
      <vt:lpstr>Testing</vt:lpstr>
      <vt:lpstr>Security</vt:lpstr>
      <vt:lpstr>Demo</vt:lpstr>
      <vt:lpstr>Definitions and Abbreviations</vt:lpstr>
      <vt:lpstr>'Definitions and Abbreviations'!Print_Area</vt:lpstr>
      <vt:lpstr>Demo!Print_Area</vt:lpstr>
      <vt:lpstr>Gatekeepers!Print_Area</vt:lpstr>
      <vt:lpstr>'Non-Functional'!Print_Area</vt:lpstr>
      <vt:lpstr>'Response Guidelines'!Print_Area</vt:lpstr>
      <vt:lpstr>'Scoring Summary'!Print_Area</vt:lpstr>
      <vt:lpstr>Security!Print_Area</vt:lpstr>
      <vt:lpstr>'TEC Development Guidelines'!Print_Area</vt:lpstr>
      <vt:lpstr>Testing!Print_Area</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Jacques Erasmus</dc:creator>
  <cp:keywords/>
  <dc:description/>
  <cp:lastModifiedBy>Tshifhiwa Nevuwari</cp:lastModifiedBy>
  <cp:revision/>
  <dcterms:created xsi:type="dcterms:W3CDTF">2025-06-12T10:49:50Z</dcterms:created>
  <dcterms:modified xsi:type="dcterms:W3CDTF">2025-09-23T16:36:52Z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0x010100BC672FA39630E842B656C107AA776681</vt:lpwstr>
  </property>
</Properties>
</file>