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codeName="ThisWorkbook" defaultThemeVersion="124226"/>
  <xr:revisionPtr revIDLastSave="5" documentId="13_ncr:1_{CE7A8203-F907-42AD-969F-E1B436F409F9}" xr6:coauthVersionLast="47" xr6:coauthVersionMax="47" xr10:uidLastSave="{0001E933-8E1D-4696-BED3-2EBFE684476D}"/>
  <bookViews>
    <workbookView xWindow="-108" yWindow="-108" windowWidth="23256" windowHeight="12576" tabRatio="870" xr2:uid="{00000000-000D-0000-FFFF-FFFF00000000}"/>
  </bookViews>
  <sheets>
    <sheet name="List of Items &amp; Enquiry number" sheetId="3" r:id="rId1"/>
    <sheet name="Source Data" sheetId="2" state="hidden" r:id="rId2"/>
    <sheet name="Deviation Schedule" sheetId="5" r:id="rId3"/>
    <sheet name="GMT Schedule-DropDown Selector" sheetId="1" state="hidden" r:id="rId4"/>
    <sheet name="0182441" sheetId="6" r:id="rId5"/>
    <sheet name="0182443" sheetId="7" r:id="rId6"/>
    <sheet name="0180189" sheetId="8" r:id="rId7"/>
    <sheet name="0180191" sheetId="9" r:id="rId8"/>
    <sheet name="0180193" sheetId="10" r:id="rId9"/>
    <sheet name="0180195" sheetId="11" r:id="rId10"/>
    <sheet name="0180197" sheetId="12" r:id="rId11"/>
    <sheet name="0180199" sheetId="13" r:id="rId12"/>
    <sheet name="0182445" sheetId="14" r:id="rId13"/>
    <sheet name="0182447" sheetId="15" r:id="rId14"/>
  </sheets>
  <definedNames>
    <definedName name="_xlnm._FilterDatabase" localSheetId="1" hidden="1">'Source Data'!$A$1:$ED$22</definedName>
    <definedName name="_xlnm.Print_Area" localSheetId="6">'0180189'!$B$2:$G$131</definedName>
    <definedName name="_xlnm.Print_Area" localSheetId="7">'0180191'!$B$2:$G$131</definedName>
    <definedName name="_xlnm.Print_Area" localSheetId="8">'0180193'!$B$2:$G$131</definedName>
    <definedName name="_xlnm.Print_Area" localSheetId="9">'0180195'!$B$1:$G$131</definedName>
    <definedName name="_xlnm.Print_Area" localSheetId="10">'0180197'!$B$2:$G$131</definedName>
    <definedName name="_xlnm.Print_Area" localSheetId="11">'0180199'!$B$2:$G$131</definedName>
    <definedName name="_xlnm.Print_Area" localSheetId="4">'0182441'!$B$2:$G$131</definedName>
    <definedName name="_xlnm.Print_Area" localSheetId="5">'0182443'!$B$2:$G$131</definedName>
    <definedName name="_xlnm.Print_Area" localSheetId="12">'0182445'!$B$2:$G$131</definedName>
    <definedName name="_xlnm.Print_Area" localSheetId="13">'0182447'!$B$2:$G$131</definedName>
    <definedName name="_xlnm.Print_Area" localSheetId="2">'Deviation Schedule'!$A$1:$G$44</definedName>
    <definedName name="_xlnm.Print_Area" localSheetId="3">'GMT Schedule-DropDown Selector'!$B$1:$G$131</definedName>
    <definedName name="_xlnm.Print_Area" localSheetId="1">'Source Data'!$A$1:$A$23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1" i="15" l="1"/>
  <c r="F130" i="15"/>
  <c r="F129" i="15"/>
  <c r="F128" i="15"/>
  <c r="F127" i="15"/>
  <c r="F126" i="15"/>
  <c r="F125" i="15"/>
  <c r="F123" i="15"/>
  <c r="F122" i="15"/>
  <c r="F121" i="15"/>
  <c r="F120" i="15"/>
  <c r="F119" i="15"/>
  <c r="F117" i="15"/>
  <c r="F116" i="15"/>
  <c r="F114" i="15"/>
  <c r="F113" i="15"/>
  <c r="F112" i="15"/>
  <c r="F110" i="15"/>
  <c r="F109" i="15"/>
  <c r="F108" i="15"/>
  <c r="F107" i="15"/>
  <c r="F106" i="15"/>
  <c r="F104" i="15"/>
  <c r="F103" i="15"/>
  <c r="F101" i="15"/>
  <c r="F100" i="15"/>
  <c r="F99" i="15"/>
  <c r="F98" i="15"/>
  <c r="F96" i="15"/>
  <c r="F95" i="15"/>
  <c r="F93" i="15"/>
  <c r="F92" i="15"/>
  <c r="F90" i="15"/>
  <c r="F88" i="15"/>
  <c r="F87" i="15"/>
  <c r="F85" i="15"/>
  <c r="F84" i="15"/>
  <c r="F83" i="15"/>
  <c r="F82" i="15"/>
  <c r="F81" i="15"/>
  <c r="F80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8" i="15"/>
  <c r="F47" i="15"/>
  <c r="F45" i="15"/>
  <c r="F44" i="15"/>
  <c r="F43" i="15"/>
  <c r="F42" i="15"/>
  <c r="F40" i="15"/>
  <c r="F39" i="15"/>
  <c r="F38" i="15"/>
  <c r="F37" i="15"/>
  <c r="F36" i="15"/>
  <c r="F35" i="15"/>
  <c r="F34" i="15"/>
  <c r="F33" i="15"/>
  <c r="F31" i="15"/>
  <c r="F30" i="15"/>
  <c r="F29" i="15"/>
  <c r="F28" i="15"/>
  <c r="F26" i="15"/>
  <c r="F25" i="15"/>
  <c r="F24" i="15"/>
  <c r="F23" i="15"/>
  <c r="F22" i="15"/>
  <c r="F21" i="15"/>
  <c r="F19" i="15"/>
  <c r="F18" i="15"/>
  <c r="F17" i="15"/>
  <c r="F16" i="15"/>
  <c r="F15" i="15"/>
  <c r="F14" i="15"/>
  <c r="F13" i="15"/>
  <c r="F4" i="15"/>
  <c r="F131" i="14"/>
  <c r="F130" i="14"/>
  <c r="F129" i="14"/>
  <c r="F128" i="14"/>
  <c r="F127" i="14"/>
  <c r="F126" i="14"/>
  <c r="F125" i="14"/>
  <c r="F123" i="14"/>
  <c r="F122" i="14"/>
  <c r="F121" i="14"/>
  <c r="F120" i="14"/>
  <c r="F119" i="14"/>
  <c r="F117" i="14"/>
  <c r="F116" i="14"/>
  <c r="F114" i="14"/>
  <c r="F113" i="14"/>
  <c r="F112" i="14"/>
  <c r="F110" i="14"/>
  <c r="F109" i="14"/>
  <c r="F108" i="14"/>
  <c r="F107" i="14"/>
  <c r="F106" i="14"/>
  <c r="F104" i="14"/>
  <c r="F103" i="14"/>
  <c r="F101" i="14"/>
  <c r="F100" i="14"/>
  <c r="F99" i="14"/>
  <c r="F98" i="14"/>
  <c r="F96" i="14"/>
  <c r="F95" i="14"/>
  <c r="F93" i="14"/>
  <c r="F92" i="14"/>
  <c r="F90" i="14"/>
  <c r="F88" i="14"/>
  <c r="F87" i="14"/>
  <c r="F85" i="14"/>
  <c r="F84" i="14"/>
  <c r="F83" i="14"/>
  <c r="F82" i="14"/>
  <c r="F81" i="14"/>
  <c r="F80" i="14"/>
  <c r="F78" i="14"/>
  <c r="F77" i="14"/>
  <c r="F76" i="14"/>
  <c r="F75" i="14"/>
  <c r="F74" i="14"/>
  <c r="F73" i="14"/>
  <c r="F72" i="14"/>
  <c r="F71" i="14"/>
  <c r="F70" i="14"/>
  <c r="F69" i="14"/>
  <c r="F68" i="14"/>
  <c r="F67" i="14"/>
  <c r="F66" i="14"/>
  <c r="F65" i="14"/>
  <c r="F64" i="14"/>
  <c r="F63" i="14"/>
  <c r="F61" i="14"/>
  <c r="F60" i="14"/>
  <c r="F59" i="14"/>
  <c r="F58" i="14"/>
  <c r="F57" i="14"/>
  <c r="F56" i="14"/>
  <c r="F55" i="14"/>
  <c r="F54" i="14"/>
  <c r="F53" i="14"/>
  <c r="F52" i="14"/>
  <c r="F51" i="14"/>
  <c r="F50" i="14"/>
  <c r="F48" i="14"/>
  <c r="F47" i="14"/>
  <c r="F45" i="14"/>
  <c r="F44" i="14"/>
  <c r="F43" i="14"/>
  <c r="F42" i="14"/>
  <c r="F40" i="14"/>
  <c r="F39" i="14"/>
  <c r="F38" i="14"/>
  <c r="F37" i="14"/>
  <c r="F36" i="14"/>
  <c r="F35" i="14"/>
  <c r="F34" i="14"/>
  <c r="F33" i="14"/>
  <c r="F31" i="14"/>
  <c r="F30" i="14"/>
  <c r="F29" i="14"/>
  <c r="F28" i="14"/>
  <c r="F26" i="14"/>
  <c r="F25" i="14"/>
  <c r="F24" i="14"/>
  <c r="F23" i="14"/>
  <c r="F22" i="14"/>
  <c r="F21" i="14"/>
  <c r="F19" i="14"/>
  <c r="F18" i="14"/>
  <c r="F17" i="14"/>
  <c r="F16" i="14"/>
  <c r="F15" i="14"/>
  <c r="F14" i="14"/>
  <c r="F13" i="14"/>
  <c r="F4" i="14"/>
  <c r="F131" i="13"/>
  <c r="F130" i="13"/>
  <c r="F129" i="13"/>
  <c r="F128" i="13"/>
  <c r="F127" i="13"/>
  <c r="F126" i="13"/>
  <c r="F125" i="13"/>
  <c r="F123" i="13"/>
  <c r="F122" i="13"/>
  <c r="F121" i="13"/>
  <c r="F120" i="13"/>
  <c r="F119" i="13"/>
  <c r="F117" i="13"/>
  <c r="F116" i="13"/>
  <c r="F114" i="13"/>
  <c r="F113" i="13"/>
  <c r="F112" i="13"/>
  <c r="F110" i="13"/>
  <c r="F109" i="13"/>
  <c r="F108" i="13"/>
  <c r="F107" i="13"/>
  <c r="F106" i="13"/>
  <c r="F104" i="13"/>
  <c r="F103" i="13"/>
  <c r="F101" i="13"/>
  <c r="F100" i="13"/>
  <c r="F99" i="13"/>
  <c r="F98" i="13"/>
  <c r="F96" i="13"/>
  <c r="F95" i="13"/>
  <c r="F93" i="13"/>
  <c r="F92" i="13"/>
  <c r="F90" i="13"/>
  <c r="F88" i="13"/>
  <c r="F87" i="13"/>
  <c r="F85" i="13"/>
  <c r="F84" i="13"/>
  <c r="F83" i="13"/>
  <c r="F82" i="13"/>
  <c r="F81" i="13"/>
  <c r="F80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8" i="13"/>
  <c r="F47" i="13"/>
  <c r="F45" i="13"/>
  <c r="F44" i="13"/>
  <c r="F43" i="13"/>
  <c r="F42" i="13"/>
  <c r="F40" i="13"/>
  <c r="F39" i="13"/>
  <c r="F38" i="13"/>
  <c r="F37" i="13"/>
  <c r="F36" i="13"/>
  <c r="F35" i="13"/>
  <c r="F34" i="13"/>
  <c r="F33" i="13"/>
  <c r="F31" i="13"/>
  <c r="F30" i="13"/>
  <c r="F29" i="13"/>
  <c r="F28" i="13"/>
  <c r="F26" i="13"/>
  <c r="F25" i="13"/>
  <c r="F24" i="13"/>
  <c r="F23" i="13"/>
  <c r="F22" i="13"/>
  <c r="F21" i="13"/>
  <c r="F19" i="13"/>
  <c r="F18" i="13"/>
  <c r="F17" i="13"/>
  <c r="F16" i="13"/>
  <c r="F15" i="13"/>
  <c r="F14" i="13"/>
  <c r="F13" i="13"/>
  <c r="F4" i="13"/>
  <c r="F131" i="12"/>
  <c r="F130" i="12"/>
  <c r="F129" i="12"/>
  <c r="F128" i="12"/>
  <c r="F127" i="12"/>
  <c r="F126" i="12"/>
  <c r="F125" i="12"/>
  <c r="F123" i="12"/>
  <c r="F122" i="12"/>
  <c r="F121" i="12"/>
  <c r="F120" i="12"/>
  <c r="F119" i="12"/>
  <c r="F117" i="12"/>
  <c r="F116" i="12"/>
  <c r="F114" i="12"/>
  <c r="F113" i="12"/>
  <c r="F112" i="12"/>
  <c r="F110" i="12"/>
  <c r="F109" i="12"/>
  <c r="F108" i="12"/>
  <c r="F107" i="12"/>
  <c r="F106" i="12"/>
  <c r="F104" i="12"/>
  <c r="F103" i="12"/>
  <c r="F101" i="12"/>
  <c r="F100" i="12"/>
  <c r="F99" i="12"/>
  <c r="F98" i="12"/>
  <c r="F96" i="12"/>
  <c r="F95" i="12"/>
  <c r="F93" i="12"/>
  <c r="F92" i="12"/>
  <c r="F90" i="12"/>
  <c r="F88" i="12"/>
  <c r="F87" i="12"/>
  <c r="F85" i="12"/>
  <c r="F84" i="12"/>
  <c r="F83" i="12"/>
  <c r="F82" i="12"/>
  <c r="F81" i="12"/>
  <c r="F80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8" i="12"/>
  <c r="F47" i="12"/>
  <c r="F45" i="12"/>
  <c r="F44" i="12"/>
  <c r="F43" i="12"/>
  <c r="F42" i="12"/>
  <c r="F40" i="12"/>
  <c r="F39" i="12"/>
  <c r="F38" i="12"/>
  <c r="F37" i="12"/>
  <c r="F36" i="12"/>
  <c r="F35" i="12"/>
  <c r="F34" i="12"/>
  <c r="F33" i="12"/>
  <c r="F31" i="12"/>
  <c r="F30" i="12"/>
  <c r="F29" i="12"/>
  <c r="F28" i="12"/>
  <c r="F26" i="12"/>
  <c r="F25" i="12"/>
  <c r="F24" i="12"/>
  <c r="F23" i="12"/>
  <c r="F22" i="12"/>
  <c r="F21" i="12"/>
  <c r="F19" i="12"/>
  <c r="F18" i="12"/>
  <c r="F17" i="12"/>
  <c r="F16" i="12"/>
  <c r="F15" i="12"/>
  <c r="F14" i="12"/>
  <c r="F13" i="12"/>
  <c r="F4" i="12"/>
  <c r="F131" i="11"/>
  <c r="F130" i="11"/>
  <c r="F129" i="11"/>
  <c r="F128" i="11"/>
  <c r="F127" i="11"/>
  <c r="F126" i="11"/>
  <c r="F125" i="11"/>
  <c r="F123" i="11"/>
  <c r="F122" i="11"/>
  <c r="F121" i="11"/>
  <c r="F120" i="11"/>
  <c r="F119" i="11"/>
  <c r="F117" i="11"/>
  <c r="F116" i="11"/>
  <c r="F114" i="11"/>
  <c r="F113" i="11"/>
  <c r="F112" i="11"/>
  <c r="F110" i="11"/>
  <c r="F109" i="11"/>
  <c r="F108" i="11"/>
  <c r="F107" i="11"/>
  <c r="F106" i="11"/>
  <c r="F104" i="11"/>
  <c r="F103" i="11"/>
  <c r="F101" i="11"/>
  <c r="F100" i="11"/>
  <c r="F99" i="11"/>
  <c r="F98" i="11"/>
  <c r="F96" i="11"/>
  <c r="F95" i="11"/>
  <c r="F93" i="11"/>
  <c r="F92" i="11"/>
  <c r="F90" i="11"/>
  <c r="F88" i="11"/>
  <c r="F87" i="11"/>
  <c r="F85" i="11"/>
  <c r="F84" i="11"/>
  <c r="F83" i="11"/>
  <c r="F82" i="11"/>
  <c r="F81" i="11"/>
  <c r="F80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8" i="11"/>
  <c r="F47" i="11"/>
  <c r="F45" i="11"/>
  <c r="F44" i="11"/>
  <c r="F43" i="11"/>
  <c r="F42" i="11"/>
  <c r="F40" i="11"/>
  <c r="F39" i="11"/>
  <c r="F38" i="11"/>
  <c r="F37" i="11"/>
  <c r="F36" i="11"/>
  <c r="F35" i="11"/>
  <c r="F34" i="11"/>
  <c r="F33" i="11"/>
  <c r="F31" i="11"/>
  <c r="F30" i="11"/>
  <c r="F29" i="11"/>
  <c r="F28" i="11"/>
  <c r="F26" i="11"/>
  <c r="F25" i="11"/>
  <c r="F24" i="11"/>
  <c r="F23" i="11"/>
  <c r="F22" i="11"/>
  <c r="F21" i="11"/>
  <c r="F19" i="11"/>
  <c r="F18" i="11"/>
  <c r="F17" i="11"/>
  <c r="F16" i="11"/>
  <c r="F15" i="11"/>
  <c r="F14" i="11"/>
  <c r="F13" i="11"/>
  <c r="F4" i="11"/>
  <c r="F131" i="10"/>
  <c r="F130" i="10"/>
  <c r="F129" i="10"/>
  <c r="F128" i="10"/>
  <c r="F127" i="10"/>
  <c r="F126" i="10"/>
  <c r="F125" i="10"/>
  <c r="F123" i="10"/>
  <c r="F122" i="10"/>
  <c r="F121" i="10"/>
  <c r="F120" i="10"/>
  <c r="F119" i="10"/>
  <c r="F117" i="10"/>
  <c r="F116" i="10"/>
  <c r="F114" i="10"/>
  <c r="F113" i="10"/>
  <c r="F112" i="10"/>
  <c r="F110" i="10"/>
  <c r="F109" i="10"/>
  <c r="F108" i="10"/>
  <c r="F107" i="10"/>
  <c r="F106" i="10"/>
  <c r="F104" i="10"/>
  <c r="F103" i="10"/>
  <c r="F101" i="10"/>
  <c r="F100" i="10"/>
  <c r="F99" i="10"/>
  <c r="F98" i="10"/>
  <c r="F96" i="10"/>
  <c r="F95" i="10"/>
  <c r="F93" i="10"/>
  <c r="F92" i="10"/>
  <c r="F90" i="10"/>
  <c r="F88" i="10"/>
  <c r="F87" i="10"/>
  <c r="F85" i="10"/>
  <c r="F84" i="10"/>
  <c r="F83" i="10"/>
  <c r="F82" i="10"/>
  <c r="F81" i="10"/>
  <c r="F80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8" i="10"/>
  <c r="F47" i="10"/>
  <c r="F45" i="10"/>
  <c r="F44" i="10"/>
  <c r="F43" i="10"/>
  <c r="F42" i="10"/>
  <c r="F40" i="10"/>
  <c r="F39" i="10"/>
  <c r="F38" i="10"/>
  <c r="F37" i="10"/>
  <c r="F36" i="10"/>
  <c r="F35" i="10"/>
  <c r="F34" i="10"/>
  <c r="F33" i="10"/>
  <c r="F31" i="10"/>
  <c r="F30" i="10"/>
  <c r="F29" i="10"/>
  <c r="F28" i="10"/>
  <c r="F26" i="10"/>
  <c r="F25" i="10"/>
  <c r="F24" i="10"/>
  <c r="F23" i="10"/>
  <c r="F22" i="10"/>
  <c r="F21" i="10"/>
  <c r="F19" i="10"/>
  <c r="F18" i="10"/>
  <c r="F17" i="10"/>
  <c r="F16" i="10"/>
  <c r="F15" i="10"/>
  <c r="F14" i="10"/>
  <c r="F13" i="10"/>
  <c r="F4" i="10"/>
  <c r="F131" i="9"/>
  <c r="F130" i="9"/>
  <c r="F129" i="9"/>
  <c r="F128" i="9"/>
  <c r="F127" i="9"/>
  <c r="F126" i="9"/>
  <c r="F125" i="9"/>
  <c r="F123" i="9"/>
  <c r="F122" i="9"/>
  <c r="F121" i="9"/>
  <c r="F120" i="9"/>
  <c r="F119" i="9"/>
  <c r="F117" i="9"/>
  <c r="F116" i="9"/>
  <c r="F114" i="9"/>
  <c r="F113" i="9"/>
  <c r="F112" i="9"/>
  <c r="F110" i="9"/>
  <c r="F109" i="9"/>
  <c r="F108" i="9"/>
  <c r="F107" i="9"/>
  <c r="F106" i="9"/>
  <c r="F104" i="9"/>
  <c r="F103" i="9"/>
  <c r="F101" i="9"/>
  <c r="F100" i="9"/>
  <c r="F99" i="9"/>
  <c r="F98" i="9"/>
  <c r="F96" i="9"/>
  <c r="F95" i="9"/>
  <c r="F93" i="9"/>
  <c r="F92" i="9"/>
  <c r="F90" i="9"/>
  <c r="F88" i="9"/>
  <c r="F87" i="9"/>
  <c r="F85" i="9"/>
  <c r="F84" i="9"/>
  <c r="F83" i="9"/>
  <c r="F82" i="9"/>
  <c r="F81" i="9"/>
  <c r="F80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1" i="9"/>
  <c r="F60" i="9"/>
  <c r="F59" i="9"/>
  <c r="F58" i="9"/>
  <c r="F57" i="9"/>
  <c r="F56" i="9"/>
  <c r="F55" i="9"/>
  <c r="F54" i="9"/>
  <c r="F53" i="9"/>
  <c r="F52" i="9"/>
  <c r="F51" i="9"/>
  <c r="F50" i="9"/>
  <c r="F48" i="9"/>
  <c r="F47" i="9"/>
  <c r="F45" i="9"/>
  <c r="F44" i="9"/>
  <c r="F43" i="9"/>
  <c r="F42" i="9"/>
  <c r="F40" i="9"/>
  <c r="F39" i="9"/>
  <c r="F38" i="9"/>
  <c r="F37" i="9"/>
  <c r="F36" i="9"/>
  <c r="F35" i="9"/>
  <c r="F34" i="9"/>
  <c r="F33" i="9"/>
  <c r="F31" i="9"/>
  <c r="F30" i="9"/>
  <c r="F29" i="9"/>
  <c r="F28" i="9"/>
  <c r="F26" i="9"/>
  <c r="F25" i="9"/>
  <c r="F24" i="9"/>
  <c r="F23" i="9"/>
  <c r="F22" i="9"/>
  <c r="F21" i="9"/>
  <c r="F19" i="9"/>
  <c r="F18" i="9"/>
  <c r="F17" i="9"/>
  <c r="F16" i="9"/>
  <c r="F15" i="9"/>
  <c r="F14" i="9"/>
  <c r="F13" i="9"/>
  <c r="F4" i="9"/>
  <c r="F131" i="8"/>
  <c r="F130" i="8"/>
  <c r="F129" i="8"/>
  <c r="F128" i="8"/>
  <c r="F127" i="8"/>
  <c r="F126" i="8"/>
  <c r="F125" i="8"/>
  <c r="F123" i="8"/>
  <c r="F122" i="8"/>
  <c r="F121" i="8"/>
  <c r="F120" i="8"/>
  <c r="F119" i="8"/>
  <c r="F117" i="8"/>
  <c r="F116" i="8"/>
  <c r="F114" i="8"/>
  <c r="F113" i="8"/>
  <c r="F112" i="8"/>
  <c r="F110" i="8"/>
  <c r="F109" i="8"/>
  <c r="F108" i="8"/>
  <c r="F107" i="8"/>
  <c r="F106" i="8"/>
  <c r="F104" i="8"/>
  <c r="F103" i="8"/>
  <c r="F101" i="8"/>
  <c r="F100" i="8"/>
  <c r="F99" i="8"/>
  <c r="F98" i="8"/>
  <c r="F96" i="8"/>
  <c r="F95" i="8"/>
  <c r="F93" i="8"/>
  <c r="F92" i="8"/>
  <c r="F90" i="8"/>
  <c r="F88" i="8"/>
  <c r="F87" i="8"/>
  <c r="F85" i="8"/>
  <c r="F84" i="8"/>
  <c r="F83" i="8"/>
  <c r="F82" i="8"/>
  <c r="F81" i="8"/>
  <c r="F80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1" i="8"/>
  <c r="F60" i="8"/>
  <c r="F59" i="8"/>
  <c r="F58" i="8"/>
  <c r="F57" i="8"/>
  <c r="F56" i="8"/>
  <c r="F55" i="8"/>
  <c r="F54" i="8"/>
  <c r="F53" i="8"/>
  <c r="F52" i="8"/>
  <c r="F51" i="8"/>
  <c r="F50" i="8"/>
  <c r="F48" i="8"/>
  <c r="F47" i="8"/>
  <c r="F45" i="8"/>
  <c r="F44" i="8"/>
  <c r="F43" i="8"/>
  <c r="F42" i="8"/>
  <c r="F40" i="8"/>
  <c r="F39" i="8"/>
  <c r="F38" i="8"/>
  <c r="F37" i="8"/>
  <c r="F36" i="8"/>
  <c r="F35" i="8"/>
  <c r="F34" i="8"/>
  <c r="F33" i="8"/>
  <c r="F31" i="8"/>
  <c r="F30" i="8"/>
  <c r="F29" i="8"/>
  <c r="F28" i="8"/>
  <c r="F26" i="8"/>
  <c r="F25" i="8"/>
  <c r="F24" i="8"/>
  <c r="F23" i="8"/>
  <c r="F22" i="8"/>
  <c r="F21" i="8"/>
  <c r="F19" i="8"/>
  <c r="F18" i="8"/>
  <c r="F17" i="8"/>
  <c r="F16" i="8"/>
  <c r="F15" i="8"/>
  <c r="F14" i="8"/>
  <c r="F13" i="8"/>
  <c r="F4" i="8"/>
  <c r="F131" i="7"/>
  <c r="F130" i="7"/>
  <c r="F129" i="7"/>
  <c r="F128" i="7"/>
  <c r="F127" i="7"/>
  <c r="F126" i="7"/>
  <c r="F125" i="7"/>
  <c r="F123" i="7"/>
  <c r="F122" i="7"/>
  <c r="F121" i="7"/>
  <c r="F120" i="7"/>
  <c r="F119" i="7"/>
  <c r="F117" i="7"/>
  <c r="F116" i="7"/>
  <c r="F114" i="7"/>
  <c r="F113" i="7"/>
  <c r="F112" i="7"/>
  <c r="F110" i="7"/>
  <c r="F109" i="7"/>
  <c r="F108" i="7"/>
  <c r="F107" i="7"/>
  <c r="F106" i="7"/>
  <c r="F104" i="7"/>
  <c r="F103" i="7"/>
  <c r="F101" i="7"/>
  <c r="F100" i="7"/>
  <c r="F99" i="7"/>
  <c r="F98" i="7"/>
  <c r="F96" i="7"/>
  <c r="F95" i="7"/>
  <c r="F93" i="7"/>
  <c r="F92" i="7"/>
  <c r="F90" i="7"/>
  <c r="F88" i="7"/>
  <c r="F87" i="7"/>
  <c r="F85" i="7"/>
  <c r="F84" i="7"/>
  <c r="F83" i="7"/>
  <c r="F82" i="7"/>
  <c r="F81" i="7"/>
  <c r="F80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1" i="7"/>
  <c r="F60" i="7"/>
  <c r="F59" i="7"/>
  <c r="F58" i="7"/>
  <c r="F57" i="7"/>
  <c r="F56" i="7"/>
  <c r="F55" i="7"/>
  <c r="F54" i="7"/>
  <c r="F53" i="7"/>
  <c r="F52" i="7"/>
  <c r="F51" i="7"/>
  <c r="F50" i="7"/>
  <c r="F48" i="7"/>
  <c r="F47" i="7"/>
  <c r="F45" i="7"/>
  <c r="F44" i="7"/>
  <c r="F43" i="7"/>
  <c r="F42" i="7"/>
  <c r="F40" i="7"/>
  <c r="F39" i="7"/>
  <c r="F38" i="7"/>
  <c r="F37" i="7"/>
  <c r="F36" i="7"/>
  <c r="F35" i="7"/>
  <c r="F34" i="7"/>
  <c r="F33" i="7"/>
  <c r="F31" i="7"/>
  <c r="F30" i="7"/>
  <c r="F29" i="7"/>
  <c r="F28" i="7"/>
  <c r="F26" i="7"/>
  <c r="F25" i="7"/>
  <c r="F24" i="7"/>
  <c r="F23" i="7"/>
  <c r="F22" i="7"/>
  <c r="F21" i="7"/>
  <c r="F19" i="7"/>
  <c r="F18" i="7"/>
  <c r="F17" i="7"/>
  <c r="F16" i="7"/>
  <c r="F15" i="7"/>
  <c r="F14" i="7"/>
  <c r="F13" i="7"/>
  <c r="F4" i="7"/>
  <c r="F131" i="6"/>
  <c r="F130" i="6"/>
  <c r="F129" i="6"/>
  <c r="F128" i="6"/>
  <c r="F127" i="6"/>
  <c r="F126" i="6"/>
  <c r="F125" i="6"/>
  <c r="F123" i="6"/>
  <c r="F122" i="6"/>
  <c r="F121" i="6"/>
  <c r="F120" i="6"/>
  <c r="F119" i="6"/>
  <c r="F117" i="6"/>
  <c r="F116" i="6"/>
  <c r="F114" i="6"/>
  <c r="F113" i="6"/>
  <c r="F112" i="6"/>
  <c r="F110" i="6"/>
  <c r="F109" i="6"/>
  <c r="F108" i="6"/>
  <c r="F107" i="6"/>
  <c r="F106" i="6"/>
  <c r="F104" i="6"/>
  <c r="F103" i="6"/>
  <c r="F101" i="6"/>
  <c r="F100" i="6"/>
  <c r="F99" i="6"/>
  <c r="F98" i="6"/>
  <c r="F96" i="6"/>
  <c r="F95" i="6"/>
  <c r="F93" i="6"/>
  <c r="F92" i="6"/>
  <c r="F90" i="6"/>
  <c r="F88" i="6"/>
  <c r="F87" i="6"/>
  <c r="F85" i="6"/>
  <c r="F84" i="6"/>
  <c r="F83" i="6"/>
  <c r="F82" i="6"/>
  <c r="F81" i="6"/>
  <c r="F80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1" i="6"/>
  <c r="F60" i="6"/>
  <c r="F59" i="6"/>
  <c r="F58" i="6"/>
  <c r="F57" i="6"/>
  <c r="F56" i="6"/>
  <c r="F55" i="6"/>
  <c r="F54" i="6"/>
  <c r="F53" i="6"/>
  <c r="F52" i="6"/>
  <c r="F51" i="6"/>
  <c r="F50" i="6"/>
  <c r="F48" i="6"/>
  <c r="F47" i="6"/>
  <c r="F45" i="6"/>
  <c r="F44" i="6"/>
  <c r="F43" i="6"/>
  <c r="F42" i="6"/>
  <c r="F40" i="6"/>
  <c r="F39" i="6"/>
  <c r="F38" i="6"/>
  <c r="F37" i="6"/>
  <c r="F36" i="6"/>
  <c r="F35" i="6"/>
  <c r="F34" i="6"/>
  <c r="F33" i="6"/>
  <c r="F31" i="6"/>
  <c r="F30" i="6"/>
  <c r="F29" i="6"/>
  <c r="F28" i="6"/>
  <c r="F26" i="6"/>
  <c r="F25" i="6"/>
  <c r="F24" i="6"/>
  <c r="F23" i="6"/>
  <c r="F22" i="6"/>
  <c r="F21" i="6"/>
  <c r="F19" i="6"/>
  <c r="F18" i="6"/>
  <c r="F17" i="6"/>
  <c r="F16" i="6"/>
  <c r="F15" i="6"/>
  <c r="F14" i="6"/>
  <c r="F13" i="6"/>
  <c r="F4" i="6"/>
  <c r="F131" i="1"/>
  <c r="F130" i="1"/>
  <c r="F129" i="1"/>
  <c r="F128" i="1"/>
  <c r="F127" i="1"/>
  <c r="F126" i="1"/>
  <c r="F125" i="1"/>
  <c r="F123" i="1"/>
  <c r="F122" i="1"/>
  <c r="F121" i="1"/>
  <c r="F120" i="1"/>
  <c r="F119" i="1"/>
  <c r="F117" i="1"/>
  <c r="F116" i="1"/>
  <c r="F114" i="1"/>
  <c r="F113" i="1"/>
  <c r="F112" i="1"/>
  <c r="F110" i="1"/>
  <c r="F109" i="1"/>
  <c r="F108" i="1"/>
  <c r="F107" i="1"/>
  <c r="F106" i="1"/>
  <c r="F104" i="1" l="1"/>
  <c r="F103" i="1"/>
  <c r="F101" i="1"/>
  <c r="F100" i="1"/>
  <c r="F99" i="1"/>
  <c r="F98" i="1"/>
  <c r="F96" i="1"/>
  <c r="F95" i="1"/>
  <c r="F93" i="1"/>
  <c r="F92" i="1"/>
  <c r="F90" i="1"/>
  <c r="F88" i="1"/>
  <c r="F87" i="1"/>
  <c r="F85" i="1"/>
  <c r="F84" i="1"/>
  <c r="F83" i="1"/>
  <c r="F82" i="1"/>
  <c r="F81" i="1"/>
  <c r="F80" i="1"/>
  <c r="F4" i="1"/>
  <c r="F78" i="1"/>
  <c r="F77" i="1"/>
  <c r="F76" i="1"/>
  <c r="F75" i="1"/>
  <c r="F74" i="1"/>
  <c r="F73" i="1"/>
  <c r="F72" i="1"/>
  <c r="F71" i="1" l="1"/>
  <c r="F70" i="1"/>
  <c r="F69" i="1"/>
  <c r="F68" i="1"/>
  <c r="F67" i="1"/>
  <c r="F66" i="1"/>
  <c r="F65" i="1"/>
  <c r="F64" i="1"/>
  <c r="F63" i="1"/>
  <c r="F61" i="1"/>
  <c r="F60" i="1"/>
  <c r="F59" i="1"/>
  <c r="F58" i="1"/>
  <c r="F57" i="1"/>
  <c r="F56" i="1"/>
  <c r="F55" i="1"/>
  <c r="F54" i="1"/>
  <c r="F53" i="1"/>
  <c r="F52" i="1"/>
  <c r="F51" i="1"/>
  <c r="F50" i="1"/>
  <c r="F47" i="1"/>
  <c r="F48" i="1"/>
  <c r="F45" i="1"/>
  <c r="F44" i="1"/>
  <c r="F43" i="1"/>
  <c r="F42" i="1"/>
  <c r="F40" i="1"/>
  <c r="F39" i="1"/>
  <c r="F38" i="1"/>
  <c r="F37" i="1"/>
  <c r="F36" i="1"/>
  <c r="F35" i="1"/>
  <c r="F34" i="1"/>
  <c r="F33" i="1"/>
  <c r="F31" i="1"/>
  <c r="F30" i="1"/>
  <c r="F29" i="1"/>
  <c r="F28" i="1"/>
  <c r="F26" i="1" l="1"/>
  <c r="F25" i="1"/>
  <c r="F24" i="1"/>
  <c r="F23" i="1"/>
  <c r="F22" i="1"/>
  <c r="F21" i="1"/>
  <c r="F19" i="1"/>
  <c r="F18" i="1"/>
  <c r="F17" i="1"/>
  <c r="F16" i="1"/>
  <c r="F15" i="1"/>
  <c r="F14" i="1"/>
  <c r="F13" i="1"/>
</calcChain>
</file>

<file path=xl/sharedStrings.xml><?xml version="1.0" encoding="utf-8"?>
<sst xmlns="http://schemas.openxmlformats.org/spreadsheetml/2006/main" count="4308" uniqueCount="323">
  <si>
    <t>TECHNICAL SCHEDULES A &amp; B FOR 
GROUND-MOUNTED  DISTRIBUTION TRANSFORMERS</t>
  </si>
  <si>
    <t>Schedule A:  Purchaser's specific requirements</t>
  </si>
  <si>
    <t>Schedule B:  Guarantees and technical particulars of equipment offered</t>
  </si>
  <si>
    <t>Item</t>
  </si>
  <si>
    <t>Sub-clause of 240- 45395762</t>
  </si>
  <si>
    <t>Description</t>
  </si>
  <si>
    <t>Schedule A</t>
  </si>
  <si>
    <t>Schedule B</t>
  </si>
  <si>
    <t>Identification</t>
  </si>
  <si>
    <t>Name of manufacturer</t>
  </si>
  <si>
    <t>xxxxxxxxxxx</t>
  </si>
  <si>
    <t>Name of supplier</t>
  </si>
  <si>
    <t>Product code for Inland transformers</t>
  </si>
  <si>
    <t>Product code for Coastal transformers</t>
  </si>
  <si>
    <t>Ratings</t>
  </si>
  <si>
    <t>Power rating</t>
  </si>
  <si>
    <t>kVA</t>
  </si>
  <si>
    <t>Rated primary voltage</t>
  </si>
  <si>
    <t>kV</t>
  </si>
  <si>
    <t>Rated no-load secondary voltage</t>
  </si>
  <si>
    <t>V</t>
  </si>
  <si>
    <t>Frequency</t>
  </si>
  <si>
    <t>Hz</t>
  </si>
  <si>
    <t>Number of phases</t>
  </si>
  <si>
    <t>Vector Group</t>
  </si>
  <si>
    <t>3.2.5</t>
  </si>
  <si>
    <t>Insulation levels</t>
  </si>
  <si>
    <t>BIL - Primary</t>
  </si>
  <si>
    <t>BIL - Secondary</t>
  </si>
  <si>
    <t>Power frequency withstand voltage - Primary</t>
  </si>
  <si>
    <t>Power frequency withstand voltage – Secondary</t>
  </si>
  <si>
    <t>Inter-turn winding insulation</t>
  </si>
  <si>
    <t>Type (Enamel or Paper)</t>
  </si>
  <si>
    <t>Enamel grade (if applicable)</t>
  </si>
  <si>
    <t>Paper thickness (if applicable)</t>
  </si>
  <si>
    <t>mm</t>
  </si>
  <si>
    <t>Paper type (if applicable)</t>
  </si>
  <si>
    <t>Paper make (if applicable)</t>
  </si>
  <si>
    <t>3.2.8</t>
  </si>
  <si>
    <t>Interlayer insulation</t>
  </si>
  <si>
    <t>kV/mm</t>
  </si>
  <si>
    <t>Paper type.</t>
  </si>
  <si>
    <t>Paper make.</t>
  </si>
  <si>
    <t>3.2.9</t>
  </si>
  <si>
    <t>Tapping connections</t>
  </si>
  <si>
    <t xml:space="preserve">Type </t>
  </si>
  <si>
    <t>Tapping range</t>
  </si>
  <si>
    <t>%</t>
  </si>
  <si>
    <t>MV Cable Termination Enclosures and Bushings</t>
  </si>
  <si>
    <t>Air filled enclosure on side of the tank</t>
  </si>
  <si>
    <t>Stainless steel fasteners</t>
  </si>
  <si>
    <t>Cable termination type</t>
  </si>
  <si>
    <t>Earthing terminal  height from gland plate</t>
  </si>
  <si>
    <t>Gland plate entry hole</t>
  </si>
  <si>
    <t>Dimensions between bushings</t>
  </si>
  <si>
    <t>Clearances within MV cable termination enclosure</t>
  </si>
  <si>
    <t>Cable support clamp diameter</t>
  </si>
  <si>
    <t>Depth of cable box</t>
  </si>
  <si>
    <t>7.10'</t>
  </si>
  <si>
    <t>MV warning sign with aircraft pop rivets</t>
  </si>
  <si>
    <t>Distance from gland plate to MV bushing
centre line</t>
  </si>
  <si>
    <t>Sealant used to seal the cable entry into the MV cable termination enclosure. If other than rubber grommet e.g. brass
wiping gland?</t>
  </si>
  <si>
    <t>3.2.10</t>
  </si>
  <si>
    <t>LV Bushings</t>
  </si>
  <si>
    <t xml:space="preserve">Make </t>
  </si>
  <si>
    <t>Product code</t>
  </si>
  <si>
    <t>Material (e.g. Porcelain)</t>
  </si>
  <si>
    <t>Stem diameter</t>
  </si>
  <si>
    <t>Detail of LV cable connection shown
on drawing</t>
  </si>
  <si>
    <t>Clearance between ph-ph and ph-earth</t>
  </si>
  <si>
    <t>Current denisty of Copper flags  for LV cable connections</t>
  </si>
  <si>
    <t>8.10'</t>
  </si>
  <si>
    <t>Earthing terminal welded to centre of side wall</t>
  </si>
  <si>
    <t>Surge arrester mounted on earthing terminal in LV termination enclosure</t>
  </si>
  <si>
    <t>Number of cable gland holes</t>
  </si>
  <si>
    <t>Size of gland hole</t>
  </si>
  <si>
    <t>Clearance around gland hole</t>
  </si>
  <si>
    <t>Cable gland type</t>
  </si>
  <si>
    <t>Losses</t>
  </si>
  <si>
    <t xml:space="preserve">Loss factor base (Cost of Dx or Gx) </t>
  </si>
  <si>
    <t>Distribution</t>
  </si>
  <si>
    <t xml:space="preserve">No-load Loss Factor, NLLF </t>
  </si>
  <si>
    <t>R/kW</t>
  </si>
  <si>
    <t>Load Loss Factor, LLF</t>
  </si>
  <si>
    <r>
      <t>Guaranteed no-load losses, P</t>
    </r>
    <r>
      <rPr>
        <vertAlign val="subscript"/>
        <sz val="10"/>
        <color indexed="8"/>
        <rFont val="Arial"/>
        <family val="2"/>
      </rPr>
      <t>NL</t>
    </r>
  </si>
  <si>
    <t>W</t>
  </si>
  <si>
    <r>
      <t>Guaranteed load losses, P</t>
    </r>
    <r>
      <rPr>
        <vertAlign val="subscript"/>
        <sz val="10"/>
        <color indexed="8"/>
        <rFont val="Arial"/>
        <family val="2"/>
      </rPr>
      <t>LL</t>
    </r>
  </si>
  <si>
    <t>Impedance voltage &amp; X/R ratio</t>
  </si>
  <si>
    <t>X/R ratio</t>
  </si>
  <si>
    <t>xxxxxxxxxx</t>
  </si>
  <si>
    <t>Maximum limit of transformer audio-sound level</t>
  </si>
  <si>
    <t>db(A)</t>
  </si>
  <si>
    <t>MV winding wire</t>
  </si>
  <si>
    <t>Material (e.g. Cu or Al)</t>
  </si>
  <si>
    <t>Type (e.g. Round, Strip or Foil)</t>
  </si>
  <si>
    <t>LV winding wire</t>
  </si>
  <si>
    <t>Core material</t>
  </si>
  <si>
    <t xml:space="preserve">Core material </t>
  </si>
  <si>
    <t xml:space="preserve">Type/code </t>
  </si>
  <si>
    <t>Maximum Flux Density of Material</t>
  </si>
  <si>
    <t>Supplier</t>
  </si>
  <si>
    <t>3.3.2</t>
  </si>
  <si>
    <t>Tank and tank cover</t>
  </si>
  <si>
    <t>Tank type: Sealed</t>
  </si>
  <si>
    <t>3.3.3</t>
  </si>
  <si>
    <t>Transformer dimensions - not exceeding underbase</t>
  </si>
  <si>
    <t>Wo</t>
  </si>
  <si>
    <t>Lo</t>
  </si>
  <si>
    <t>Ht</t>
  </si>
  <si>
    <t>Mass</t>
  </si>
  <si>
    <t>kg</t>
  </si>
  <si>
    <t>Oil capacity</t>
  </si>
  <si>
    <t>l</t>
  </si>
  <si>
    <t>3.3.5</t>
  </si>
  <si>
    <t>Transformer under base</t>
  </si>
  <si>
    <t>Width</t>
  </si>
  <si>
    <t>Length</t>
  </si>
  <si>
    <t>3.3.6</t>
  </si>
  <si>
    <t>Lifting lugs</t>
  </si>
  <si>
    <t>Hole diameter</t>
  </si>
  <si>
    <t>3.3.7</t>
  </si>
  <si>
    <t>Earthing terminals</t>
  </si>
  <si>
    <t xml:space="preserve">Boss material </t>
  </si>
  <si>
    <t>Boss depth</t>
  </si>
  <si>
    <t>Set screw material</t>
  </si>
  <si>
    <t>Set screw dimensions</t>
  </si>
  <si>
    <t>Supplied with washer and spring washer</t>
  </si>
  <si>
    <t>Surge arrester brackets</t>
  </si>
  <si>
    <t>Surge arrester bracket required? (Yes or No)</t>
  </si>
  <si>
    <t>Mounting hole diameter</t>
  </si>
  <si>
    <t>Dimension D (worst case)</t>
  </si>
  <si>
    <t>Dimension E (worst case)</t>
  </si>
  <si>
    <t>Dimension F (worst case)</t>
  </si>
  <si>
    <t>Corrosion protection Inland transformers</t>
  </si>
  <si>
    <t xml:space="preserve">Tank </t>
  </si>
  <si>
    <t>Radiators</t>
  </si>
  <si>
    <t>Threaded rods and accessories</t>
  </si>
  <si>
    <t>Colour of final coat</t>
  </si>
  <si>
    <t>Avocado</t>
  </si>
  <si>
    <t>Corrosion protection for Coastal transformers</t>
  </si>
  <si>
    <t>All Type Tests in Accordance with SANS 780 inc Short Circuit Withstand Tests</t>
  </si>
  <si>
    <t>All Routine Tests in Accordance with SANS 780</t>
  </si>
  <si>
    <t>Select Ground Mounted Transformer (kVA, kV) here!</t>
  </si>
  <si>
    <t>3ph</t>
  </si>
  <si>
    <t>Dyn11 or Yzn11</t>
  </si>
  <si>
    <t>Grade 3</t>
  </si>
  <si>
    <t>&gt; 0.125</t>
  </si>
  <si>
    <t>&lt; 5</t>
  </si>
  <si>
    <t xml:space="preserve">&lt; 5 </t>
  </si>
  <si>
    <t>Switch</t>
  </si>
  <si>
    <t xml:space="preserve">Type 3 </t>
  </si>
  <si>
    <t>100mm</t>
  </si>
  <si>
    <t>110mm</t>
  </si>
  <si>
    <t>Min 135mm</t>
  </si>
  <si>
    <t>90mm</t>
  </si>
  <si>
    <t>50-75mm</t>
  </si>
  <si>
    <t>&gt;= 350mm</t>
  </si>
  <si>
    <t>M12</t>
  </si>
  <si>
    <t>Yes</t>
  </si>
  <si>
    <t>60mm</t>
  </si>
  <si>
    <t xml:space="preserve">70mm² </t>
  </si>
  <si>
    <t>Sealed</t>
  </si>
  <si>
    <t>≤ 1 000</t>
  </si>
  <si>
    <t xml:space="preserve">≤ 1 500 </t>
  </si>
  <si>
    <t xml:space="preserve">≥ 30 </t>
  </si>
  <si>
    <t>≥ 30</t>
  </si>
  <si>
    <t xml:space="preserve">M12 x 25 </t>
  </si>
  <si>
    <t>≥ 200</t>
  </si>
  <si>
    <t>≥ 190</t>
  </si>
  <si>
    <t>≥ 150</t>
  </si>
  <si>
    <t xml:space="preserve">Type 4 </t>
  </si>
  <si>
    <t>Adjustable Mechanical No. 5</t>
  </si>
  <si>
    <t>Type 3</t>
  </si>
  <si>
    <t>Type 4</t>
  </si>
  <si>
    <t xml:space="preserve">150mm² </t>
  </si>
  <si>
    <t xml:space="preserve">500mm² </t>
  </si>
  <si>
    <t>7 (2 per
phase, 1 for
neutral)</t>
  </si>
  <si>
    <t>Compression Type A2 No. 5</t>
  </si>
  <si>
    <t>Specification: DSP 240- 45395762 Rev.4</t>
  </si>
  <si>
    <t>Eskom SAP Number</t>
  </si>
  <si>
    <t>Eskom SAP number</t>
  </si>
  <si>
    <t>0182441</t>
  </si>
  <si>
    <t>0182443</t>
  </si>
  <si>
    <t>0180189</t>
  </si>
  <si>
    <t>0180191</t>
  </si>
  <si>
    <t>0180193</t>
  </si>
  <si>
    <t>0180195</t>
  </si>
  <si>
    <t>0182445</t>
  </si>
  <si>
    <t>0182447</t>
  </si>
  <si>
    <t>0180197</t>
  </si>
  <si>
    <t>0180199</t>
  </si>
  <si>
    <t>Are the transformers covered by the SANS 780 certification mark?</t>
  </si>
  <si>
    <t>State SANS 780 permit number</t>
  </si>
  <si>
    <t>Oil Type</t>
  </si>
  <si>
    <r>
      <t>Guaranteed no-load losses, P</t>
    </r>
    <r>
      <rPr>
        <vertAlign val="subscript"/>
        <sz val="10"/>
        <color indexed="8"/>
        <rFont val="Calibri"/>
        <family val="2"/>
        <scheme val="minor"/>
      </rPr>
      <t>NL</t>
    </r>
  </si>
  <si>
    <r>
      <t>Guaranteed load losses, P</t>
    </r>
    <r>
      <rPr>
        <vertAlign val="subscript"/>
        <sz val="10"/>
        <color indexed="8"/>
        <rFont val="Calibri"/>
        <family val="2"/>
        <scheme val="minor"/>
      </rPr>
      <t>LL</t>
    </r>
  </si>
  <si>
    <r>
      <t xml:space="preserve">Indicate the coating system (i.e. DS numbers according to DSP 34-1658) that is offered. (e.g. </t>
    </r>
    <r>
      <rPr>
        <u/>
        <sz val="10"/>
        <color indexed="8"/>
        <rFont val="Calibri"/>
        <family val="2"/>
        <scheme val="minor"/>
      </rPr>
      <t>DS-7</t>
    </r>
    <r>
      <rPr>
        <sz val="10"/>
        <color indexed="8"/>
        <rFont val="Calibri"/>
        <family val="2"/>
        <scheme val="minor"/>
      </rPr>
      <t xml:space="preserve"> for mild steel</t>
    </r>
    <r>
      <rPr>
        <u/>
        <sz val="10"/>
        <color indexed="8"/>
        <rFont val="Calibri"/>
        <family val="2"/>
        <scheme val="minor"/>
      </rPr>
      <t>)</t>
    </r>
  </si>
  <si>
    <r>
      <t xml:space="preserve">0, </t>
    </r>
    <r>
      <rPr>
        <sz val="10"/>
        <color indexed="8"/>
        <rFont val="Calibri"/>
        <family val="2"/>
        <scheme val="minor"/>
      </rPr>
      <t>±2.5, ±5</t>
    </r>
  </si>
  <si>
    <t>≤ 110</t>
  </si>
  <si>
    <r>
      <rPr>
        <sz val="10"/>
        <color indexed="8"/>
        <rFont val="Calibri"/>
        <family val="2"/>
        <scheme val="minor"/>
      </rPr>
      <t xml:space="preserve">≤ 48 </t>
    </r>
  </si>
  <si>
    <t>≤ 520</t>
  </si>
  <si>
    <t>2.0 A/mm² or 1.6 A/mm²</t>
  </si>
  <si>
    <t>Select Item</t>
  </si>
  <si>
    <t>Paper minimum impulse withstand</t>
  </si>
  <si>
    <t xml:space="preserve">Paper minimum power frequency withstand </t>
  </si>
  <si>
    <t>Inter-turn winding insulation stress shall not exceed 5 kV/mm</t>
  </si>
  <si>
    <t>&lt;5</t>
  </si>
  <si>
    <t>Sealant used to seal the cable entry into the MV cable termination enclosure. If other than rubber grommet e.g. brass wiping gland?</t>
  </si>
  <si>
    <t>Rubber grommet or other offer</t>
  </si>
  <si>
    <t>Distance from gland plate to MV bushing centre line (clearance e as per SANS 876)</t>
  </si>
  <si>
    <t>Clearance e as per SANS 876</t>
  </si>
  <si>
    <t>Detail of LV cable connection shown on drawing</t>
  </si>
  <si>
    <t>Current denisty of Copper flags for LV cable connections shall not exceed 2 A/mm2 for rated currents up to and including 630 A and 1,6 A/mm2 for rated currents greater than 630 A</t>
  </si>
  <si>
    <t>Minimum cross-sectional area of electrolytic copper conductor fitted in parallel with the surge arrester</t>
  </si>
  <si>
    <t>Table 5</t>
  </si>
  <si>
    <t>Min 135</t>
  </si>
  <si>
    <t>50-75</t>
  </si>
  <si>
    <t>&gt;= 350</t>
  </si>
  <si>
    <t>Clearance "e" as per SANS 876</t>
  </si>
  <si>
    <t>mm²</t>
  </si>
  <si>
    <t>A/mm²</t>
  </si>
  <si>
    <t>∅ 50</t>
  </si>
  <si>
    <t>∅ 65</t>
  </si>
  <si>
    <t>Adjustable Mechanical No. 7</t>
  </si>
  <si>
    <t>Amorphous Losses (Guaranteed no-load losses, PNL)</t>
  </si>
  <si>
    <t>≤ 30</t>
  </si>
  <si>
    <t>≤ 40</t>
  </si>
  <si>
    <t>≤ 70</t>
  </si>
  <si>
    <t>≤ 120</t>
  </si>
  <si>
    <t>≤ 170</t>
  </si>
  <si>
    <t>≤ 230</t>
  </si>
  <si>
    <t>≤ 390</t>
  </si>
  <si>
    <t>Update as per 240-151534440</t>
  </si>
  <si>
    <t>≤ 190</t>
  </si>
  <si>
    <t>≤ 320</t>
  </si>
  <si>
    <t>≤ 450</t>
  </si>
  <si>
    <t>≤ 630</t>
  </si>
  <si>
    <t>≤ 1 070</t>
  </si>
  <si>
    <t>≤ 880</t>
  </si>
  <si>
    <t>≤ 1500</t>
  </si>
  <si>
    <t>≤ 2600</t>
  </si>
  <si>
    <t>≤ 3600</t>
  </si>
  <si>
    <t>≤ 5200</t>
  </si>
  <si>
    <t>≤ 8900</t>
  </si>
  <si>
    <t>3,0 to 4,5</t>
  </si>
  <si>
    <t>4,0 to 5,0</t>
  </si>
  <si>
    <t>4,5 to 5,5</t>
  </si>
  <si>
    <t>≤ 50</t>
  </si>
  <si>
    <t>≤ 52</t>
  </si>
  <si>
    <t xml:space="preserve">≤ 56 </t>
  </si>
  <si>
    <r>
      <t xml:space="preserve">Audio-sound level </t>
    </r>
    <r>
      <rPr>
        <sz val="10"/>
        <color indexed="8"/>
        <rFont val="Arial"/>
        <family val="2"/>
      </rPr>
      <t>(Table 8 of SANS 780)</t>
    </r>
  </si>
  <si>
    <r>
      <t xml:space="preserve">Audio-sound level </t>
    </r>
    <r>
      <rPr>
        <sz val="10"/>
        <color indexed="8"/>
        <rFont val="Calibri"/>
        <family val="2"/>
        <scheme val="minor"/>
      </rPr>
      <t>(Table 8 of SANS 780)</t>
    </r>
  </si>
  <si>
    <t>Steel or Amporphous</t>
  </si>
  <si>
    <t>Plain, rigid or corrugated</t>
  </si>
  <si>
    <t>Figure 13</t>
  </si>
  <si>
    <t>Lifting lugs fitted</t>
  </si>
  <si>
    <t>Supplied with skid under base</t>
  </si>
  <si>
    <t>316 Stainless Steel or Mild Steel</t>
  </si>
  <si>
    <t>Surge arresters are not on-board on the GMT, but at the MV OHL/Cable termination structure</t>
  </si>
  <si>
    <t>The spec only stipulates 70mm2 - I think the additional sizes were mistakenly included as these are the LV Cable sizes</t>
  </si>
  <si>
    <t>inland no longer catered for in spec</t>
  </si>
  <si>
    <t>Indicate the coating system (i.e. DS numbers according to DSP 240-75655504) that is offered. (e.g. DS-14 + DS-15 for zinc sprayed mild steel with duplex coating)</t>
  </si>
  <si>
    <t>Indicate Coating System</t>
  </si>
  <si>
    <t>Hardware and accessories</t>
  </si>
  <si>
    <r>
      <t xml:space="preserve">All Type Tests in Accordance with SANS 780:
</t>
    </r>
    <r>
      <rPr>
        <sz val="10"/>
        <color theme="1"/>
        <rFont val="Arial"/>
        <family val="2"/>
      </rPr>
      <t xml:space="preserve">
• Temperature rise test 
• Dielectric type test
• Tank stiffness test 
• Corrugated tank fatigue test
• Equivalent disturbing current test (This test is only applicable to SWER transformers)
• Short Circuit Withstand Test
• Natural ageing and pollution performance test</t>
    </r>
  </si>
  <si>
    <t>Report Numbers</t>
  </si>
  <si>
    <r>
      <t xml:space="preserve">All Routine Tests in Accordance with SANS 780
</t>
    </r>
    <r>
      <rPr>
        <sz val="10"/>
        <color theme="1"/>
        <rFont val="Arial"/>
        <family val="2"/>
      </rPr>
      <t xml:space="preserve">
• Measurement of winding resistance
• Measurement of voltage ratio and phase displacement
• Measurement of short-circuit impedance and load loss
• Measurement of no-load loss and current
• Separate source voltage test
• Induced overvoltage test
• Measurement of paint thickness
• Test for effectiveness of sealing
• Measurement of secondary voltage across outer two terminals to be 484 V. (Only applicable to dual-phase transformers.) 
• Measurement of insulation resistance test
• Reactance (%)
• Dielectric routine tests
• Vector group test </t>
    </r>
  </si>
  <si>
    <t>3.2.12</t>
  </si>
  <si>
    <t>3.2.14</t>
  </si>
  <si>
    <t>&gt;&gt;&gt;</t>
  </si>
  <si>
    <t>Steps to follow to prepare this file for tender</t>
  </si>
  <si>
    <t>Go to Source Data worksheet and confirm the figures from columns BT to Bx are correct</t>
  </si>
  <si>
    <t>Leave enquiry number blank if not known</t>
  </si>
  <si>
    <t>Enter the Enquiry number in the cell below so that the number is carried through to the AB Schedule Sheets</t>
  </si>
  <si>
    <t>Fix any other requirements on Source Data if there has been a change to the spec</t>
  </si>
  <si>
    <t>Hide Source Data Sheet</t>
  </si>
  <si>
    <t>Hide this sheet</t>
  </si>
  <si>
    <t>NOTE:</t>
  </si>
  <si>
    <t>The table below is used for the VLookUp and the Headers on the AB Schedule Sheets, and the selector on the combined sheet. Edit only if needed</t>
  </si>
  <si>
    <t>Hide any unnecessary sheets if not needed for the tender</t>
  </si>
  <si>
    <t>Type Enquiry Number in the cell below (overtype the green text) so that it transfers to all the AB Schedules</t>
  </si>
  <si>
    <r>
      <t xml:space="preserve">Enquiry Number: </t>
    </r>
    <r>
      <rPr>
        <sz val="11"/>
        <color rgb="FF00B050"/>
        <rFont val="Calibri"/>
        <family val="2"/>
        <scheme val="minor"/>
      </rPr>
      <t>123456XYZ</t>
    </r>
  </si>
  <si>
    <t>Date</t>
  </si>
  <si>
    <t>Sign</t>
  </si>
  <si>
    <t>Company Name</t>
  </si>
  <si>
    <t>Name (Print)</t>
  </si>
  <si>
    <t xml:space="preserve">         </t>
  </si>
  <si>
    <t>SUPPLIER SIGNATURES</t>
  </si>
  <si>
    <t>Description of Deviation</t>
  </si>
  <si>
    <t>Clause</t>
  </si>
  <si>
    <t>Any deviations offered to this specification shall be listed below with reasons for deviation.  In addition, evidence shall be provided that the proposed deviation will at least be more cost-effective that that specified by Eskom.</t>
  </si>
  <si>
    <t xml:space="preserve"> BIDDER TO STATE SAP NUMBER</t>
  </si>
  <si>
    <t xml:space="preserve">SAP No.: </t>
  </si>
  <si>
    <t xml:space="preserve">Specification: DSP 240-45395762 Rev.4  Enquiry no.: </t>
  </si>
  <si>
    <t>Deviation schedule</t>
  </si>
  <si>
    <t>Deviations from the specific requirements stated in Schedule A must be recorded and explained in the Deviation Schedule</t>
  </si>
  <si>
    <t>Impedance at principle tapping (specific design impedances to be stated)</t>
  </si>
  <si>
    <t>Highest interlayer stress in non-tap part of winding (&lt;5kV/mm is not acceptable as the calculated value must be presented)</t>
  </si>
  <si>
    <t>Highest interlayer stress in tap part of winding (&lt;5kV/mm is not acceptable as the calculated value must be presented)</t>
  </si>
  <si>
    <t>This AB schedule is only for Ester Oil options. If the the tender scope includes Ester options, please also submit the Ester Oil or Ester/Ester Schedule to the Buyer</t>
  </si>
  <si>
    <t>Three-phase, 100 kVA, 11 kV/420V (Coastal, Ester Oil Only)</t>
  </si>
  <si>
    <t>Three-phase, 100 kVA, 22 kV/420V (Coastal, Ester Oil Only)</t>
  </si>
  <si>
    <t>Three-phase, 200 kVA, 11 kV/420V (Coastal, Ester Oil Only)</t>
  </si>
  <si>
    <t>Three-phase, 200 kVA, 22 kV/420V (Coastal, Ester Oil Only)</t>
  </si>
  <si>
    <t>Three-phase, 315 kVA, 11 kV/420V (Coastal, Ester Oil Only)</t>
  </si>
  <si>
    <t>Three-phase, 315 kVA, 22 kV/420V (Coastal, Ester Oil Only)</t>
  </si>
  <si>
    <t>Three-phase, 500 kVA, 11 kV/420V (Coastal, Ester Oil Only)</t>
  </si>
  <si>
    <t>Three-phase, 500 kVA, 22 kV/420V (Coastal, Ester Oil Only)</t>
  </si>
  <si>
    <t>Three-phase, 1000 kVA, 11 kV/420V (Coastal, Ester Oil Only)</t>
  </si>
  <si>
    <t>Three-phase, 1000 kVA, 22 kV/420V (Coastal, Ester Oil Only)</t>
  </si>
  <si>
    <t>Three-phase, 25 kVA, 11 kV/420V (Coastal, Ester Oil Only)</t>
  </si>
  <si>
    <t>Ester Oil</t>
  </si>
  <si>
    <t>Three-phase, 25 kVA, 22 kV/420V (Coastal, Ester Oil Only)</t>
  </si>
  <si>
    <t>Three-phase, 25 kVA, 33 kV/420V (Coastal, Ester Oil Only)</t>
  </si>
  <si>
    <t>Three-phase, 50 kVA, 11 kV/420V (Coastal, Ester Oil Only)</t>
  </si>
  <si>
    <t>Three-phase, 50 kVA, 22 kV/420V (Coastal, Ester Oil Only)</t>
  </si>
  <si>
    <t>Three-phase, 50 kVA, 33 kV/420V (Coastal, Ester Oil Only)</t>
  </si>
  <si>
    <t>Three-phase, 100 kVA, 33 kV/420V (Coastal, Ester Oil Only)</t>
  </si>
  <si>
    <t>Three-phase, 200 kVA, 33 kV/420V (Coastal, Ester Oil Only)</t>
  </si>
  <si>
    <t>Three-phase, 315 kVA, 33 kV/420V (Coastal, Ester Oil Only)</t>
  </si>
  <si>
    <t>Three-phase, 500 kVA, 33 kV/420V (Coastal, Ester Oil Only)</t>
  </si>
  <si>
    <t>Three-phase, 1000 kVA, 33 kV/420V (Coastal, Ester Oil Only)</t>
  </si>
  <si>
    <t>Azure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</si>
</sst>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name val="Arial"/>
      <family val="2"/>
    </font>
    <font>
      <b/>
      <sz val="1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3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0" xfId="0" applyFont="1" applyFill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>
      <alignment horizontal="center" vertical="center" wrapText="1"/>
    </xf>
    <xf numFmtId="0" fontId="3" fillId="4" borderId="28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center" vertical="center" wrapText="1"/>
    </xf>
    <xf numFmtId="0" fontId="3" fillId="4" borderId="31" xfId="0" applyFont="1" applyFill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7" fillId="3" borderId="0" xfId="0" applyFont="1" applyFill="1" applyBorder="1"/>
    <xf numFmtId="49" fontId="11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6" fillId="0" borderId="32" xfId="0" applyFont="1" applyBorder="1" applyAlignment="1">
      <alignment horizontal="left" vertical="center" wrapText="1"/>
    </xf>
    <xf numFmtId="0" fontId="6" fillId="0" borderId="32" xfId="0" applyFont="1" applyBorder="1"/>
    <xf numFmtId="49" fontId="11" fillId="0" borderId="32" xfId="0" applyNumberFormat="1" applyFont="1" applyBorder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0" fillId="0" borderId="32" xfId="0" applyBorder="1"/>
    <xf numFmtId="0" fontId="7" fillId="0" borderId="3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6" borderId="0" xfId="0" applyFont="1" applyFill="1"/>
    <xf numFmtId="0" fontId="6" fillId="3" borderId="0" xfId="0" applyFont="1" applyFill="1" applyBorder="1" applyAlignment="1">
      <alignment horizontal="left" vertical="center" wrapText="1"/>
    </xf>
    <xf numFmtId="0" fontId="0" fillId="8" borderId="0" xfId="0" applyFill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/>
    <xf numFmtId="0" fontId="15" fillId="0" borderId="0" xfId="0" applyFont="1" applyAlignment="1">
      <alignment horizontal="center"/>
    </xf>
    <xf numFmtId="0" fontId="7" fillId="0" borderId="32" xfId="0" applyFont="1" applyBorder="1" applyAlignment="1">
      <alignment horizontal="center"/>
    </xf>
    <xf numFmtId="0" fontId="17" fillId="0" borderId="0" xfId="1" applyAlignment="1">
      <alignment horizontal="center" vertical="top" wrapText="1"/>
    </xf>
    <xf numFmtId="0" fontId="17" fillId="0" borderId="0" xfId="1" applyAlignment="1">
      <alignment horizontal="right" vertical="top" wrapText="1"/>
    </xf>
    <xf numFmtId="0" fontId="18" fillId="0" borderId="0" xfId="1" applyFont="1" applyAlignment="1">
      <alignment horizontal="left" vertical="top" wrapText="1"/>
    </xf>
    <xf numFmtId="0" fontId="17" fillId="0" borderId="0" xfId="1" applyAlignment="1">
      <alignment vertical="top" wrapText="1"/>
    </xf>
    <xf numFmtId="0" fontId="19" fillId="0" borderId="0" xfId="1" applyFont="1" applyAlignment="1">
      <alignment vertical="top" wrapText="1"/>
    </xf>
    <xf numFmtId="0" fontId="19" fillId="0" borderId="0" xfId="1" applyFont="1" applyAlignment="1">
      <alignment vertical="top"/>
    </xf>
    <xf numFmtId="0" fontId="19" fillId="0" borderId="0" xfId="1" applyFont="1" applyAlignment="1">
      <alignment horizontal="center" vertical="top"/>
    </xf>
    <xf numFmtId="0" fontId="19" fillId="0" borderId="0" xfId="1" applyFont="1" applyAlignment="1">
      <alignment horizontal="right" vertical="top"/>
    </xf>
    <xf numFmtId="0" fontId="17" fillId="9" borderId="29" xfId="1" applyFill="1" applyBorder="1" applyProtection="1">
      <protection locked="0"/>
    </xf>
    <xf numFmtId="0" fontId="17" fillId="9" borderId="17" xfId="1" applyFill="1" applyBorder="1" applyProtection="1">
      <protection locked="0"/>
    </xf>
    <xf numFmtId="0" fontId="17" fillId="9" borderId="24" xfId="1" applyFill="1" applyBorder="1" applyProtection="1">
      <protection locked="0"/>
    </xf>
    <xf numFmtId="0" fontId="18" fillId="0" borderId="9" xfId="1" applyFont="1" applyBorder="1" applyAlignment="1">
      <alignment horizontal="center" vertical="top" wrapText="1"/>
    </xf>
    <xf numFmtId="0" fontId="2" fillId="2" borderId="7" xfId="0" applyFont="1" applyFill="1" applyBorder="1" applyAlignment="1"/>
    <xf numFmtId="3" fontId="0" fillId="0" borderId="0" xfId="0" applyNumberFormat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5" fillId="0" borderId="34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13" fillId="6" borderId="0" xfId="0" applyFont="1" applyFill="1" applyAlignment="1">
      <alignment horizontal="center" wrapText="1"/>
    </xf>
    <xf numFmtId="0" fontId="17" fillId="9" borderId="37" xfId="1" applyFill="1" applyBorder="1" applyAlignment="1" applyProtection="1">
      <alignment horizontal="center"/>
      <protection locked="0"/>
    </xf>
    <xf numFmtId="0" fontId="17" fillId="9" borderId="16" xfId="1" applyFill="1" applyBorder="1" applyAlignment="1" applyProtection="1">
      <alignment horizontal="center"/>
      <protection locked="0"/>
    </xf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 vertical="top" wrapText="1"/>
    </xf>
    <xf numFmtId="0" fontId="21" fillId="0" borderId="7" xfId="1" applyFont="1" applyBorder="1" applyAlignment="1">
      <alignment horizontal="center" vertical="top" wrapText="1"/>
    </xf>
    <xf numFmtId="0" fontId="17" fillId="0" borderId="38" xfId="1" applyBorder="1" applyAlignment="1">
      <alignment horizontal="center" vertical="top" wrapText="1"/>
    </xf>
    <xf numFmtId="0" fontId="17" fillId="0" borderId="11" xfId="1" applyBorder="1" applyAlignment="1">
      <alignment horizontal="center" vertical="top" wrapText="1"/>
    </xf>
    <xf numFmtId="0" fontId="17" fillId="0" borderId="10" xfId="1" applyBorder="1" applyAlignment="1">
      <alignment horizontal="center" vertical="top" wrapText="1"/>
    </xf>
    <xf numFmtId="0" fontId="18" fillId="0" borderId="38" xfId="1" applyFont="1" applyBorder="1" applyAlignment="1">
      <alignment horizontal="left" vertical="top" wrapText="1"/>
    </xf>
    <xf numFmtId="0" fontId="18" fillId="0" borderId="11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7" fillId="9" borderId="22" xfId="1" applyFill="1" applyBorder="1" applyAlignment="1" applyProtection="1">
      <alignment horizontal="center"/>
      <protection locked="0"/>
    </xf>
    <xf numFmtId="0" fontId="17" fillId="9" borderId="20" xfId="1" applyFill="1" applyBorder="1" applyAlignment="1" applyProtection="1">
      <alignment horizontal="center"/>
      <protection locked="0"/>
    </xf>
    <xf numFmtId="0" fontId="18" fillId="0" borderId="35" xfId="1" applyFont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17" fillId="9" borderId="36" xfId="1" applyFill="1" applyBorder="1" applyAlignment="1" applyProtection="1">
      <alignment horizontal="center"/>
      <protection locked="0"/>
    </xf>
    <xf numFmtId="0" fontId="17" fillId="9" borderId="31" xfId="1" applyFill="1" applyBorder="1" applyAlignment="1" applyProtection="1">
      <alignment horizontal="center"/>
      <protection locked="0"/>
    </xf>
    <xf numFmtId="0" fontId="19" fillId="0" borderId="0" xfId="1" applyFont="1" applyAlignment="1">
      <alignment horizontal="center" vertical="top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</cellXfs>
  <cellStyles count="2">
    <cellStyle name="Normal" xfId="0" builtinId="0"/>
    <cellStyle name="Normal 2" xfId="1" xr:uid="{D447F125-1AEB-41C5-8F20-EE263DF5ED4D}"/>
  </cellStyles>
  <dxfs count="4"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2</xdr:row>
      <xdr:rowOff>123825</xdr:rowOff>
    </xdr:from>
    <xdr:to>
      <xdr:col>8</xdr:col>
      <xdr:colOff>9525</xdr:colOff>
      <xdr:row>2</xdr:row>
      <xdr:rowOff>123825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8AAAAF-4B75-4526-91D3-923A0DC54B89}"/>
            </a:ext>
          </a:extLst>
        </xdr:cNvPr>
        <xdr:cNvCxnSpPr/>
      </xdr:nvCxnSpPr>
      <xdr:spPr>
        <a:xfrm flipH="1">
          <a:off x="7541895" y="489585"/>
          <a:ext cx="880110" cy="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7224"/>
          <a:ext cx="2403101" cy="652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563B2FD5-762A-4B6D-9E49-1659E890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48231C4A-AE5E-4AD2-84E6-7D1A6457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928CA44A-D9CC-466B-B3B2-04FE3171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D98E3800-0342-4F60-9668-E70F14F7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15E97CCB-F36B-4742-A29E-5C323F6E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87F98D5-058E-4870-922C-DC57376B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E2B363C2-4888-4CC8-9C32-7364438D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636A1F45-81E1-472E-B1C9-726B1FDA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92C40395-0F98-4291-96A9-BADD98B0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</xdr:colOff>
      <xdr:row>1</xdr:row>
      <xdr:rowOff>8965</xdr:rowOff>
    </xdr:from>
    <xdr:to>
      <xdr:col>3</xdr:col>
      <xdr:colOff>18490</xdr:colOff>
      <xdr:row>4</xdr:row>
      <xdr:rowOff>123265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D5F76CF3-EB4A-4F8C-8484-8F68AC5C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565" y="199465"/>
          <a:ext cx="240220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6C29-3C75-45DD-B5E4-93E383C30628}">
  <sheetPr>
    <tabColor rgb="FFFF0000"/>
  </sheetPr>
  <dimension ref="A1:B32"/>
  <sheetViews>
    <sheetView tabSelected="1" zoomScaleNormal="100" workbookViewId="0">
      <selection sqref="A1:B1"/>
    </sheetView>
  </sheetViews>
  <sheetFormatPr defaultColWidth="19.44140625" defaultRowHeight="14.4" x14ac:dyDescent="0.3"/>
  <cols>
    <col min="2" max="2" width="147.88671875" customWidth="1"/>
    <col min="3" max="3" width="16.21875" bestFit="1" customWidth="1"/>
    <col min="5" max="5" width="24.21875" customWidth="1"/>
  </cols>
  <sheetData>
    <row r="1" spans="1:2" x14ac:dyDescent="0.3">
      <c r="A1" s="110" t="s">
        <v>270</v>
      </c>
      <c r="B1" s="110"/>
    </row>
    <row r="2" spans="1:2" x14ac:dyDescent="0.3">
      <c r="A2" s="91">
        <v>1</v>
      </c>
      <c r="B2" t="s">
        <v>273</v>
      </c>
    </row>
    <row r="3" spans="1:2" x14ac:dyDescent="0.3">
      <c r="A3" s="91">
        <v>1.1000000000000001</v>
      </c>
      <c r="B3" t="s">
        <v>272</v>
      </c>
    </row>
    <row r="4" spans="1:2" x14ac:dyDescent="0.3">
      <c r="A4" s="91">
        <v>2</v>
      </c>
      <c r="B4" t="s">
        <v>271</v>
      </c>
    </row>
    <row r="5" spans="1:2" x14ac:dyDescent="0.3">
      <c r="A5" s="91">
        <v>3</v>
      </c>
      <c r="B5" t="s">
        <v>274</v>
      </c>
    </row>
    <row r="6" spans="1:2" x14ac:dyDescent="0.3">
      <c r="A6" s="91">
        <v>4</v>
      </c>
      <c r="B6" t="s">
        <v>275</v>
      </c>
    </row>
    <row r="7" spans="1:2" x14ac:dyDescent="0.3">
      <c r="A7" s="91">
        <v>5</v>
      </c>
      <c r="B7" t="s">
        <v>276</v>
      </c>
    </row>
    <row r="8" spans="1:2" x14ac:dyDescent="0.3">
      <c r="A8" s="91">
        <v>6</v>
      </c>
      <c r="B8" t="s">
        <v>279</v>
      </c>
    </row>
    <row r="10" spans="1:2" x14ac:dyDescent="0.3">
      <c r="B10" s="92" t="s">
        <v>277</v>
      </c>
    </row>
    <row r="11" spans="1:2" x14ac:dyDescent="0.3">
      <c r="B11" t="s">
        <v>299</v>
      </c>
    </row>
    <row r="13" spans="1:2" x14ac:dyDescent="0.3">
      <c r="A13" s="108" t="s">
        <v>280</v>
      </c>
      <c r="B13" s="109"/>
    </row>
    <row r="14" spans="1:2" x14ac:dyDescent="0.3">
      <c r="A14" s="90" t="s">
        <v>269</v>
      </c>
      <c r="B14" t="s">
        <v>281</v>
      </c>
    </row>
    <row r="17" spans="1:2" x14ac:dyDescent="0.3">
      <c r="A17" s="108" t="s">
        <v>278</v>
      </c>
      <c r="B17" s="109"/>
    </row>
    <row r="18" spans="1:2" x14ac:dyDescent="0.3">
      <c r="A18" s="62" t="s">
        <v>180</v>
      </c>
      <c r="B18" s="63" t="s">
        <v>5</v>
      </c>
    </row>
    <row r="19" spans="1:2" x14ac:dyDescent="0.3">
      <c r="A19" s="64" t="s">
        <v>181</v>
      </c>
      <c r="B19" s="93" t="s">
        <v>300</v>
      </c>
    </row>
    <row r="20" spans="1:2" x14ac:dyDescent="0.3">
      <c r="A20" s="64" t="s">
        <v>182</v>
      </c>
      <c r="B20" s="93" t="s">
        <v>301</v>
      </c>
    </row>
    <row r="21" spans="1:2" x14ac:dyDescent="0.3">
      <c r="A21" s="64" t="s">
        <v>183</v>
      </c>
      <c r="B21" s="93" t="s">
        <v>302</v>
      </c>
    </row>
    <row r="22" spans="1:2" x14ac:dyDescent="0.3">
      <c r="A22" s="64" t="s">
        <v>184</v>
      </c>
      <c r="B22" s="93" t="s">
        <v>303</v>
      </c>
    </row>
    <row r="23" spans="1:2" x14ac:dyDescent="0.3">
      <c r="A23" s="64" t="s">
        <v>185</v>
      </c>
      <c r="B23" s="93" t="s">
        <v>304</v>
      </c>
    </row>
    <row r="24" spans="1:2" x14ac:dyDescent="0.3">
      <c r="A24" s="64" t="s">
        <v>186</v>
      </c>
      <c r="B24" s="93" t="s">
        <v>305</v>
      </c>
    </row>
    <row r="25" spans="1:2" x14ac:dyDescent="0.3">
      <c r="A25" s="64" t="s">
        <v>189</v>
      </c>
      <c r="B25" s="93" t="s">
        <v>306</v>
      </c>
    </row>
    <row r="26" spans="1:2" x14ac:dyDescent="0.3">
      <c r="A26" s="64" t="s">
        <v>190</v>
      </c>
      <c r="B26" s="93" t="s">
        <v>307</v>
      </c>
    </row>
    <row r="27" spans="1:2" x14ac:dyDescent="0.3">
      <c r="A27" s="64" t="s">
        <v>187</v>
      </c>
      <c r="B27" s="93" t="s">
        <v>308</v>
      </c>
    </row>
    <row r="28" spans="1:2" x14ac:dyDescent="0.3">
      <c r="A28" s="64" t="s">
        <v>188</v>
      </c>
      <c r="B28" s="93" t="s">
        <v>309</v>
      </c>
    </row>
    <row r="29" spans="1:2" x14ac:dyDescent="0.3">
      <c r="A29" s="66"/>
      <c r="B29" s="67" t="s">
        <v>202</v>
      </c>
    </row>
    <row r="32" spans="1:2" ht="28.8" customHeight="1" x14ac:dyDescent="0.3"/>
  </sheetData>
  <mergeCells count="3">
    <mergeCell ref="A13:B13"/>
    <mergeCell ref="A1:B1"/>
    <mergeCell ref="A17:B17"/>
  </mergeCells>
  <pageMargins left="0.7" right="0.7" top="0.75" bottom="0.75" header="0.3" footer="0.3"/>
  <pageSetup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ED50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50.109375" defaultRowHeight="13.8" x14ac:dyDescent="0.3"/>
  <cols>
    <col min="1" max="1" width="57.44140625" style="57" bestFit="1" customWidth="1"/>
    <col min="2" max="3" width="12.88671875" style="57" customWidth="1"/>
    <col min="4" max="4" width="19.44140625" style="57" customWidth="1"/>
    <col min="5" max="5" width="15" style="57" customWidth="1"/>
    <col min="6" max="6" width="31.5546875" style="57" customWidth="1"/>
    <col min="7" max="7" width="33" style="57" customWidth="1"/>
    <col min="8" max="8" width="48" style="57" customWidth="1"/>
    <col min="9" max="10" width="27.6640625" style="57" customWidth="1"/>
    <col min="11" max="11" width="7.6640625" style="57" customWidth="1"/>
    <col min="12" max="12" width="11.33203125" style="57" customWidth="1"/>
    <col min="13" max="13" width="19.109375" style="57" customWidth="1"/>
    <col min="14" max="14" width="28.44140625" style="57" customWidth="1"/>
    <col min="15" max="15" width="9.6640625" style="57" customWidth="1"/>
    <col min="16" max="16" width="16.109375" style="57" customWidth="1"/>
    <col min="17" max="17" width="14.44140625" style="57" customWidth="1"/>
    <col min="18" max="18" width="15.88671875" style="57" customWidth="1"/>
    <col min="19" max="19" width="11.88671875" style="57" customWidth="1"/>
    <col min="20" max="20" width="14.44140625" style="57" customWidth="1"/>
    <col min="21" max="21" width="38.5546875" style="57" customWidth="1"/>
    <col min="22" max="22" width="41.44140625" style="57" customWidth="1"/>
    <col min="23" max="23" width="27.109375" style="57" customWidth="1"/>
    <col min="24" max="24" width="20.88671875" style="57" customWidth="1"/>
    <col min="25" max="25" width="24.33203125" style="57" customWidth="1"/>
    <col min="26" max="26" width="26.44140625" style="57" customWidth="1"/>
    <col min="27" max="27" width="21.88671875" style="57" customWidth="1"/>
    <col min="28" max="31" width="22.88671875" style="57" customWidth="1"/>
    <col min="32" max="32" width="19.44140625" style="57" customWidth="1"/>
    <col min="33" max="33" width="44" style="57" customWidth="1"/>
    <col min="34" max="34" width="40.33203125" style="57" customWidth="1"/>
    <col min="35" max="36" width="12" style="57" customWidth="1"/>
    <col min="37" max="37" width="20.109375" style="57" customWidth="1"/>
    <col min="38" max="38" width="6.5546875" style="57" customWidth="1"/>
    <col min="39" max="39" width="12.5546875" style="57" customWidth="1"/>
    <col min="40" max="40" width="45.44140625" style="57" customWidth="1"/>
    <col min="41" max="41" width="32.6640625" style="57" customWidth="1"/>
    <col min="42" max="42" width="21.88671875" style="57" customWidth="1"/>
    <col min="43" max="43" width="19.88671875" style="57" customWidth="1"/>
    <col min="44" max="44" width="35.6640625" style="57" customWidth="1"/>
    <col min="45" max="45" width="19.44140625" style="57" customWidth="1"/>
    <col min="46" max="46" width="26.6640625" style="57" customWidth="1"/>
    <col min="47" max="47" width="43.44140625" style="57" customWidth="1"/>
    <col min="48" max="48" width="26.33203125" style="57" customWidth="1"/>
    <col min="49" max="49" width="16.5546875" style="57" customWidth="1"/>
    <col min="50" max="50" width="34" style="57" customWidth="1"/>
    <col min="51" max="51" width="35.44140625" style="57" customWidth="1"/>
    <col min="52" max="52" width="48.109375" style="57" customWidth="1"/>
    <col min="53" max="53" width="12.109375" style="57" customWidth="1"/>
    <col min="54" max="55" width="12" style="57" customWidth="1"/>
    <col min="56" max="56" width="21" style="57" customWidth="1"/>
    <col min="57" max="57" width="13.33203125" style="57" customWidth="1"/>
    <col min="58" max="58" width="31.6640625" style="57" customWidth="1"/>
    <col min="59" max="59" width="32.6640625" style="57" customWidth="1"/>
    <col min="60" max="60" width="21.88671875" style="57" customWidth="1"/>
    <col min="61" max="61" width="33.44140625" style="57" customWidth="1"/>
    <col min="62" max="62" width="49.33203125" style="57" customWidth="1"/>
    <col min="63" max="63" width="39.88671875" style="57" customWidth="1"/>
    <col min="64" max="64" width="43.33203125" style="57" customWidth="1"/>
    <col min="65" max="65" width="25.6640625" style="57" customWidth="1"/>
    <col min="66" max="66" width="24.88671875" style="57" customWidth="1"/>
    <col min="67" max="67" width="15.88671875" style="57" customWidth="1"/>
    <col min="68" max="68" width="24.88671875" style="57" customWidth="1"/>
    <col min="69" max="69" width="15" style="57" customWidth="1"/>
    <col min="70" max="70" width="7" style="57" customWidth="1"/>
    <col min="71" max="71" width="31" style="57" customWidth="1"/>
    <col min="72" max="72" width="23.6640625" style="57" customWidth="1"/>
    <col min="73" max="73" width="20" style="57" customWidth="1"/>
    <col min="74" max="74" width="27.88671875" style="57" bestFit="1" customWidth="1"/>
    <col min="75" max="75" width="27.88671875" style="57" customWidth="1"/>
    <col min="76" max="76" width="24.88671875" style="57" bestFit="1" customWidth="1"/>
    <col min="77" max="77" width="29.33203125" style="57" bestFit="1" customWidth="1"/>
    <col min="78" max="78" width="26.6640625" style="57" bestFit="1" customWidth="1"/>
    <col min="79" max="79" width="11" style="57" bestFit="1" customWidth="1"/>
    <col min="80" max="80" width="41.44140625" style="57" bestFit="1" customWidth="1"/>
    <col min="81" max="81" width="40.6640625" style="57" bestFit="1" customWidth="1"/>
    <col min="82" max="82" width="16.44140625" style="57" bestFit="1" customWidth="1"/>
    <col min="83" max="83" width="20" style="57" bestFit="1" customWidth="1"/>
    <col min="84" max="84" width="27" style="57" bestFit="1" customWidth="1"/>
    <col min="85" max="85" width="16" style="57" bestFit="1" customWidth="1"/>
    <col min="86" max="86" width="20" style="57" bestFit="1" customWidth="1"/>
    <col min="87" max="87" width="27" style="57" bestFit="1" customWidth="1"/>
    <col min="88" max="88" width="13.5546875" style="57" bestFit="1" customWidth="1"/>
    <col min="89" max="89" width="16.44140625" style="57" bestFit="1" customWidth="1"/>
    <col min="90" max="90" width="12" style="57" bestFit="1" customWidth="1"/>
    <col min="91" max="91" width="30" style="57" bestFit="1" customWidth="1"/>
    <col min="92" max="92" width="12" style="57" bestFit="1" customWidth="1"/>
    <col min="93" max="93" width="19.6640625" style="57" bestFit="1" customWidth="1"/>
    <col min="94" max="94" width="16.109375" style="57" bestFit="1" customWidth="1"/>
    <col min="95" max="95" width="25.33203125" style="57" bestFit="1" customWidth="1"/>
    <col min="96" max="96" width="49" style="57" bestFit="1" customWidth="1"/>
    <col min="97" max="98" width="7.109375" style="57" bestFit="1" customWidth="1"/>
    <col min="99" max="101" width="12" style="57" bestFit="1" customWidth="1"/>
    <col min="102" max="102" width="23.109375" style="57" bestFit="1" customWidth="1"/>
    <col min="103" max="103" width="29.109375" style="57" bestFit="1" customWidth="1"/>
    <col min="104" max="104" width="5.88671875" style="57" bestFit="1" customWidth="1"/>
    <col min="105" max="105" width="6.5546875" style="57" bestFit="1" customWidth="1"/>
    <col min="106" max="106" width="11" style="57" bestFit="1" customWidth="1"/>
    <col min="107" max="107" width="28.5546875" style="57" bestFit="1" customWidth="1"/>
    <col min="108" max="108" width="12.44140625" style="57" bestFit="1" customWidth="1"/>
    <col min="109" max="109" width="17.88671875" style="57" bestFit="1" customWidth="1"/>
    <col min="110" max="110" width="13.44140625" style="57" bestFit="1" customWidth="1"/>
    <col min="111" max="111" width="10.44140625" style="57" bestFit="1" customWidth="1"/>
    <col min="112" max="112" width="16.5546875" style="57" bestFit="1" customWidth="1"/>
    <col min="113" max="113" width="19.5546875" style="57" bestFit="1" customWidth="1"/>
    <col min="114" max="114" width="34.88671875" style="57" bestFit="1" customWidth="1"/>
    <col min="115" max="115" width="22.5546875" style="57" bestFit="1" customWidth="1"/>
    <col min="116" max="116" width="38.5546875" style="57" bestFit="1" customWidth="1"/>
    <col min="117" max="117" width="20.5546875" style="57" bestFit="1" customWidth="1"/>
    <col min="118" max="119" width="22.6640625" style="57" bestFit="1" customWidth="1"/>
    <col min="120" max="120" width="22.5546875" style="57" bestFit="1" customWidth="1"/>
    <col min="121" max="121" width="38.5546875" style="57" bestFit="1" customWidth="1"/>
    <col min="122" max="122" width="49" style="57" bestFit="1" customWidth="1"/>
    <col min="123" max="124" width="12" style="57" bestFit="1" customWidth="1"/>
    <col min="125" max="125" width="27.44140625" style="57" bestFit="1" customWidth="1"/>
    <col min="126" max="126" width="16.44140625" style="57" bestFit="1" customWidth="1"/>
    <col min="127" max="127" width="42.6640625" style="57" bestFit="1" customWidth="1"/>
    <col min="128" max="128" width="48.33203125" style="57" bestFit="1" customWidth="1"/>
    <col min="129" max="130" width="12" style="57" bestFit="1" customWidth="1"/>
    <col min="131" max="131" width="27.44140625" style="57" bestFit="1" customWidth="1"/>
    <col min="132" max="132" width="16.44140625" style="57" bestFit="1" customWidth="1"/>
    <col min="133" max="133" width="45.33203125" style="57" bestFit="1" customWidth="1"/>
    <col min="134" max="134" width="44.5546875" style="57" bestFit="1" customWidth="1"/>
    <col min="135" max="16384" width="50.109375" style="57"/>
  </cols>
  <sheetData>
    <row r="1" spans="1:134" ht="55.2" x14ac:dyDescent="0.3">
      <c r="A1" s="56" t="s">
        <v>142</v>
      </c>
      <c r="B1" s="44" t="s">
        <v>8</v>
      </c>
      <c r="C1" s="45" t="s">
        <v>180</v>
      </c>
      <c r="D1" s="45" t="s">
        <v>9</v>
      </c>
      <c r="E1" s="45" t="s">
        <v>11</v>
      </c>
      <c r="F1" s="46" t="s">
        <v>12</v>
      </c>
      <c r="G1" s="47" t="s">
        <v>13</v>
      </c>
      <c r="H1" s="45" t="s">
        <v>191</v>
      </c>
      <c r="I1" s="45" t="s">
        <v>192</v>
      </c>
      <c r="J1" s="45" t="s">
        <v>193</v>
      </c>
      <c r="K1" s="44" t="s">
        <v>14</v>
      </c>
      <c r="L1" s="45" t="s">
        <v>15</v>
      </c>
      <c r="M1" s="45" t="s">
        <v>17</v>
      </c>
      <c r="N1" s="45" t="s">
        <v>19</v>
      </c>
      <c r="O1" s="45" t="s">
        <v>21</v>
      </c>
      <c r="P1" s="45" t="s">
        <v>23</v>
      </c>
      <c r="Q1" s="45" t="s">
        <v>24</v>
      </c>
      <c r="R1" s="44" t="s">
        <v>26</v>
      </c>
      <c r="S1" s="45" t="s">
        <v>27</v>
      </c>
      <c r="T1" s="45" t="s">
        <v>28</v>
      </c>
      <c r="U1" s="45" t="s">
        <v>29</v>
      </c>
      <c r="V1" s="45" t="s">
        <v>30</v>
      </c>
      <c r="W1" s="44" t="s">
        <v>31</v>
      </c>
      <c r="X1" s="45" t="s">
        <v>32</v>
      </c>
      <c r="Y1" s="45" t="s">
        <v>33</v>
      </c>
      <c r="Z1" s="45" t="s">
        <v>34</v>
      </c>
      <c r="AA1" s="45" t="s">
        <v>36</v>
      </c>
      <c r="AB1" s="45" t="s">
        <v>37</v>
      </c>
      <c r="AC1" s="65" t="s">
        <v>203</v>
      </c>
      <c r="AD1" s="65" t="s">
        <v>204</v>
      </c>
      <c r="AE1" s="65" t="s">
        <v>205</v>
      </c>
      <c r="AF1" s="44" t="s">
        <v>39</v>
      </c>
      <c r="AG1" s="45" t="s">
        <v>297</v>
      </c>
      <c r="AH1" s="45" t="s">
        <v>298</v>
      </c>
      <c r="AI1" s="45" t="s">
        <v>41</v>
      </c>
      <c r="AJ1" s="45" t="s">
        <v>42</v>
      </c>
      <c r="AK1" s="44" t="s">
        <v>44</v>
      </c>
      <c r="AL1" s="45" t="s">
        <v>45</v>
      </c>
      <c r="AM1" s="45" t="s">
        <v>46</v>
      </c>
      <c r="AN1" s="48" t="s">
        <v>48</v>
      </c>
      <c r="AO1" s="49" t="s">
        <v>49</v>
      </c>
      <c r="AP1" s="45" t="s">
        <v>50</v>
      </c>
      <c r="AQ1" s="49" t="s">
        <v>51</v>
      </c>
      <c r="AR1" s="45" t="s">
        <v>52</v>
      </c>
      <c r="AS1" s="49" t="s">
        <v>53</v>
      </c>
      <c r="AT1" s="49" t="s">
        <v>54</v>
      </c>
      <c r="AU1" s="49" t="s">
        <v>55</v>
      </c>
      <c r="AV1" s="45" t="s">
        <v>56</v>
      </c>
      <c r="AW1" s="45" t="s">
        <v>57</v>
      </c>
      <c r="AX1" s="45" t="s">
        <v>59</v>
      </c>
      <c r="AY1" s="45" t="s">
        <v>60</v>
      </c>
      <c r="AZ1" s="49" t="s">
        <v>61</v>
      </c>
      <c r="BA1" s="44" t="s">
        <v>63</v>
      </c>
      <c r="BB1" s="47" t="s">
        <v>64</v>
      </c>
      <c r="BC1" s="47" t="s">
        <v>65</v>
      </c>
      <c r="BD1" s="47" t="s">
        <v>66</v>
      </c>
      <c r="BE1" s="47" t="s">
        <v>67</v>
      </c>
      <c r="BF1" s="45" t="s">
        <v>68</v>
      </c>
      <c r="BG1" s="45" t="s">
        <v>49</v>
      </c>
      <c r="BH1" s="45" t="s">
        <v>50</v>
      </c>
      <c r="BI1" s="45" t="s">
        <v>69</v>
      </c>
      <c r="BJ1" s="45" t="s">
        <v>70</v>
      </c>
      <c r="BK1" s="45" t="s">
        <v>72</v>
      </c>
      <c r="BL1" s="49" t="s">
        <v>73</v>
      </c>
      <c r="BM1" s="45" t="s">
        <v>213</v>
      </c>
      <c r="BN1" s="49" t="s">
        <v>74</v>
      </c>
      <c r="BO1" s="49" t="s">
        <v>75</v>
      </c>
      <c r="BP1" s="49" t="s">
        <v>76</v>
      </c>
      <c r="BQ1" s="49" t="s">
        <v>77</v>
      </c>
      <c r="BR1" s="48" t="s">
        <v>78</v>
      </c>
      <c r="BS1" s="47" t="s">
        <v>79</v>
      </c>
      <c r="BT1" s="47" t="s">
        <v>81</v>
      </c>
      <c r="BU1" s="47" t="s">
        <v>83</v>
      </c>
      <c r="BV1" s="73" t="s">
        <v>194</v>
      </c>
      <c r="BW1" s="77" t="s">
        <v>224</v>
      </c>
      <c r="BX1" s="73" t="s">
        <v>195</v>
      </c>
      <c r="BY1" s="50" t="s">
        <v>87</v>
      </c>
      <c r="BZ1" s="51" t="s">
        <v>296</v>
      </c>
      <c r="CA1" s="51" t="s">
        <v>88</v>
      </c>
      <c r="CB1" s="44" t="s">
        <v>251</v>
      </c>
      <c r="CC1" s="45" t="s">
        <v>90</v>
      </c>
      <c r="CD1" s="44" t="s">
        <v>92</v>
      </c>
      <c r="CE1" s="45" t="s">
        <v>93</v>
      </c>
      <c r="CF1" s="45" t="s">
        <v>94</v>
      </c>
      <c r="CG1" s="44" t="s">
        <v>95</v>
      </c>
      <c r="CH1" s="45" t="s">
        <v>93</v>
      </c>
      <c r="CI1" s="45" t="s">
        <v>94</v>
      </c>
      <c r="CJ1" s="44" t="s">
        <v>96</v>
      </c>
      <c r="CK1" s="45" t="s">
        <v>97</v>
      </c>
      <c r="CL1" s="45" t="s">
        <v>98</v>
      </c>
      <c r="CM1" s="45" t="s">
        <v>99</v>
      </c>
      <c r="CN1" s="45" t="s">
        <v>100</v>
      </c>
      <c r="CO1" s="50" t="s">
        <v>102</v>
      </c>
      <c r="CP1" s="45" t="s">
        <v>103</v>
      </c>
      <c r="CQ1" s="45" t="s">
        <v>253</v>
      </c>
      <c r="CR1" s="44" t="s">
        <v>105</v>
      </c>
      <c r="CS1" s="45" t="s">
        <v>106</v>
      </c>
      <c r="CT1" s="45" t="s">
        <v>107</v>
      </c>
      <c r="CU1" s="45" t="s">
        <v>108</v>
      </c>
      <c r="CV1" s="45" t="s">
        <v>109</v>
      </c>
      <c r="CW1" s="45" t="s">
        <v>111</v>
      </c>
      <c r="CX1" s="44" t="s">
        <v>114</v>
      </c>
      <c r="CY1" s="45" t="s">
        <v>256</v>
      </c>
      <c r="CZ1" s="45" t="s">
        <v>115</v>
      </c>
      <c r="DA1" s="45" t="s">
        <v>116</v>
      </c>
      <c r="DB1" s="44" t="s">
        <v>118</v>
      </c>
      <c r="DC1" s="45" t="s">
        <v>255</v>
      </c>
      <c r="DD1" s="45" t="s">
        <v>119</v>
      </c>
      <c r="DE1" s="44" t="s">
        <v>121</v>
      </c>
      <c r="DF1" s="45" t="s">
        <v>122</v>
      </c>
      <c r="DG1" s="45" t="s">
        <v>123</v>
      </c>
      <c r="DH1" s="45" t="s">
        <v>124</v>
      </c>
      <c r="DI1" s="45" t="s">
        <v>125</v>
      </c>
      <c r="DJ1" s="45" t="s">
        <v>126</v>
      </c>
      <c r="DK1" s="76" t="s">
        <v>127</v>
      </c>
      <c r="DL1" s="46" t="s">
        <v>128</v>
      </c>
      <c r="DM1" s="46" t="s">
        <v>129</v>
      </c>
      <c r="DN1" s="46" t="s">
        <v>130</v>
      </c>
      <c r="DO1" s="46" t="s">
        <v>131</v>
      </c>
      <c r="DP1" s="46" t="s">
        <v>132</v>
      </c>
      <c r="DQ1" s="76" t="s">
        <v>133</v>
      </c>
      <c r="DR1" s="46" t="s">
        <v>196</v>
      </c>
      <c r="DS1" s="46" t="s">
        <v>134</v>
      </c>
      <c r="DT1" s="46" t="s">
        <v>135</v>
      </c>
      <c r="DU1" s="46" t="s">
        <v>136</v>
      </c>
      <c r="DV1" s="46" t="s">
        <v>137</v>
      </c>
      <c r="DW1" s="52" t="s">
        <v>139</v>
      </c>
      <c r="DX1" s="49" t="s">
        <v>261</v>
      </c>
      <c r="DY1" s="49" t="s">
        <v>134</v>
      </c>
      <c r="DZ1" s="49" t="s">
        <v>135</v>
      </c>
      <c r="EA1" s="49" t="s">
        <v>263</v>
      </c>
      <c r="EB1" s="49" t="s">
        <v>137</v>
      </c>
      <c r="EC1" s="52" t="s">
        <v>140</v>
      </c>
      <c r="ED1" s="52" t="s">
        <v>141</v>
      </c>
    </row>
    <row r="2" spans="1:134" ht="24" customHeight="1" x14ac:dyDescent="0.3">
      <c r="A2" s="58" t="s">
        <v>310</v>
      </c>
      <c r="B2" s="53"/>
      <c r="C2" s="53"/>
      <c r="D2" s="53" t="s">
        <v>10</v>
      </c>
      <c r="E2" s="53" t="s">
        <v>10</v>
      </c>
      <c r="F2" s="54" t="s">
        <v>10</v>
      </c>
      <c r="G2" s="53" t="s">
        <v>10</v>
      </c>
      <c r="H2" s="53" t="s">
        <v>10</v>
      </c>
      <c r="I2" s="53" t="s">
        <v>10</v>
      </c>
      <c r="J2" s="53" t="s">
        <v>311</v>
      </c>
      <c r="K2" s="53"/>
      <c r="L2" s="53">
        <v>25</v>
      </c>
      <c r="M2" s="53">
        <v>11</v>
      </c>
      <c r="N2" s="53">
        <v>420</v>
      </c>
      <c r="O2" s="53">
        <v>50</v>
      </c>
      <c r="P2" s="53" t="s">
        <v>143</v>
      </c>
      <c r="Q2" s="53" t="s">
        <v>144</v>
      </c>
      <c r="R2" s="53"/>
      <c r="S2" s="53">
        <v>95</v>
      </c>
      <c r="T2" s="53">
        <v>30</v>
      </c>
      <c r="U2" s="53">
        <v>28</v>
      </c>
      <c r="V2" s="53">
        <v>8</v>
      </c>
      <c r="W2" s="53"/>
      <c r="X2" s="53" t="s">
        <v>10</v>
      </c>
      <c r="Y2" s="53" t="s">
        <v>145</v>
      </c>
      <c r="Z2" s="53" t="s">
        <v>146</v>
      </c>
      <c r="AA2" s="53" t="s">
        <v>10</v>
      </c>
      <c r="AB2" s="53" t="s">
        <v>10</v>
      </c>
      <c r="AC2">
        <v>21</v>
      </c>
      <c r="AD2">
        <v>8</v>
      </c>
      <c r="AE2" t="s">
        <v>206</v>
      </c>
      <c r="AF2" s="53"/>
      <c r="AG2" s="53" t="s">
        <v>147</v>
      </c>
      <c r="AH2" s="53" t="s">
        <v>148</v>
      </c>
      <c r="AI2" s="53" t="s">
        <v>10</v>
      </c>
      <c r="AJ2" s="53" t="s">
        <v>10</v>
      </c>
      <c r="AK2" s="53"/>
      <c r="AL2" s="53" t="s">
        <v>149</v>
      </c>
      <c r="AM2" s="53" t="s">
        <v>197</v>
      </c>
      <c r="AN2" s="53"/>
      <c r="AO2" s="53" t="s">
        <v>158</v>
      </c>
      <c r="AP2" s="53" t="s">
        <v>158</v>
      </c>
      <c r="AQ2" s="53" t="s">
        <v>150</v>
      </c>
      <c r="AR2" s="53" t="s">
        <v>151</v>
      </c>
      <c r="AS2" s="53" t="s">
        <v>152</v>
      </c>
      <c r="AT2" s="53" t="s">
        <v>153</v>
      </c>
      <c r="AU2" s="53" t="s">
        <v>154</v>
      </c>
      <c r="AV2" s="53" t="s">
        <v>155</v>
      </c>
      <c r="AW2" s="53" t="s">
        <v>156</v>
      </c>
      <c r="AX2" s="53" t="s">
        <v>158</v>
      </c>
      <c r="AY2" s="53" t="s">
        <v>210</v>
      </c>
      <c r="AZ2" s="53" t="s">
        <v>208</v>
      </c>
      <c r="BA2" s="53"/>
      <c r="BB2" s="53" t="s">
        <v>10</v>
      </c>
      <c r="BC2" s="53" t="s">
        <v>10</v>
      </c>
      <c r="BD2" s="53" t="s">
        <v>10</v>
      </c>
      <c r="BE2" s="53" t="s">
        <v>157</v>
      </c>
      <c r="BF2" s="53" t="s">
        <v>158</v>
      </c>
      <c r="BG2" s="53" t="s">
        <v>158</v>
      </c>
      <c r="BH2" s="53" t="s">
        <v>158</v>
      </c>
      <c r="BI2" s="53" t="s">
        <v>159</v>
      </c>
      <c r="BJ2" s="53" t="s">
        <v>201</v>
      </c>
      <c r="BK2" s="53" t="s">
        <v>158</v>
      </c>
      <c r="BL2" s="53" t="s">
        <v>158</v>
      </c>
      <c r="BM2" s="53">
        <v>70</v>
      </c>
      <c r="BN2" s="53">
        <v>1</v>
      </c>
      <c r="BO2" s="53" t="s">
        <v>222</v>
      </c>
      <c r="BP2" s="53">
        <v>100</v>
      </c>
      <c r="BQ2" s="53" t="s">
        <v>171</v>
      </c>
      <c r="BR2" s="53"/>
      <c r="BS2" s="53" t="s">
        <v>80</v>
      </c>
      <c r="BT2" s="107">
        <v>80500</v>
      </c>
      <c r="BU2" s="107">
        <v>17500</v>
      </c>
      <c r="BV2" s="72" t="s">
        <v>227</v>
      </c>
      <c r="BW2" s="72" t="s">
        <v>225</v>
      </c>
      <c r="BX2" s="72" t="s">
        <v>200</v>
      </c>
      <c r="BY2" s="53"/>
      <c r="BZ2" s="55" t="s">
        <v>244</v>
      </c>
      <c r="CA2" s="53" t="s">
        <v>89</v>
      </c>
      <c r="CB2" s="53"/>
      <c r="CC2" s="53" t="s">
        <v>199</v>
      </c>
      <c r="CD2" s="53"/>
      <c r="CE2" s="53" t="s">
        <v>10</v>
      </c>
      <c r="CF2" s="53" t="s">
        <v>10</v>
      </c>
      <c r="CG2" s="53"/>
      <c r="CH2" s="53" t="s">
        <v>10</v>
      </c>
      <c r="CI2" s="53" t="s">
        <v>10</v>
      </c>
      <c r="CJ2" s="53"/>
      <c r="CK2" s="53" t="s">
        <v>252</v>
      </c>
      <c r="CL2" s="53" t="s">
        <v>10</v>
      </c>
      <c r="CM2" s="53" t="s">
        <v>10</v>
      </c>
      <c r="CN2" s="53" t="s">
        <v>10</v>
      </c>
      <c r="CO2" s="53"/>
      <c r="CP2" s="53" t="s">
        <v>161</v>
      </c>
      <c r="CQ2" s="53" t="s">
        <v>89</v>
      </c>
      <c r="CR2" s="53"/>
      <c r="CS2" s="53" t="s">
        <v>162</v>
      </c>
      <c r="CT2" s="53" t="s">
        <v>163</v>
      </c>
      <c r="CU2" s="53" t="s">
        <v>10</v>
      </c>
      <c r="CV2" s="53" t="s">
        <v>10</v>
      </c>
      <c r="CW2" s="53" t="s">
        <v>10</v>
      </c>
      <c r="CX2" s="53"/>
      <c r="CY2" s="53" t="s">
        <v>158</v>
      </c>
      <c r="CZ2" s="53">
        <v>1000</v>
      </c>
      <c r="DA2" s="53">
        <v>1500</v>
      </c>
      <c r="DB2" s="53"/>
      <c r="DC2" s="53" t="s">
        <v>158</v>
      </c>
      <c r="DD2" s="53" t="s">
        <v>164</v>
      </c>
      <c r="DE2" s="53"/>
      <c r="DF2" s="53" t="s">
        <v>257</v>
      </c>
      <c r="DG2" s="53" t="s">
        <v>165</v>
      </c>
      <c r="DH2" s="53" t="s">
        <v>257</v>
      </c>
      <c r="DI2" s="53" t="s">
        <v>166</v>
      </c>
      <c r="DJ2" s="53" t="s">
        <v>158</v>
      </c>
      <c r="DK2" s="54"/>
      <c r="DL2" s="54" t="s">
        <v>158</v>
      </c>
      <c r="DM2" s="54">
        <v>14</v>
      </c>
      <c r="DN2" s="54" t="s">
        <v>167</v>
      </c>
      <c r="DO2" s="54" t="s">
        <v>168</v>
      </c>
      <c r="DP2" s="54" t="s">
        <v>169</v>
      </c>
      <c r="DQ2" s="54"/>
      <c r="DR2" s="54"/>
      <c r="DS2" s="54" t="s">
        <v>10</v>
      </c>
      <c r="DT2" s="54" t="s">
        <v>10</v>
      </c>
      <c r="DU2" s="54" t="s">
        <v>10</v>
      </c>
      <c r="DV2" s="54" t="s">
        <v>138</v>
      </c>
      <c r="DW2" s="53"/>
      <c r="DX2" s="53" t="s">
        <v>262</v>
      </c>
      <c r="DY2" s="53" t="s">
        <v>10</v>
      </c>
      <c r="DZ2" s="53" t="s">
        <v>10</v>
      </c>
      <c r="EA2" s="53" t="s">
        <v>10</v>
      </c>
      <c r="EB2" s="53" t="s">
        <v>322</v>
      </c>
      <c r="EC2" s="53" t="s">
        <v>265</v>
      </c>
      <c r="ED2" s="53" t="s">
        <v>265</v>
      </c>
    </row>
    <row r="3" spans="1:134" ht="24" customHeight="1" x14ac:dyDescent="0.3">
      <c r="A3" s="58" t="s">
        <v>312</v>
      </c>
      <c r="B3" s="53"/>
      <c r="C3" s="53"/>
      <c r="D3" s="53" t="s">
        <v>10</v>
      </c>
      <c r="E3" s="53" t="s">
        <v>10</v>
      </c>
      <c r="F3" s="54" t="s">
        <v>10</v>
      </c>
      <c r="G3" s="53" t="s">
        <v>10</v>
      </c>
      <c r="H3" s="53" t="s">
        <v>10</v>
      </c>
      <c r="I3" s="53" t="s">
        <v>10</v>
      </c>
      <c r="J3" s="53" t="s">
        <v>311</v>
      </c>
      <c r="K3" s="53"/>
      <c r="L3" s="53">
        <v>25</v>
      </c>
      <c r="M3" s="53">
        <v>22</v>
      </c>
      <c r="N3" s="53">
        <v>420</v>
      </c>
      <c r="O3" s="53">
        <v>50</v>
      </c>
      <c r="P3" s="53" t="s">
        <v>143</v>
      </c>
      <c r="Q3" s="53" t="s">
        <v>144</v>
      </c>
      <c r="R3" s="53"/>
      <c r="S3" s="53">
        <v>150</v>
      </c>
      <c r="T3" s="53">
        <v>30</v>
      </c>
      <c r="U3" s="53">
        <v>50</v>
      </c>
      <c r="V3" s="53">
        <v>8</v>
      </c>
      <c r="W3" s="53"/>
      <c r="X3" s="53" t="s">
        <v>10</v>
      </c>
      <c r="Y3" s="53" t="s">
        <v>145</v>
      </c>
      <c r="Z3" s="53" t="s">
        <v>146</v>
      </c>
      <c r="AA3" s="53" t="s">
        <v>10</v>
      </c>
      <c r="AB3" s="53" t="s">
        <v>10</v>
      </c>
      <c r="AC3">
        <v>21</v>
      </c>
      <c r="AD3">
        <v>8</v>
      </c>
      <c r="AE3" t="s">
        <v>206</v>
      </c>
      <c r="AF3" s="53"/>
      <c r="AG3" s="53" t="s">
        <v>147</v>
      </c>
      <c r="AH3" s="53" t="s">
        <v>148</v>
      </c>
      <c r="AI3" s="53" t="s">
        <v>10</v>
      </c>
      <c r="AJ3" s="53" t="s">
        <v>10</v>
      </c>
      <c r="AK3" s="53"/>
      <c r="AL3" s="53" t="s">
        <v>149</v>
      </c>
      <c r="AM3" s="53" t="s">
        <v>197</v>
      </c>
      <c r="AN3" s="53"/>
      <c r="AO3" s="53" t="s">
        <v>158</v>
      </c>
      <c r="AP3" s="53" t="s">
        <v>158</v>
      </c>
      <c r="AQ3" s="53" t="s">
        <v>170</v>
      </c>
      <c r="AR3" s="53" t="s">
        <v>151</v>
      </c>
      <c r="AS3" s="53" t="s">
        <v>152</v>
      </c>
      <c r="AT3" s="53" t="s">
        <v>153</v>
      </c>
      <c r="AU3" s="53" t="s">
        <v>154</v>
      </c>
      <c r="AV3" s="53" t="s">
        <v>155</v>
      </c>
      <c r="AW3" s="53" t="s">
        <v>156</v>
      </c>
      <c r="AX3" s="53" t="s">
        <v>158</v>
      </c>
      <c r="AY3" s="53" t="s">
        <v>210</v>
      </c>
      <c r="AZ3" s="53" t="s">
        <v>208</v>
      </c>
      <c r="BA3" s="53"/>
      <c r="BB3" s="53" t="s">
        <v>10</v>
      </c>
      <c r="BC3" s="53" t="s">
        <v>10</v>
      </c>
      <c r="BD3" s="53" t="s">
        <v>10</v>
      </c>
      <c r="BE3" s="53" t="s">
        <v>157</v>
      </c>
      <c r="BF3" s="53" t="s">
        <v>158</v>
      </c>
      <c r="BG3" s="53" t="s">
        <v>158</v>
      </c>
      <c r="BH3" s="53" t="s">
        <v>158</v>
      </c>
      <c r="BI3" s="53" t="s">
        <v>159</v>
      </c>
      <c r="BJ3" s="53" t="s">
        <v>201</v>
      </c>
      <c r="BK3" s="53" t="s">
        <v>158</v>
      </c>
      <c r="BL3" s="53" t="s">
        <v>158</v>
      </c>
      <c r="BM3" s="53">
        <v>70</v>
      </c>
      <c r="BN3" s="53">
        <v>1</v>
      </c>
      <c r="BO3" s="53" t="s">
        <v>222</v>
      </c>
      <c r="BP3" s="53">
        <v>100</v>
      </c>
      <c r="BQ3" s="53" t="s">
        <v>171</v>
      </c>
      <c r="BR3" s="53"/>
      <c r="BS3" s="53" t="s">
        <v>80</v>
      </c>
      <c r="BT3" s="107">
        <v>80500</v>
      </c>
      <c r="BU3" s="107">
        <v>17500</v>
      </c>
      <c r="BV3" s="72" t="s">
        <v>227</v>
      </c>
      <c r="BW3" s="72" t="s">
        <v>225</v>
      </c>
      <c r="BX3" s="72" t="s">
        <v>200</v>
      </c>
      <c r="BY3" s="53"/>
      <c r="BZ3" s="55" t="s">
        <v>244</v>
      </c>
      <c r="CA3" s="53" t="s">
        <v>89</v>
      </c>
      <c r="CB3" s="53"/>
      <c r="CC3" s="53" t="s">
        <v>199</v>
      </c>
      <c r="CD3" s="53"/>
      <c r="CE3" s="53" t="s">
        <v>10</v>
      </c>
      <c r="CF3" s="53" t="s">
        <v>10</v>
      </c>
      <c r="CG3" s="53"/>
      <c r="CH3" s="53" t="s">
        <v>10</v>
      </c>
      <c r="CI3" s="53" t="s">
        <v>10</v>
      </c>
      <c r="CJ3" s="53"/>
      <c r="CK3" s="53" t="s">
        <v>252</v>
      </c>
      <c r="CL3" s="53" t="s">
        <v>10</v>
      </c>
      <c r="CM3" s="53" t="s">
        <v>10</v>
      </c>
      <c r="CN3" s="53" t="s">
        <v>10</v>
      </c>
      <c r="CO3" s="53"/>
      <c r="CP3" s="53" t="s">
        <v>161</v>
      </c>
      <c r="CQ3" s="53" t="s">
        <v>89</v>
      </c>
      <c r="CR3" s="53"/>
      <c r="CS3" s="53" t="s">
        <v>162</v>
      </c>
      <c r="CT3" s="53" t="s">
        <v>163</v>
      </c>
      <c r="CU3" s="53" t="s">
        <v>10</v>
      </c>
      <c r="CV3" s="53" t="s">
        <v>10</v>
      </c>
      <c r="CW3" s="53" t="s">
        <v>10</v>
      </c>
      <c r="CX3" s="53"/>
      <c r="CY3" s="53" t="s">
        <v>158</v>
      </c>
      <c r="CZ3" s="53">
        <v>1000</v>
      </c>
      <c r="DA3" s="53">
        <v>1500</v>
      </c>
      <c r="DB3" s="53"/>
      <c r="DC3" s="53" t="s">
        <v>158</v>
      </c>
      <c r="DD3" s="53" t="s">
        <v>164</v>
      </c>
      <c r="DE3" s="53"/>
      <c r="DF3" s="53" t="s">
        <v>257</v>
      </c>
      <c r="DG3" s="53" t="s">
        <v>165</v>
      </c>
      <c r="DH3" s="53" t="s">
        <v>257</v>
      </c>
      <c r="DI3" s="53" t="s">
        <v>166</v>
      </c>
      <c r="DJ3" s="53" t="s">
        <v>158</v>
      </c>
      <c r="DK3" s="54"/>
      <c r="DL3" s="54" t="s">
        <v>158</v>
      </c>
      <c r="DM3" s="54">
        <v>14</v>
      </c>
      <c r="DN3" s="54" t="s">
        <v>167</v>
      </c>
      <c r="DO3" s="54" t="s">
        <v>168</v>
      </c>
      <c r="DP3" s="54" t="s">
        <v>169</v>
      </c>
      <c r="DQ3" s="54"/>
      <c r="DR3" s="54"/>
      <c r="DS3" s="54" t="s">
        <v>10</v>
      </c>
      <c r="DT3" s="54" t="s">
        <v>10</v>
      </c>
      <c r="DU3" s="54" t="s">
        <v>10</v>
      </c>
      <c r="DV3" s="54" t="s">
        <v>138</v>
      </c>
      <c r="DW3" s="53"/>
      <c r="DX3" s="53" t="s">
        <v>262</v>
      </c>
      <c r="DY3" s="53" t="s">
        <v>10</v>
      </c>
      <c r="DZ3" s="53" t="s">
        <v>10</v>
      </c>
      <c r="EA3" s="53" t="s">
        <v>10</v>
      </c>
      <c r="EB3" s="53" t="s">
        <v>322</v>
      </c>
      <c r="EC3" s="53" t="s">
        <v>265</v>
      </c>
      <c r="ED3" s="53" t="s">
        <v>265</v>
      </c>
    </row>
    <row r="4" spans="1:134" ht="24" customHeight="1" x14ac:dyDescent="0.3">
      <c r="A4" s="58" t="s">
        <v>313</v>
      </c>
      <c r="B4" s="53"/>
      <c r="C4" s="53"/>
      <c r="D4" s="53" t="s">
        <v>10</v>
      </c>
      <c r="E4" s="53" t="s">
        <v>10</v>
      </c>
      <c r="F4" s="54" t="s">
        <v>10</v>
      </c>
      <c r="G4" s="53" t="s">
        <v>10</v>
      </c>
      <c r="H4" s="53" t="s">
        <v>10</v>
      </c>
      <c r="I4" s="53" t="s">
        <v>10</v>
      </c>
      <c r="J4" s="53" t="s">
        <v>311</v>
      </c>
      <c r="K4" s="53"/>
      <c r="L4" s="53">
        <v>25</v>
      </c>
      <c r="M4" s="53">
        <v>33</v>
      </c>
      <c r="N4" s="53">
        <v>420</v>
      </c>
      <c r="O4" s="53">
        <v>50</v>
      </c>
      <c r="P4" s="53" t="s">
        <v>143</v>
      </c>
      <c r="Q4" s="53" t="s">
        <v>144</v>
      </c>
      <c r="R4" s="53"/>
      <c r="S4" s="53">
        <v>200</v>
      </c>
      <c r="T4" s="53">
        <v>30</v>
      </c>
      <c r="U4" s="53">
        <v>70</v>
      </c>
      <c r="V4" s="53">
        <v>8</v>
      </c>
      <c r="W4" s="53"/>
      <c r="X4" s="53" t="s">
        <v>10</v>
      </c>
      <c r="Y4" s="53" t="s">
        <v>145</v>
      </c>
      <c r="Z4" s="53" t="s">
        <v>146</v>
      </c>
      <c r="AA4" s="53" t="s">
        <v>10</v>
      </c>
      <c r="AB4" s="53" t="s">
        <v>10</v>
      </c>
      <c r="AC4">
        <v>21</v>
      </c>
      <c r="AD4">
        <v>8</v>
      </c>
      <c r="AE4" t="s">
        <v>206</v>
      </c>
      <c r="AF4" s="53"/>
      <c r="AG4" s="53" t="s">
        <v>147</v>
      </c>
      <c r="AH4" s="53" t="s">
        <v>148</v>
      </c>
      <c r="AI4" s="53" t="s">
        <v>10</v>
      </c>
      <c r="AJ4" s="53" t="s">
        <v>10</v>
      </c>
      <c r="AK4" s="53"/>
      <c r="AL4" s="53" t="s">
        <v>149</v>
      </c>
      <c r="AM4" s="53" t="s">
        <v>197</v>
      </c>
      <c r="AN4" s="53"/>
      <c r="AO4" s="53" t="s">
        <v>158</v>
      </c>
      <c r="AP4" s="53" t="s">
        <v>158</v>
      </c>
      <c r="AQ4" s="53" t="s">
        <v>170</v>
      </c>
      <c r="AR4" s="53" t="s">
        <v>151</v>
      </c>
      <c r="AS4" s="53" t="s">
        <v>152</v>
      </c>
      <c r="AT4" s="53" t="s">
        <v>153</v>
      </c>
      <c r="AU4" s="53" t="s">
        <v>154</v>
      </c>
      <c r="AV4" s="53" t="s">
        <v>155</v>
      </c>
      <c r="AW4" s="53" t="s">
        <v>156</v>
      </c>
      <c r="AX4" s="53" t="s">
        <v>158</v>
      </c>
      <c r="AY4" s="53" t="s">
        <v>210</v>
      </c>
      <c r="AZ4" s="53" t="s">
        <v>208</v>
      </c>
      <c r="BA4" s="53"/>
      <c r="BB4" s="53" t="s">
        <v>10</v>
      </c>
      <c r="BC4" s="53" t="s">
        <v>10</v>
      </c>
      <c r="BD4" s="53" t="s">
        <v>10</v>
      </c>
      <c r="BE4" s="53" t="s">
        <v>157</v>
      </c>
      <c r="BF4" s="53" t="s">
        <v>158</v>
      </c>
      <c r="BG4" s="53" t="s">
        <v>158</v>
      </c>
      <c r="BH4" s="53" t="s">
        <v>158</v>
      </c>
      <c r="BI4" s="53" t="s">
        <v>159</v>
      </c>
      <c r="BJ4" s="53" t="s">
        <v>201</v>
      </c>
      <c r="BK4" s="53" t="s">
        <v>158</v>
      </c>
      <c r="BL4" s="53" t="s">
        <v>158</v>
      </c>
      <c r="BM4" s="53">
        <v>70</v>
      </c>
      <c r="BN4" s="53">
        <v>1</v>
      </c>
      <c r="BO4" s="53" t="s">
        <v>222</v>
      </c>
      <c r="BP4" s="53">
        <v>100</v>
      </c>
      <c r="BQ4" s="53" t="s">
        <v>171</v>
      </c>
      <c r="BR4" s="53"/>
      <c r="BS4" s="53" t="s">
        <v>80</v>
      </c>
      <c r="BT4" s="107">
        <v>80500</v>
      </c>
      <c r="BU4" s="107">
        <v>17500</v>
      </c>
      <c r="BV4" s="72" t="s">
        <v>227</v>
      </c>
      <c r="BW4" s="72" t="s">
        <v>225</v>
      </c>
      <c r="BX4" s="72" t="s">
        <v>200</v>
      </c>
      <c r="BY4" s="53"/>
      <c r="BZ4" s="55" t="s">
        <v>244</v>
      </c>
      <c r="CA4" s="53" t="s">
        <v>89</v>
      </c>
      <c r="CB4" s="53"/>
      <c r="CC4" s="53" t="s">
        <v>199</v>
      </c>
      <c r="CD4" s="53"/>
      <c r="CE4" s="53" t="s">
        <v>10</v>
      </c>
      <c r="CF4" s="53" t="s">
        <v>10</v>
      </c>
      <c r="CG4" s="53"/>
      <c r="CH4" s="53" t="s">
        <v>10</v>
      </c>
      <c r="CI4" s="53" t="s">
        <v>10</v>
      </c>
      <c r="CJ4" s="53"/>
      <c r="CK4" s="53" t="s">
        <v>252</v>
      </c>
      <c r="CL4" s="53" t="s">
        <v>10</v>
      </c>
      <c r="CM4" s="53" t="s">
        <v>10</v>
      </c>
      <c r="CN4" s="53" t="s">
        <v>10</v>
      </c>
      <c r="CO4" s="53"/>
      <c r="CP4" s="53" t="s">
        <v>161</v>
      </c>
      <c r="CQ4" s="53" t="s">
        <v>89</v>
      </c>
      <c r="CR4" s="53"/>
      <c r="CS4" s="53" t="s">
        <v>162</v>
      </c>
      <c r="CT4" s="53" t="s">
        <v>163</v>
      </c>
      <c r="CU4" s="53" t="s">
        <v>10</v>
      </c>
      <c r="CV4" s="53" t="s">
        <v>10</v>
      </c>
      <c r="CW4" s="53" t="s">
        <v>10</v>
      </c>
      <c r="CX4" s="53"/>
      <c r="CY4" s="53" t="s">
        <v>158</v>
      </c>
      <c r="CZ4" s="53">
        <v>1000</v>
      </c>
      <c r="DA4" s="53">
        <v>1500</v>
      </c>
      <c r="DB4" s="53"/>
      <c r="DC4" s="53" t="s">
        <v>158</v>
      </c>
      <c r="DD4" s="53" t="s">
        <v>164</v>
      </c>
      <c r="DE4" s="53"/>
      <c r="DF4" s="53" t="s">
        <v>257</v>
      </c>
      <c r="DG4" s="53" t="s">
        <v>165</v>
      </c>
      <c r="DH4" s="53" t="s">
        <v>257</v>
      </c>
      <c r="DI4" s="53" t="s">
        <v>166</v>
      </c>
      <c r="DJ4" s="53" t="s">
        <v>158</v>
      </c>
      <c r="DK4" s="54"/>
      <c r="DL4" s="54" t="s">
        <v>158</v>
      </c>
      <c r="DM4" s="54">
        <v>14</v>
      </c>
      <c r="DN4" s="54" t="s">
        <v>167</v>
      </c>
      <c r="DO4" s="54" t="s">
        <v>168</v>
      </c>
      <c r="DP4" s="54" t="s">
        <v>169</v>
      </c>
      <c r="DQ4" s="54"/>
      <c r="DR4" s="54"/>
      <c r="DS4" s="54" t="s">
        <v>10</v>
      </c>
      <c r="DT4" s="54" t="s">
        <v>10</v>
      </c>
      <c r="DU4" s="54" t="s">
        <v>10</v>
      </c>
      <c r="DV4" s="54" t="s">
        <v>138</v>
      </c>
      <c r="DW4" s="53"/>
      <c r="DX4" s="53" t="s">
        <v>262</v>
      </c>
      <c r="DY4" s="53" t="s">
        <v>10</v>
      </c>
      <c r="DZ4" s="53" t="s">
        <v>10</v>
      </c>
      <c r="EA4" s="53" t="s">
        <v>10</v>
      </c>
      <c r="EB4" s="53" t="s">
        <v>322</v>
      </c>
      <c r="EC4" s="53" t="s">
        <v>265</v>
      </c>
      <c r="ED4" s="53" t="s">
        <v>265</v>
      </c>
    </row>
    <row r="5" spans="1:134" ht="24" customHeight="1" x14ac:dyDescent="0.3">
      <c r="A5" s="58" t="s">
        <v>314</v>
      </c>
      <c r="B5" s="53"/>
      <c r="C5" s="53"/>
      <c r="D5" s="53" t="s">
        <v>10</v>
      </c>
      <c r="E5" s="53" t="s">
        <v>10</v>
      </c>
      <c r="F5" s="54" t="s">
        <v>10</v>
      </c>
      <c r="G5" s="53" t="s">
        <v>10</v>
      </c>
      <c r="H5" s="53" t="s">
        <v>10</v>
      </c>
      <c r="I5" s="53" t="s">
        <v>10</v>
      </c>
      <c r="J5" s="53" t="s">
        <v>311</v>
      </c>
      <c r="K5" s="53"/>
      <c r="L5" s="53">
        <v>50</v>
      </c>
      <c r="M5" s="53">
        <v>11</v>
      </c>
      <c r="N5" s="53">
        <v>420</v>
      </c>
      <c r="O5" s="53">
        <v>50</v>
      </c>
      <c r="P5" s="53" t="s">
        <v>143</v>
      </c>
      <c r="Q5" s="53" t="s">
        <v>144</v>
      </c>
      <c r="R5" s="53"/>
      <c r="S5" s="53">
        <v>95</v>
      </c>
      <c r="T5" s="53">
        <v>30</v>
      </c>
      <c r="U5" s="53">
        <v>28</v>
      </c>
      <c r="V5" s="53">
        <v>8</v>
      </c>
      <c r="W5" s="53"/>
      <c r="X5" s="53" t="s">
        <v>10</v>
      </c>
      <c r="Y5" s="53" t="s">
        <v>145</v>
      </c>
      <c r="Z5" s="53" t="s">
        <v>146</v>
      </c>
      <c r="AA5" s="53" t="s">
        <v>10</v>
      </c>
      <c r="AB5" s="53" t="s">
        <v>10</v>
      </c>
      <c r="AC5">
        <v>21</v>
      </c>
      <c r="AD5">
        <v>8</v>
      </c>
      <c r="AE5" t="s">
        <v>206</v>
      </c>
      <c r="AF5" s="53"/>
      <c r="AG5" s="53" t="s">
        <v>147</v>
      </c>
      <c r="AH5" s="53" t="s">
        <v>148</v>
      </c>
      <c r="AI5" s="53" t="s">
        <v>10</v>
      </c>
      <c r="AJ5" s="53" t="s">
        <v>10</v>
      </c>
      <c r="AK5" s="53"/>
      <c r="AL5" s="53" t="s">
        <v>149</v>
      </c>
      <c r="AM5" s="53" t="s">
        <v>197</v>
      </c>
      <c r="AN5" s="53"/>
      <c r="AO5" s="53" t="s">
        <v>158</v>
      </c>
      <c r="AP5" s="53" t="s">
        <v>158</v>
      </c>
      <c r="AQ5" s="53" t="s">
        <v>172</v>
      </c>
      <c r="AR5" s="53">
        <v>100</v>
      </c>
      <c r="AS5" s="53">
        <v>110</v>
      </c>
      <c r="AT5" s="53" t="s">
        <v>215</v>
      </c>
      <c r="AU5" s="53">
        <v>90</v>
      </c>
      <c r="AV5" s="53" t="s">
        <v>216</v>
      </c>
      <c r="AW5" s="53" t="s">
        <v>217</v>
      </c>
      <c r="AX5" s="53" t="s">
        <v>158</v>
      </c>
      <c r="AY5" s="53" t="s">
        <v>218</v>
      </c>
      <c r="AZ5" s="53" t="s">
        <v>208</v>
      </c>
      <c r="BA5" s="53"/>
      <c r="BB5" s="53" t="s">
        <v>10</v>
      </c>
      <c r="BC5" s="53" t="s">
        <v>10</v>
      </c>
      <c r="BD5" s="53" t="s">
        <v>10</v>
      </c>
      <c r="BE5" s="53" t="s">
        <v>157</v>
      </c>
      <c r="BF5" s="53" t="s">
        <v>158</v>
      </c>
      <c r="BG5" s="53" t="s">
        <v>158</v>
      </c>
      <c r="BH5" s="53" t="s">
        <v>158</v>
      </c>
      <c r="BI5" s="53">
        <v>60</v>
      </c>
      <c r="BJ5" s="53" t="s">
        <v>201</v>
      </c>
      <c r="BK5" s="53" t="s">
        <v>158</v>
      </c>
      <c r="BL5" s="53" t="s">
        <v>158</v>
      </c>
      <c r="BM5" s="53">
        <v>70</v>
      </c>
      <c r="BN5" s="53">
        <v>1</v>
      </c>
      <c r="BO5" s="53" t="s">
        <v>222</v>
      </c>
      <c r="BP5" s="53">
        <v>100</v>
      </c>
      <c r="BQ5" s="53" t="s">
        <v>171</v>
      </c>
      <c r="BR5" s="53"/>
      <c r="BS5" s="53" t="s">
        <v>80</v>
      </c>
      <c r="BT5" s="107">
        <v>80500</v>
      </c>
      <c r="BU5" s="107">
        <v>17500</v>
      </c>
      <c r="BV5" s="72" t="s">
        <v>198</v>
      </c>
      <c r="BW5" s="72" t="s">
        <v>226</v>
      </c>
      <c r="BX5" s="72" t="s">
        <v>238</v>
      </c>
      <c r="BY5" s="53"/>
      <c r="BZ5" s="55" t="s">
        <v>244</v>
      </c>
      <c r="CA5" s="53" t="s">
        <v>89</v>
      </c>
      <c r="CB5" s="53"/>
      <c r="CC5" s="53" t="s">
        <v>199</v>
      </c>
      <c r="CD5" s="53"/>
      <c r="CE5" s="53" t="s">
        <v>10</v>
      </c>
      <c r="CF5" s="53" t="s">
        <v>10</v>
      </c>
      <c r="CG5" s="53"/>
      <c r="CH5" s="53" t="s">
        <v>10</v>
      </c>
      <c r="CI5" s="53" t="s">
        <v>10</v>
      </c>
      <c r="CJ5" s="53"/>
      <c r="CK5" s="53" t="s">
        <v>252</v>
      </c>
      <c r="CL5" s="53" t="s">
        <v>10</v>
      </c>
      <c r="CM5" s="53" t="s">
        <v>10</v>
      </c>
      <c r="CN5" s="53" t="s">
        <v>10</v>
      </c>
      <c r="CO5" s="53"/>
      <c r="CP5" s="53" t="s">
        <v>161</v>
      </c>
      <c r="CQ5" s="53" t="s">
        <v>89</v>
      </c>
      <c r="CR5" s="53"/>
      <c r="CS5" s="53" t="s">
        <v>162</v>
      </c>
      <c r="CT5" s="53" t="s">
        <v>163</v>
      </c>
      <c r="CU5" s="53" t="s">
        <v>10</v>
      </c>
      <c r="CV5" s="53" t="s">
        <v>10</v>
      </c>
      <c r="CW5" s="53" t="s">
        <v>10</v>
      </c>
      <c r="CX5" s="53"/>
      <c r="CY5" s="53" t="s">
        <v>158</v>
      </c>
      <c r="CZ5" s="53">
        <v>1000</v>
      </c>
      <c r="DA5" s="53">
        <v>1500</v>
      </c>
      <c r="DB5" s="53"/>
      <c r="DC5" s="53" t="s">
        <v>158</v>
      </c>
      <c r="DD5" s="53" t="s">
        <v>164</v>
      </c>
      <c r="DE5" s="53"/>
      <c r="DF5" s="53" t="s">
        <v>257</v>
      </c>
      <c r="DG5" s="53" t="s">
        <v>165</v>
      </c>
      <c r="DH5" s="53" t="s">
        <v>257</v>
      </c>
      <c r="DI5" s="53" t="s">
        <v>166</v>
      </c>
      <c r="DJ5" s="53" t="s">
        <v>158</v>
      </c>
      <c r="DK5" s="54"/>
      <c r="DL5" s="54" t="s">
        <v>158</v>
      </c>
      <c r="DM5" s="54">
        <v>14</v>
      </c>
      <c r="DN5" s="54" t="s">
        <v>167</v>
      </c>
      <c r="DO5" s="54" t="s">
        <v>168</v>
      </c>
      <c r="DP5" s="54" t="s">
        <v>169</v>
      </c>
      <c r="DQ5" s="54"/>
      <c r="DR5" s="54"/>
      <c r="DS5" s="54" t="s">
        <v>10</v>
      </c>
      <c r="DT5" s="54" t="s">
        <v>10</v>
      </c>
      <c r="DU5" s="54" t="s">
        <v>10</v>
      </c>
      <c r="DV5" s="54" t="s">
        <v>138</v>
      </c>
      <c r="DW5" s="53"/>
      <c r="DX5" s="53" t="s">
        <v>262</v>
      </c>
      <c r="DY5" s="53" t="s">
        <v>10</v>
      </c>
      <c r="DZ5" s="53" t="s">
        <v>10</v>
      </c>
      <c r="EA5" s="53" t="s">
        <v>10</v>
      </c>
      <c r="EB5" s="53" t="s">
        <v>322</v>
      </c>
      <c r="EC5" s="53" t="s">
        <v>265</v>
      </c>
      <c r="ED5" s="53" t="s">
        <v>265</v>
      </c>
    </row>
    <row r="6" spans="1:134" ht="24" customHeight="1" x14ac:dyDescent="0.3">
      <c r="A6" s="58" t="s">
        <v>315</v>
      </c>
      <c r="B6" s="53"/>
      <c r="C6" s="53"/>
      <c r="D6" s="53" t="s">
        <v>10</v>
      </c>
      <c r="E6" s="53" t="s">
        <v>10</v>
      </c>
      <c r="F6" s="54" t="s">
        <v>10</v>
      </c>
      <c r="G6" s="53" t="s">
        <v>10</v>
      </c>
      <c r="H6" s="53" t="s">
        <v>10</v>
      </c>
      <c r="I6" s="53" t="s">
        <v>10</v>
      </c>
      <c r="J6" s="53" t="s">
        <v>311</v>
      </c>
      <c r="K6" s="53"/>
      <c r="L6" s="53">
        <v>50</v>
      </c>
      <c r="M6" s="53">
        <v>22</v>
      </c>
      <c r="N6" s="53">
        <v>420</v>
      </c>
      <c r="O6" s="53">
        <v>50</v>
      </c>
      <c r="P6" s="53" t="s">
        <v>143</v>
      </c>
      <c r="Q6" s="53" t="s">
        <v>144</v>
      </c>
      <c r="R6" s="53"/>
      <c r="S6" s="53">
        <v>150</v>
      </c>
      <c r="T6" s="53">
        <v>30</v>
      </c>
      <c r="U6" s="53">
        <v>50</v>
      </c>
      <c r="V6" s="53">
        <v>8</v>
      </c>
      <c r="W6" s="53"/>
      <c r="X6" s="53" t="s">
        <v>10</v>
      </c>
      <c r="Y6" s="53" t="s">
        <v>145</v>
      </c>
      <c r="Z6" s="53" t="s">
        <v>146</v>
      </c>
      <c r="AA6" s="53" t="s">
        <v>10</v>
      </c>
      <c r="AB6" s="53" t="s">
        <v>10</v>
      </c>
      <c r="AC6">
        <v>21</v>
      </c>
      <c r="AD6">
        <v>8</v>
      </c>
      <c r="AE6" t="s">
        <v>206</v>
      </c>
      <c r="AF6" s="53"/>
      <c r="AG6" s="53" t="s">
        <v>147</v>
      </c>
      <c r="AH6" s="53" t="s">
        <v>148</v>
      </c>
      <c r="AI6" s="53" t="s">
        <v>10</v>
      </c>
      <c r="AJ6" s="53" t="s">
        <v>10</v>
      </c>
      <c r="AK6" s="53"/>
      <c r="AL6" s="53" t="s">
        <v>149</v>
      </c>
      <c r="AM6" s="53" t="s">
        <v>197</v>
      </c>
      <c r="AN6" s="53"/>
      <c r="AO6" s="53" t="s">
        <v>158</v>
      </c>
      <c r="AP6" s="53" t="s">
        <v>158</v>
      </c>
      <c r="AQ6" s="53" t="s">
        <v>173</v>
      </c>
      <c r="AR6" s="53">
        <v>100</v>
      </c>
      <c r="AS6" s="53">
        <v>110</v>
      </c>
      <c r="AT6" s="53" t="s">
        <v>215</v>
      </c>
      <c r="AU6" s="53">
        <v>90</v>
      </c>
      <c r="AV6" s="53" t="s">
        <v>216</v>
      </c>
      <c r="AW6" s="53" t="s">
        <v>217</v>
      </c>
      <c r="AX6" s="53" t="s">
        <v>158</v>
      </c>
      <c r="AY6" s="53" t="s">
        <v>218</v>
      </c>
      <c r="AZ6" s="53" t="s">
        <v>208</v>
      </c>
      <c r="BA6" s="53"/>
      <c r="BB6" s="53" t="s">
        <v>10</v>
      </c>
      <c r="BC6" s="53" t="s">
        <v>10</v>
      </c>
      <c r="BD6" s="53" t="s">
        <v>10</v>
      </c>
      <c r="BE6" s="53" t="s">
        <v>157</v>
      </c>
      <c r="BF6" s="53" t="s">
        <v>158</v>
      </c>
      <c r="BG6" s="53" t="s">
        <v>158</v>
      </c>
      <c r="BH6" s="53" t="s">
        <v>158</v>
      </c>
      <c r="BI6" s="53">
        <v>60</v>
      </c>
      <c r="BJ6" s="53" t="s">
        <v>201</v>
      </c>
      <c r="BK6" s="53" t="s">
        <v>158</v>
      </c>
      <c r="BL6" s="53" t="s">
        <v>158</v>
      </c>
      <c r="BM6" s="53">
        <v>70</v>
      </c>
      <c r="BN6" s="53">
        <v>1</v>
      </c>
      <c r="BO6" s="53" t="s">
        <v>222</v>
      </c>
      <c r="BP6" s="53">
        <v>100</v>
      </c>
      <c r="BQ6" s="53" t="s">
        <v>171</v>
      </c>
      <c r="BR6" s="53"/>
      <c r="BS6" s="53" t="s">
        <v>80</v>
      </c>
      <c r="BT6" s="107">
        <v>80500</v>
      </c>
      <c r="BU6" s="107">
        <v>17500</v>
      </c>
      <c r="BV6" s="72" t="s">
        <v>198</v>
      </c>
      <c r="BW6" s="72" t="s">
        <v>226</v>
      </c>
      <c r="BX6" s="72" t="s">
        <v>238</v>
      </c>
      <c r="BY6" s="53"/>
      <c r="BZ6" s="55" t="s">
        <v>244</v>
      </c>
      <c r="CA6" s="53" t="s">
        <v>89</v>
      </c>
      <c r="CB6" s="53"/>
      <c r="CC6" s="53" t="s">
        <v>199</v>
      </c>
      <c r="CD6" s="53"/>
      <c r="CE6" s="53" t="s">
        <v>10</v>
      </c>
      <c r="CF6" s="53" t="s">
        <v>10</v>
      </c>
      <c r="CG6" s="53"/>
      <c r="CH6" s="53" t="s">
        <v>10</v>
      </c>
      <c r="CI6" s="53" t="s">
        <v>10</v>
      </c>
      <c r="CJ6" s="53"/>
      <c r="CK6" s="53" t="s">
        <v>252</v>
      </c>
      <c r="CL6" s="53" t="s">
        <v>10</v>
      </c>
      <c r="CM6" s="53" t="s">
        <v>10</v>
      </c>
      <c r="CN6" s="53" t="s">
        <v>10</v>
      </c>
      <c r="CO6" s="53"/>
      <c r="CP6" s="53" t="s">
        <v>161</v>
      </c>
      <c r="CQ6" s="53" t="s">
        <v>89</v>
      </c>
      <c r="CR6" s="53"/>
      <c r="CS6" s="53" t="s">
        <v>162</v>
      </c>
      <c r="CT6" s="53" t="s">
        <v>163</v>
      </c>
      <c r="CU6" s="53" t="s">
        <v>10</v>
      </c>
      <c r="CV6" s="53" t="s">
        <v>10</v>
      </c>
      <c r="CW6" s="53" t="s">
        <v>10</v>
      </c>
      <c r="CX6" s="53"/>
      <c r="CY6" s="53" t="s">
        <v>158</v>
      </c>
      <c r="CZ6" s="53">
        <v>1000</v>
      </c>
      <c r="DA6" s="53">
        <v>1500</v>
      </c>
      <c r="DB6" s="53"/>
      <c r="DC6" s="53" t="s">
        <v>158</v>
      </c>
      <c r="DD6" s="53" t="s">
        <v>164</v>
      </c>
      <c r="DE6" s="53"/>
      <c r="DF6" s="53" t="s">
        <v>257</v>
      </c>
      <c r="DG6" s="53" t="s">
        <v>165</v>
      </c>
      <c r="DH6" s="53" t="s">
        <v>257</v>
      </c>
      <c r="DI6" s="53" t="s">
        <v>166</v>
      </c>
      <c r="DJ6" s="53" t="s">
        <v>158</v>
      </c>
      <c r="DK6" s="54"/>
      <c r="DL6" s="54" t="s">
        <v>158</v>
      </c>
      <c r="DM6" s="54">
        <v>14</v>
      </c>
      <c r="DN6" s="54" t="s">
        <v>167</v>
      </c>
      <c r="DO6" s="54" t="s">
        <v>168</v>
      </c>
      <c r="DP6" s="54" t="s">
        <v>169</v>
      </c>
      <c r="DQ6" s="54"/>
      <c r="DR6" s="54"/>
      <c r="DS6" s="54" t="s">
        <v>10</v>
      </c>
      <c r="DT6" s="54" t="s">
        <v>10</v>
      </c>
      <c r="DU6" s="54" t="s">
        <v>10</v>
      </c>
      <c r="DV6" s="54" t="s">
        <v>138</v>
      </c>
      <c r="DW6" s="53"/>
      <c r="DX6" s="53" t="s">
        <v>262</v>
      </c>
      <c r="DY6" s="53" t="s">
        <v>10</v>
      </c>
      <c r="DZ6" s="53" t="s">
        <v>10</v>
      </c>
      <c r="EA6" s="53" t="s">
        <v>10</v>
      </c>
      <c r="EB6" s="53" t="s">
        <v>322</v>
      </c>
      <c r="EC6" s="53" t="s">
        <v>265</v>
      </c>
      <c r="ED6" s="53" t="s">
        <v>265</v>
      </c>
    </row>
    <row r="7" spans="1:134" ht="24" customHeight="1" x14ac:dyDescent="0.3">
      <c r="A7" s="58" t="s">
        <v>316</v>
      </c>
      <c r="B7" s="53"/>
      <c r="C7" s="53"/>
      <c r="D7" s="53" t="s">
        <v>10</v>
      </c>
      <c r="E7" s="53" t="s">
        <v>10</v>
      </c>
      <c r="F7" s="54" t="s">
        <v>10</v>
      </c>
      <c r="G7" s="53" t="s">
        <v>10</v>
      </c>
      <c r="H7" s="53" t="s">
        <v>10</v>
      </c>
      <c r="I7" s="53" t="s">
        <v>10</v>
      </c>
      <c r="J7" s="53" t="s">
        <v>311</v>
      </c>
      <c r="K7" s="53"/>
      <c r="L7" s="53">
        <v>50</v>
      </c>
      <c r="M7" s="53">
        <v>33</v>
      </c>
      <c r="N7" s="53">
        <v>420</v>
      </c>
      <c r="O7" s="53">
        <v>50</v>
      </c>
      <c r="P7" s="53" t="s">
        <v>143</v>
      </c>
      <c r="Q7" s="53" t="s">
        <v>144</v>
      </c>
      <c r="R7" s="53"/>
      <c r="S7" s="53">
        <v>200</v>
      </c>
      <c r="T7" s="53">
        <v>30</v>
      </c>
      <c r="U7" s="53">
        <v>70</v>
      </c>
      <c r="V7" s="53">
        <v>8</v>
      </c>
      <c r="W7" s="53"/>
      <c r="X7" s="53" t="s">
        <v>10</v>
      </c>
      <c r="Y7" s="53" t="s">
        <v>145</v>
      </c>
      <c r="Z7" s="53" t="s">
        <v>146</v>
      </c>
      <c r="AA7" s="53" t="s">
        <v>10</v>
      </c>
      <c r="AB7" s="53" t="s">
        <v>10</v>
      </c>
      <c r="AC7">
        <v>21</v>
      </c>
      <c r="AD7">
        <v>8</v>
      </c>
      <c r="AE7" t="s">
        <v>206</v>
      </c>
      <c r="AF7" s="53"/>
      <c r="AG7" s="53" t="s">
        <v>147</v>
      </c>
      <c r="AH7" s="53" t="s">
        <v>148</v>
      </c>
      <c r="AI7" s="53" t="s">
        <v>10</v>
      </c>
      <c r="AJ7" s="53" t="s">
        <v>10</v>
      </c>
      <c r="AK7" s="53"/>
      <c r="AL7" s="53" t="s">
        <v>149</v>
      </c>
      <c r="AM7" s="53" t="s">
        <v>197</v>
      </c>
      <c r="AN7" s="53"/>
      <c r="AO7" s="53" t="s">
        <v>158</v>
      </c>
      <c r="AP7" s="53" t="s">
        <v>158</v>
      </c>
      <c r="AQ7" s="53" t="s">
        <v>173</v>
      </c>
      <c r="AR7" s="53">
        <v>100</v>
      </c>
      <c r="AS7" s="53">
        <v>110</v>
      </c>
      <c r="AT7" s="53" t="s">
        <v>215</v>
      </c>
      <c r="AU7" s="53">
        <v>90</v>
      </c>
      <c r="AV7" s="53" t="s">
        <v>216</v>
      </c>
      <c r="AW7" s="53" t="s">
        <v>217</v>
      </c>
      <c r="AX7" s="53" t="s">
        <v>158</v>
      </c>
      <c r="AY7" s="53" t="s">
        <v>218</v>
      </c>
      <c r="AZ7" s="53" t="s">
        <v>208</v>
      </c>
      <c r="BA7" s="53"/>
      <c r="BB7" s="53" t="s">
        <v>10</v>
      </c>
      <c r="BC7" s="53" t="s">
        <v>10</v>
      </c>
      <c r="BD7" s="53" t="s">
        <v>10</v>
      </c>
      <c r="BE7" s="53" t="s">
        <v>157</v>
      </c>
      <c r="BF7" s="53" t="s">
        <v>158</v>
      </c>
      <c r="BG7" s="53" t="s">
        <v>158</v>
      </c>
      <c r="BH7" s="53" t="s">
        <v>158</v>
      </c>
      <c r="BI7" s="53">
        <v>60</v>
      </c>
      <c r="BJ7" s="53" t="s">
        <v>201</v>
      </c>
      <c r="BK7" s="53" t="s">
        <v>158</v>
      </c>
      <c r="BL7" s="53" t="s">
        <v>158</v>
      </c>
      <c r="BM7" s="53">
        <v>70</v>
      </c>
      <c r="BN7" s="53">
        <v>1</v>
      </c>
      <c r="BO7" s="53" t="s">
        <v>222</v>
      </c>
      <c r="BP7" s="53">
        <v>100</v>
      </c>
      <c r="BQ7" s="53" t="s">
        <v>171</v>
      </c>
      <c r="BR7" s="53"/>
      <c r="BS7" s="53" t="s">
        <v>80</v>
      </c>
      <c r="BT7" s="107">
        <v>80500</v>
      </c>
      <c r="BU7" s="107">
        <v>17500</v>
      </c>
      <c r="BV7" s="72" t="s">
        <v>198</v>
      </c>
      <c r="BW7" s="72" t="s">
        <v>226</v>
      </c>
      <c r="BX7" s="72" t="s">
        <v>238</v>
      </c>
      <c r="BY7" s="53"/>
      <c r="BZ7" s="55" t="s">
        <v>244</v>
      </c>
      <c r="CA7" s="53" t="s">
        <v>89</v>
      </c>
      <c r="CB7" s="53"/>
      <c r="CC7" s="53" t="s">
        <v>199</v>
      </c>
      <c r="CD7" s="53"/>
      <c r="CE7" s="53" t="s">
        <v>10</v>
      </c>
      <c r="CF7" s="53" t="s">
        <v>10</v>
      </c>
      <c r="CG7" s="53"/>
      <c r="CH7" s="53" t="s">
        <v>10</v>
      </c>
      <c r="CI7" s="53" t="s">
        <v>10</v>
      </c>
      <c r="CJ7" s="53"/>
      <c r="CK7" s="53" t="s">
        <v>252</v>
      </c>
      <c r="CL7" s="53" t="s">
        <v>10</v>
      </c>
      <c r="CM7" s="53" t="s">
        <v>10</v>
      </c>
      <c r="CN7" s="53" t="s">
        <v>10</v>
      </c>
      <c r="CO7" s="53"/>
      <c r="CP7" s="53" t="s">
        <v>161</v>
      </c>
      <c r="CQ7" s="53" t="s">
        <v>89</v>
      </c>
      <c r="CR7" s="53"/>
      <c r="CS7" s="53" t="s">
        <v>162</v>
      </c>
      <c r="CT7" s="53" t="s">
        <v>163</v>
      </c>
      <c r="CU7" s="53" t="s">
        <v>10</v>
      </c>
      <c r="CV7" s="53" t="s">
        <v>10</v>
      </c>
      <c r="CW7" s="53" t="s">
        <v>10</v>
      </c>
      <c r="CX7" s="53"/>
      <c r="CY7" s="53" t="s">
        <v>158</v>
      </c>
      <c r="CZ7" s="53">
        <v>1000</v>
      </c>
      <c r="DA7" s="53">
        <v>1500</v>
      </c>
      <c r="DB7" s="53"/>
      <c r="DC7" s="53" t="s">
        <v>158</v>
      </c>
      <c r="DD7" s="53" t="s">
        <v>164</v>
      </c>
      <c r="DE7" s="53"/>
      <c r="DF7" s="53" t="s">
        <v>257</v>
      </c>
      <c r="DG7" s="53" t="s">
        <v>165</v>
      </c>
      <c r="DH7" s="53" t="s">
        <v>257</v>
      </c>
      <c r="DI7" s="53" t="s">
        <v>166</v>
      </c>
      <c r="DJ7" s="53" t="s">
        <v>158</v>
      </c>
      <c r="DK7" s="54"/>
      <c r="DL7" s="54" t="s">
        <v>158</v>
      </c>
      <c r="DM7" s="54">
        <v>14</v>
      </c>
      <c r="DN7" s="54" t="s">
        <v>167</v>
      </c>
      <c r="DO7" s="54" t="s">
        <v>168</v>
      </c>
      <c r="DP7" s="54" t="s">
        <v>169</v>
      </c>
      <c r="DQ7" s="54"/>
      <c r="DR7" s="54"/>
      <c r="DS7" s="54" t="s">
        <v>10</v>
      </c>
      <c r="DT7" s="54" t="s">
        <v>10</v>
      </c>
      <c r="DU7" s="54" t="s">
        <v>10</v>
      </c>
      <c r="DV7" s="54" t="s">
        <v>138</v>
      </c>
      <c r="DW7" s="53"/>
      <c r="DX7" s="53" t="s">
        <v>262</v>
      </c>
      <c r="DY7" s="53" t="s">
        <v>10</v>
      </c>
      <c r="DZ7" s="53" t="s">
        <v>10</v>
      </c>
      <c r="EA7" s="53" t="s">
        <v>10</v>
      </c>
      <c r="EB7" s="53" t="s">
        <v>322</v>
      </c>
      <c r="EC7" s="53" t="s">
        <v>265</v>
      </c>
      <c r="ED7" s="53" t="s">
        <v>265</v>
      </c>
    </row>
    <row r="8" spans="1:134" ht="24" customHeight="1" x14ac:dyDescent="0.3">
      <c r="A8" s="56" t="s">
        <v>300</v>
      </c>
      <c r="B8" s="53"/>
      <c r="C8" s="59" t="s">
        <v>181</v>
      </c>
      <c r="D8" s="53" t="s">
        <v>10</v>
      </c>
      <c r="E8" s="53" t="s">
        <v>10</v>
      </c>
      <c r="F8" s="54" t="s">
        <v>10</v>
      </c>
      <c r="G8" s="53" t="s">
        <v>10</v>
      </c>
      <c r="H8" s="53" t="s">
        <v>10</v>
      </c>
      <c r="I8" s="53" t="s">
        <v>10</v>
      </c>
      <c r="J8" s="53" t="s">
        <v>311</v>
      </c>
      <c r="K8" s="53"/>
      <c r="L8" s="53">
        <v>100</v>
      </c>
      <c r="M8" s="53">
        <v>11</v>
      </c>
      <c r="N8" s="53">
        <v>420</v>
      </c>
      <c r="O8" s="53">
        <v>50</v>
      </c>
      <c r="P8" s="53" t="s">
        <v>143</v>
      </c>
      <c r="Q8" s="53" t="s">
        <v>144</v>
      </c>
      <c r="R8" s="53"/>
      <c r="S8" s="53">
        <v>95</v>
      </c>
      <c r="T8" s="53">
        <v>30</v>
      </c>
      <c r="U8" s="53">
        <v>28</v>
      </c>
      <c r="V8" s="53">
        <v>8</v>
      </c>
      <c r="W8" s="53"/>
      <c r="X8" s="53" t="s">
        <v>10</v>
      </c>
      <c r="Y8" s="53" t="s">
        <v>145</v>
      </c>
      <c r="Z8" s="53" t="s">
        <v>146</v>
      </c>
      <c r="AA8" s="53" t="s">
        <v>10</v>
      </c>
      <c r="AB8" s="53" t="s">
        <v>10</v>
      </c>
      <c r="AC8">
        <v>21</v>
      </c>
      <c r="AD8">
        <v>8</v>
      </c>
      <c r="AE8" t="s">
        <v>206</v>
      </c>
      <c r="AF8" s="53"/>
      <c r="AG8" s="53" t="s">
        <v>147</v>
      </c>
      <c r="AH8" s="53" t="s">
        <v>148</v>
      </c>
      <c r="AI8" s="53" t="s">
        <v>10</v>
      </c>
      <c r="AJ8" s="53" t="s">
        <v>10</v>
      </c>
      <c r="AK8" s="53"/>
      <c r="AL8" s="53" t="s">
        <v>149</v>
      </c>
      <c r="AM8" s="53" t="s">
        <v>197</v>
      </c>
      <c r="AN8" s="53"/>
      <c r="AO8" s="53" t="s">
        <v>158</v>
      </c>
      <c r="AP8" s="53" t="s">
        <v>158</v>
      </c>
      <c r="AQ8" s="53" t="s">
        <v>172</v>
      </c>
      <c r="AR8" s="53">
        <v>100</v>
      </c>
      <c r="AS8" s="53">
        <v>110</v>
      </c>
      <c r="AT8" s="53" t="s">
        <v>215</v>
      </c>
      <c r="AU8" s="53">
        <v>90</v>
      </c>
      <c r="AV8" s="53" t="s">
        <v>216</v>
      </c>
      <c r="AW8" s="53" t="s">
        <v>217</v>
      </c>
      <c r="AX8" s="53" t="s">
        <v>158</v>
      </c>
      <c r="AY8" s="53" t="s">
        <v>218</v>
      </c>
      <c r="AZ8" s="53" t="s">
        <v>208</v>
      </c>
      <c r="BA8" s="53"/>
      <c r="BB8" s="53" t="s">
        <v>10</v>
      </c>
      <c r="BC8" s="53" t="s">
        <v>10</v>
      </c>
      <c r="BD8" s="53" t="s">
        <v>10</v>
      </c>
      <c r="BE8" s="53" t="s">
        <v>157</v>
      </c>
      <c r="BF8" s="53" t="s">
        <v>158</v>
      </c>
      <c r="BG8" s="53" t="s">
        <v>158</v>
      </c>
      <c r="BH8" s="53" t="s">
        <v>158</v>
      </c>
      <c r="BI8" s="53">
        <v>60</v>
      </c>
      <c r="BJ8" s="53" t="s">
        <v>201</v>
      </c>
      <c r="BK8" s="53" t="s">
        <v>158</v>
      </c>
      <c r="BL8" s="53" t="s">
        <v>158</v>
      </c>
      <c r="BM8" s="53">
        <v>70</v>
      </c>
      <c r="BN8" s="53">
        <v>1</v>
      </c>
      <c r="BO8" s="53" t="s">
        <v>222</v>
      </c>
      <c r="BP8" s="53">
        <v>100</v>
      </c>
      <c r="BQ8" s="53" t="s">
        <v>171</v>
      </c>
      <c r="BR8" s="53"/>
      <c r="BS8" s="53" t="s">
        <v>80</v>
      </c>
      <c r="BT8" s="107">
        <v>80500</v>
      </c>
      <c r="BU8" s="107">
        <v>17500</v>
      </c>
      <c r="BV8" s="72" t="s">
        <v>233</v>
      </c>
      <c r="BW8" s="72" t="s">
        <v>227</v>
      </c>
      <c r="BX8" s="72" t="s">
        <v>239</v>
      </c>
      <c r="BY8" s="53"/>
      <c r="BZ8" s="55" t="s">
        <v>244</v>
      </c>
      <c r="CA8" s="53" t="s">
        <v>89</v>
      </c>
      <c r="CB8" s="53"/>
      <c r="CC8" s="53" t="s">
        <v>199</v>
      </c>
      <c r="CD8" s="53"/>
      <c r="CE8" s="53" t="s">
        <v>10</v>
      </c>
      <c r="CF8" s="53" t="s">
        <v>10</v>
      </c>
      <c r="CG8" s="53"/>
      <c r="CH8" s="53" t="s">
        <v>10</v>
      </c>
      <c r="CI8" s="53" t="s">
        <v>10</v>
      </c>
      <c r="CJ8" s="53"/>
      <c r="CK8" s="53" t="s">
        <v>252</v>
      </c>
      <c r="CL8" s="53" t="s">
        <v>10</v>
      </c>
      <c r="CM8" s="53" t="s">
        <v>10</v>
      </c>
      <c r="CN8" s="53" t="s">
        <v>10</v>
      </c>
      <c r="CO8" s="53"/>
      <c r="CP8" s="53" t="s">
        <v>161</v>
      </c>
      <c r="CQ8" s="53" t="s">
        <v>89</v>
      </c>
      <c r="CR8" s="53"/>
      <c r="CS8" s="53" t="s">
        <v>162</v>
      </c>
      <c r="CT8" s="53" t="s">
        <v>163</v>
      </c>
      <c r="CU8" s="53" t="s">
        <v>10</v>
      </c>
      <c r="CV8" s="53" t="s">
        <v>10</v>
      </c>
      <c r="CW8" s="53" t="s">
        <v>10</v>
      </c>
      <c r="CX8" s="53"/>
      <c r="CY8" s="53" t="s">
        <v>158</v>
      </c>
      <c r="CZ8" s="53">
        <v>1000</v>
      </c>
      <c r="DA8" s="53">
        <v>1500</v>
      </c>
      <c r="DB8" s="53"/>
      <c r="DC8" s="53" t="s">
        <v>158</v>
      </c>
      <c r="DD8" s="53" t="s">
        <v>164</v>
      </c>
      <c r="DE8" s="53"/>
      <c r="DF8" s="53" t="s">
        <v>257</v>
      </c>
      <c r="DG8" s="53" t="s">
        <v>165</v>
      </c>
      <c r="DH8" s="53" t="s">
        <v>257</v>
      </c>
      <c r="DI8" s="53" t="s">
        <v>166</v>
      </c>
      <c r="DJ8" s="53" t="s">
        <v>158</v>
      </c>
      <c r="DK8" s="54"/>
      <c r="DL8" s="54" t="s">
        <v>158</v>
      </c>
      <c r="DM8" s="54">
        <v>14</v>
      </c>
      <c r="DN8" s="54" t="s">
        <v>167</v>
      </c>
      <c r="DO8" s="54" t="s">
        <v>168</v>
      </c>
      <c r="DP8" s="54" t="s">
        <v>169</v>
      </c>
      <c r="DQ8" s="54"/>
      <c r="DR8" s="54"/>
      <c r="DS8" s="54" t="s">
        <v>10</v>
      </c>
      <c r="DT8" s="54" t="s">
        <v>10</v>
      </c>
      <c r="DU8" s="54" t="s">
        <v>10</v>
      </c>
      <c r="DV8" s="54" t="s">
        <v>138</v>
      </c>
      <c r="DW8" s="53"/>
      <c r="DX8" s="53" t="s">
        <v>262</v>
      </c>
      <c r="DY8" s="53" t="s">
        <v>10</v>
      </c>
      <c r="DZ8" s="53" t="s">
        <v>10</v>
      </c>
      <c r="EA8" s="53" t="s">
        <v>10</v>
      </c>
      <c r="EB8" s="53" t="s">
        <v>322</v>
      </c>
      <c r="EC8" s="53" t="s">
        <v>265</v>
      </c>
      <c r="ED8" s="53" t="s">
        <v>265</v>
      </c>
    </row>
    <row r="9" spans="1:134" ht="24" customHeight="1" x14ac:dyDescent="0.3">
      <c r="A9" s="56" t="s">
        <v>301</v>
      </c>
      <c r="B9" s="53"/>
      <c r="C9" s="59" t="s">
        <v>182</v>
      </c>
      <c r="D9" s="53" t="s">
        <v>10</v>
      </c>
      <c r="E9" s="53" t="s">
        <v>10</v>
      </c>
      <c r="F9" s="54" t="s">
        <v>10</v>
      </c>
      <c r="G9" s="53" t="s">
        <v>10</v>
      </c>
      <c r="H9" s="53" t="s">
        <v>10</v>
      </c>
      <c r="I9" s="53" t="s">
        <v>10</v>
      </c>
      <c r="J9" s="53" t="s">
        <v>311</v>
      </c>
      <c r="K9" s="53"/>
      <c r="L9" s="53">
        <v>100</v>
      </c>
      <c r="M9" s="53">
        <v>22</v>
      </c>
      <c r="N9" s="53">
        <v>420</v>
      </c>
      <c r="O9" s="53">
        <v>50</v>
      </c>
      <c r="P9" s="53" t="s">
        <v>143</v>
      </c>
      <c r="Q9" s="53" t="s">
        <v>144</v>
      </c>
      <c r="R9" s="53"/>
      <c r="S9" s="53">
        <v>150</v>
      </c>
      <c r="T9" s="53">
        <v>30</v>
      </c>
      <c r="U9" s="53">
        <v>50</v>
      </c>
      <c r="V9" s="53">
        <v>8</v>
      </c>
      <c r="W9" s="53"/>
      <c r="X9" s="53" t="s">
        <v>10</v>
      </c>
      <c r="Y9" s="53" t="s">
        <v>145</v>
      </c>
      <c r="Z9" s="53" t="s">
        <v>146</v>
      </c>
      <c r="AA9" s="53" t="s">
        <v>10</v>
      </c>
      <c r="AB9" s="53" t="s">
        <v>10</v>
      </c>
      <c r="AC9">
        <v>21</v>
      </c>
      <c r="AD9">
        <v>8</v>
      </c>
      <c r="AE9" t="s">
        <v>206</v>
      </c>
      <c r="AF9" s="53"/>
      <c r="AG9" s="53" t="s">
        <v>147</v>
      </c>
      <c r="AH9" s="53" t="s">
        <v>148</v>
      </c>
      <c r="AI9" s="53" t="s">
        <v>10</v>
      </c>
      <c r="AJ9" s="53" t="s">
        <v>10</v>
      </c>
      <c r="AK9" s="53"/>
      <c r="AL9" s="53" t="s">
        <v>149</v>
      </c>
      <c r="AM9" s="53" t="s">
        <v>197</v>
      </c>
      <c r="AN9" s="53"/>
      <c r="AO9" s="53" t="s">
        <v>158</v>
      </c>
      <c r="AP9" s="53" t="s">
        <v>158</v>
      </c>
      <c r="AQ9" s="53" t="s">
        <v>173</v>
      </c>
      <c r="AR9" s="53">
        <v>100</v>
      </c>
      <c r="AS9" s="53">
        <v>110</v>
      </c>
      <c r="AT9" s="53" t="s">
        <v>215</v>
      </c>
      <c r="AU9" s="53">
        <v>90</v>
      </c>
      <c r="AV9" s="53" t="s">
        <v>216</v>
      </c>
      <c r="AW9" s="53" t="s">
        <v>217</v>
      </c>
      <c r="AX9" s="53" t="s">
        <v>158</v>
      </c>
      <c r="AY9" s="53" t="s">
        <v>218</v>
      </c>
      <c r="AZ9" s="53" t="s">
        <v>208</v>
      </c>
      <c r="BA9" s="53"/>
      <c r="BB9" s="53" t="s">
        <v>10</v>
      </c>
      <c r="BC9" s="53" t="s">
        <v>10</v>
      </c>
      <c r="BD9" s="53" t="s">
        <v>10</v>
      </c>
      <c r="BE9" s="53" t="s">
        <v>157</v>
      </c>
      <c r="BF9" s="53" t="s">
        <v>158</v>
      </c>
      <c r="BG9" s="53" t="s">
        <v>158</v>
      </c>
      <c r="BH9" s="53" t="s">
        <v>158</v>
      </c>
      <c r="BI9" s="53">
        <v>60</v>
      </c>
      <c r="BJ9" s="53" t="s">
        <v>201</v>
      </c>
      <c r="BK9" s="53" t="s">
        <v>158</v>
      </c>
      <c r="BL9" s="53" t="s">
        <v>158</v>
      </c>
      <c r="BM9" s="53">
        <v>70</v>
      </c>
      <c r="BN9" s="53">
        <v>1</v>
      </c>
      <c r="BO9" s="53" t="s">
        <v>222</v>
      </c>
      <c r="BP9" s="53">
        <v>100</v>
      </c>
      <c r="BQ9" s="53" t="s">
        <v>171</v>
      </c>
      <c r="BR9" s="53"/>
      <c r="BS9" s="53" t="s">
        <v>80</v>
      </c>
      <c r="BT9" s="107">
        <v>80500</v>
      </c>
      <c r="BU9" s="107">
        <v>17500</v>
      </c>
      <c r="BV9" s="72" t="s">
        <v>233</v>
      </c>
      <c r="BW9" s="72" t="s">
        <v>227</v>
      </c>
      <c r="BX9" s="72" t="s">
        <v>239</v>
      </c>
      <c r="BY9" s="53"/>
      <c r="BZ9" s="55" t="s">
        <v>244</v>
      </c>
      <c r="CA9" s="53" t="s">
        <v>89</v>
      </c>
      <c r="CB9" s="53"/>
      <c r="CC9" s="53" t="s">
        <v>199</v>
      </c>
      <c r="CD9" s="53"/>
      <c r="CE9" s="53" t="s">
        <v>10</v>
      </c>
      <c r="CF9" s="53" t="s">
        <v>10</v>
      </c>
      <c r="CG9" s="53"/>
      <c r="CH9" s="53" t="s">
        <v>10</v>
      </c>
      <c r="CI9" s="53" t="s">
        <v>10</v>
      </c>
      <c r="CJ9" s="53"/>
      <c r="CK9" s="53" t="s">
        <v>252</v>
      </c>
      <c r="CL9" s="53" t="s">
        <v>10</v>
      </c>
      <c r="CM9" s="53" t="s">
        <v>10</v>
      </c>
      <c r="CN9" s="53" t="s">
        <v>10</v>
      </c>
      <c r="CO9" s="53"/>
      <c r="CP9" s="53" t="s">
        <v>161</v>
      </c>
      <c r="CQ9" s="53" t="s">
        <v>89</v>
      </c>
      <c r="CR9" s="53"/>
      <c r="CS9" s="53" t="s">
        <v>162</v>
      </c>
      <c r="CT9" s="53" t="s">
        <v>163</v>
      </c>
      <c r="CU9" s="53" t="s">
        <v>10</v>
      </c>
      <c r="CV9" s="53" t="s">
        <v>10</v>
      </c>
      <c r="CW9" s="53" t="s">
        <v>10</v>
      </c>
      <c r="CX9" s="53"/>
      <c r="CY9" s="53" t="s">
        <v>158</v>
      </c>
      <c r="CZ9" s="53">
        <v>1000</v>
      </c>
      <c r="DA9" s="53">
        <v>1500</v>
      </c>
      <c r="DB9" s="53"/>
      <c r="DC9" s="53" t="s">
        <v>158</v>
      </c>
      <c r="DD9" s="53" t="s">
        <v>164</v>
      </c>
      <c r="DE9" s="53"/>
      <c r="DF9" s="53" t="s">
        <v>257</v>
      </c>
      <c r="DG9" s="53" t="s">
        <v>165</v>
      </c>
      <c r="DH9" s="53" t="s">
        <v>257</v>
      </c>
      <c r="DI9" s="53" t="s">
        <v>166</v>
      </c>
      <c r="DJ9" s="53" t="s">
        <v>158</v>
      </c>
      <c r="DK9" s="54"/>
      <c r="DL9" s="54" t="s">
        <v>158</v>
      </c>
      <c r="DM9" s="54">
        <v>14</v>
      </c>
      <c r="DN9" s="54" t="s">
        <v>167</v>
      </c>
      <c r="DO9" s="54" t="s">
        <v>168</v>
      </c>
      <c r="DP9" s="54" t="s">
        <v>169</v>
      </c>
      <c r="DQ9" s="54"/>
      <c r="DR9" s="54"/>
      <c r="DS9" s="54" t="s">
        <v>10</v>
      </c>
      <c r="DT9" s="54" t="s">
        <v>10</v>
      </c>
      <c r="DU9" s="54" t="s">
        <v>10</v>
      </c>
      <c r="DV9" s="54" t="s">
        <v>138</v>
      </c>
      <c r="DW9" s="53"/>
      <c r="DX9" s="53" t="s">
        <v>262</v>
      </c>
      <c r="DY9" s="53" t="s">
        <v>10</v>
      </c>
      <c r="DZ9" s="53" t="s">
        <v>10</v>
      </c>
      <c r="EA9" s="53" t="s">
        <v>10</v>
      </c>
      <c r="EB9" s="53" t="s">
        <v>322</v>
      </c>
      <c r="EC9" s="53" t="s">
        <v>265</v>
      </c>
      <c r="ED9" s="53" t="s">
        <v>265</v>
      </c>
    </row>
    <row r="10" spans="1:134" ht="24" customHeight="1" x14ac:dyDescent="0.3">
      <c r="A10" s="58" t="s">
        <v>317</v>
      </c>
      <c r="B10" s="53"/>
      <c r="C10" s="53"/>
      <c r="D10" s="53" t="s">
        <v>10</v>
      </c>
      <c r="E10" s="53" t="s">
        <v>10</v>
      </c>
      <c r="F10" s="54" t="s">
        <v>10</v>
      </c>
      <c r="G10" s="53" t="s">
        <v>10</v>
      </c>
      <c r="H10" s="53" t="s">
        <v>10</v>
      </c>
      <c r="I10" s="53" t="s">
        <v>10</v>
      </c>
      <c r="J10" s="53" t="s">
        <v>311</v>
      </c>
      <c r="K10" s="53"/>
      <c r="L10" s="53">
        <v>100</v>
      </c>
      <c r="M10" s="53">
        <v>33</v>
      </c>
      <c r="N10" s="53">
        <v>420</v>
      </c>
      <c r="O10" s="53">
        <v>50</v>
      </c>
      <c r="P10" s="53" t="s">
        <v>143</v>
      </c>
      <c r="Q10" s="53" t="s">
        <v>144</v>
      </c>
      <c r="R10" s="53"/>
      <c r="S10" s="53">
        <v>200</v>
      </c>
      <c r="T10" s="53">
        <v>30</v>
      </c>
      <c r="U10" s="53">
        <v>70</v>
      </c>
      <c r="V10" s="53">
        <v>8</v>
      </c>
      <c r="W10" s="53"/>
      <c r="X10" s="53" t="s">
        <v>10</v>
      </c>
      <c r="Y10" s="53" t="s">
        <v>145</v>
      </c>
      <c r="Z10" s="53" t="s">
        <v>146</v>
      </c>
      <c r="AA10" s="53" t="s">
        <v>10</v>
      </c>
      <c r="AB10" s="53" t="s">
        <v>10</v>
      </c>
      <c r="AC10">
        <v>21</v>
      </c>
      <c r="AD10">
        <v>8</v>
      </c>
      <c r="AE10" t="s">
        <v>206</v>
      </c>
      <c r="AF10" s="53"/>
      <c r="AG10" s="53" t="s">
        <v>147</v>
      </c>
      <c r="AH10" s="53" t="s">
        <v>148</v>
      </c>
      <c r="AI10" s="53" t="s">
        <v>10</v>
      </c>
      <c r="AJ10" s="53" t="s">
        <v>10</v>
      </c>
      <c r="AK10" s="53"/>
      <c r="AL10" s="53" t="s">
        <v>149</v>
      </c>
      <c r="AM10" s="53" t="s">
        <v>197</v>
      </c>
      <c r="AN10" s="53"/>
      <c r="AO10" s="53" t="s">
        <v>158</v>
      </c>
      <c r="AP10" s="53" t="s">
        <v>158</v>
      </c>
      <c r="AQ10" s="53" t="s">
        <v>173</v>
      </c>
      <c r="AR10" s="53">
        <v>100</v>
      </c>
      <c r="AS10" s="53">
        <v>110</v>
      </c>
      <c r="AT10" s="53" t="s">
        <v>215</v>
      </c>
      <c r="AU10" s="53">
        <v>90</v>
      </c>
      <c r="AV10" s="53" t="s">
        <v>216</v>
      </c>
      <c r="AW10" s="53" t="s">
        <v>217</v>
      </c>
      <c r="AX10" s="53" t="s">
        <v>158</v>
      </c>
      <c r="AY10" s="53" t="s">
        <v>218</v>
      </c>
      <c r="AZ10" s="53" t="s">
        <v>208</v>
      </c>
      <c r="BA10" s="53"/>
      <c r="BB10" s="53" t="s">
        <v>10</v>
      </c>
      <c r="BC10" s="53" t="s">
        <v>10</v>
      </c>
      <c r="BD10" s="53" t="s">
        <v>10</v>
      </c>
      <c r="BE10" s="53" t="s">
        <v>157</v>
      </c>
      <c r="BF10" s="53" t="s">
        <v>158</v>
      </c>
      <c r="BG10" s="53" t="s">
        <v>158</v>
      </c>
      <c r="BH10" s="53" t="s">
        <v>158</v>
      </c>
      <c r="BI10" s="53">
        <v>60</v>
      </c>
      <c r="BJ10" s="53" t="s">
        <v>201</v>
      </c>
      <c r="BK10" s="53" t="s">
        <v>158</v>
      </c>
      <c r="BL10" s="53" t="s">
        <v>158</v>
      </c>
      <c r="BM10" s="53">
        <v>70</v>
      </c>
      <c r="BN10" s="53">
        <v>1</v>
      </c>
      <c r="BO10" s="53" t="s">
        <v>222</v>
      </c>
      <c r="BP10" s="53">
        <v>100</v>
      </c>
      <c r="BQ10" s="53" t="s">
        <v>171</v>
      </c>
      <c r="BR10" s="53"/>
      <c r="BS10" s="53" t="s">
        <v>80</v>
      </c>
      <c r="BT10" s="107">
        <v>80500</v>
      </c>
      <c r="BU10" s="107">
        <v>17500</v>
      </c>
      <c r="BV10" s="72" t="s">
        <v>233</v>
      </c>
      <c r="BW10" s="72" t="s">
        <v>227</v>
      </c>
      <c r="BX10" s="72" t="s">
        <v>239</v>
      </c>
      <c r="BY10" s="53"/>
      <c r="BZ10" s="55" t="s">
        <v>244</v>
      </c>
      <c r="CA10" s="53" t="s">
        <v>89</v>
      </c>
      <c r="CB10" s="53"/>
      <c r="CC10" s="53" t="s">
        <v>199</v>
      </c>
      <c r="CD10" s="53"/>
      <c r="CE10" s="53" t="s">
        <v>10</v>
      </c>
      <c r="CF10" s="53" t="s">
        <v>10</v>
      </c>
      <c r="CG10" s="53"/>
      <c r="CH10" s="53" t="s">
        <v>10</v>
      </c>
      <c r="CI10" s="53" t="s">
        <v>10</v>
      </c>
      <c r="CJ10" s="53"/>
      <c r="CK10" s="53" t="s">
        <v>252</v>
      </c>
      <c r="CL10" s="53" t="s">
        <v>10</v>
      </c>
      <c r="CM10" s="53" t="s">
        <v>10</v>
      </c>
      <c r="CN10" s="53" t="s">
        <v>10</v>
      </c>
      <c r="CO10" s="53"/>
      <c r="CP10" s="53" t="s">
        <v>161</v>
      </c>
      <c r="CQ10" s="53" t="s">
        <v>89</v>
      </c>
      <c r="CR10" s="53"/>
      <c r="CS10" s="53" t="s">
        <v>162</v>
      </c>
      <c r="CT10" s="53" t="s">
        <v>163</v>
      </c>
      <c r="CU10" s="53" t="s">
        <v>10</v>
      </c>
      <c r="CV10" s="53" t="s">
        <v>10</v>
      </c>
      <c r="CW10" s="53" t="s">
        <v>10</v>
      </c>
      <c r="CX10" s="53"/>
      <c r="CY10" s="53" t="s">
        <v>158</v>
      </c>
      <c r="CZ10" s="53">
        <v>1000</v>
      </c>
      <c r="DA10" s="53">
        <v>1500</v>
      </c>
      <c r="DB10" s="53"/>
      <c r="DC10" s="53" t="s">
        <v>158</v>
      </c>
      <c r="DD10" s="53" t="s">
        <v>164</v>
      </c>
      <c r="DE10" s="53"/>
      <c r="DF10" s="53" t="s">
        <v>257</v>
      </c>
      <c r="DG10" s="53" t="s">
        <v>165</v>
      </c>
      <c r="DH10" s="53" t="s">
        <v>257</v>
      </c>
      <c r="DI10" s="53" t="s">
        <v>166</v>
      </c>
      <c r="DJ10" s="53" t="s">
        <v>158</v>
      </c>
      <c r="DK10" s="54"/>
      <c r="DL10" s="54" t="s">
        <v>158</v>
      </c>
      <c r="DM10" s="54">
        <v>14</v>
      </c>
      <c r="DN10" s="54" t="s">
        <v>167</v>
      </c>
      <c r="DO10" s="54" t="s">
        <v>168</v>
      </c>
      <c r="DP10" s="54" t="s">
        <v>169</v>
      </c>
      <c r="DQ10" s="54"/>
      <c r="DR10" s="54"/>
      <c r="DS10" s="54" t="s">
        <v>10</v>
      </c>
      <c r="DT10" s="54" t="s">
        <v>10</v>
      </c>
      <c r="DU10" s="54" t="s">
        <v>10</v>
      </c>
      <c r="DV10" s="54" t="s">
        <v>138</v>
      </c>
      <c r="DW10" s="53"/>
      <c r="DX10" s="53" t="s">
        <v>262</v>
      </c>
      <c r="DY10" s="53" t="s">
        <v>10</v>
      </c>
      <c r="DZ10" s="53" t="s">
        <v>10</v>
      </c>
      <c r="EA10" s="53" t="s">
        <v>10</v>
      </c>
      <c r="EB10" s="53" t="s">
        <v>322</v>
      </c>
      <c r="EC10" s="53" t="s">
        <v>265</v>
      </c>
      <c r="ED10" s="53" t="s">
        <v>265</v>
      </c>
    </row>
    <row r="11" spans="1:134" ht="24" customHeight="1" x14ac:dyDescent="0.3">
      <c r="A11" s="56" t="s">
        <v>302</v>
      </c>
      <c r="B11" s="53"/>
      <c r="C11" s="59" t="s">
        <v>183</v>
      </c>
      <c r="D11" s="53" t="s">
        <v>10</v>
      </c>
      <c r="E11" s="53" t="s">
        <v>10</v>
      </c>
      <c r="F11" s="54" t="s">
        <v>10</v>
      </c>
      <c r="G11" s="53" t="s">
        <v>10</v>
      </c>
      <c r="H11" s="53" t="s">
        <v>10</v>
      </c>
      <c r="I11" s="53" t="s">
        <v>10</v>
      </c>
      <c r="J11" s="53" t="s">
        <v>311</v>
      </c>
      <c r="K11" s="53"/>
      <c r="L11" s="53">
        <v>200</v>
      </c>
      <c r="M11" s="53">
        <v>11</v>
      </c>
      <c r="N11" s="53">
        <v>420</v>
      </c>
      <c r="O11" s="53">
        <v>50</v>
      </c>
      <c r="P11" s="53" t="s">
        <v>143</v>
      </c>
      <c r="Q11" s="53" t="s">
        <v>144</v>
      </c>
      <c r="R11" s="53"/>
      <c r="S11" s="53">
        <v>95</v>
      </c>
      <c r="T11" s="53">
        <v>30</v>
      </c>
      <c r="U11" s="53">
        <v>28</v>
      </c>
      <c r="V11" s="53">
        <v>8</v>
      </c>
      <c r="W11" s="53"/>
      <c r="X11" s="53" t="s">
        <v>10</v>
      </c>
      <c r="Y11" s="53" t="s">
        <v>145</v>
      </c>
      <c r="Z11" s="53" t="s">
        <v>146</v>
      </c>
      <c r="AA11" s="53" t="s">
        <v>10</v>
      </c>
      <c r="AB11" s="53" t="s">
        <v>10</v>
      </c>
      <c r="AC11">
        <v>21</v>
      </c>
      <c r="AD11">
        <v>8</v>
      </c>
      <c r="AE11" t="s">
        <v>206</v>
      </c>
      <c r="AF11" s="53"/>
      <c r="AG11" s="53" t="s">
        <v>147</v>
      </c>
      <c r="AH11" s="53" t="s">
        <v>148</v>
      </c>
      <c r="AI11" s="53" t="s">
        <v>10</v>
      </c>
      <c r="AJ11" s="53" t="s">
        <v>10</v>
      </c>
      <c r="AK11" s="53"/>
      <c r="AL11" s="53" t="s">
        <v>149</v>
      </c>
      <c r="AM11" s="53" t="s">
        <v>197</v>
      </c>
      <c r="AN11" s="53"/>
      <c r="AO11" s="53" t="s">
        <v>158</v>
      </c>
      <c r="AP11" s="53" t="s">
        <v>158</v>
      </c>
      <c r="AQ11" s="53" t="s">
        <v>150</v>
      </c>
      <c r="AR11" s="53">
        <v>100</v>
      </c>
      <c r="AS11" s="53">
        <v>110</v>
      </c>
      <c r="AT11" s="53" t="s">
        <v>215</v>
      </c>
      <c r="AU11" s="53">
        <v>90</v>
      </c>
      <c r="AV11" s="53" t="s">
        <v>216</v>
      </c>
      <c r="AW11" s="53" t="s">
        <v>217</v>
      </c>
      <c r="AX11" s="53" t="s">
        <v>158</v>
      </c>
      <c r="AY11" s="53" t="s">
        <v>218</v>
      </c>
      <c r="AZ11" s="53" t="s">
        <v>208</v>
      </c>
      <c r="BA11" s="53"/>
      <c r="BB11" s="53" t="s">
        <v>10</v>
      </c>
      <c r="BC11" s="53" t="s">
        <v>10</v>
      </c>
      <c r="BD11" s="53" t="s">
        <v>10</v>
      </c>
      <c r="BE11" s="53" t="s">
        <v>157</v>
      </c>
      <c r="BF11" s="53" t="s">
        <v>158</v>
      </c>
      <c r="BG11" s="53" t="s">
        <v>158</v>
      </c>
      <c r="BH11" s="53" t="s">
        <v>158</v>
      </c>
      <c r="BI11" s="53">
        <v>60</v>
      </c>
      <c r="BJ11" s="53" t="s">
        <v>201</v>
      </c>
      <c r="BK11" s="53" t="s">
        <v>158</v>
      </c>
      <c r="BL11" s="53" t="s">
        <v>158</v>
      </c>
      <c r="BM11" s="53">
        <v>70</v>
      </c>
      <c r="BN11" s="53">
        <v>2</v>
      </c>
      <c r="BO11" s="53" t="s">
        <v>222</v>
      </c>
      <c r="BP11" s="53">
        <v>100</v>
      </c>
      <c r="BQ11" s="53" t="s">
        <v>171</v>
      </c>
      <c r="BR11" s="53"/>
      <c r="BS11" s="53" t="s">
        <v>80</v>
      </c>
      <c r="BT11" s="107">
        <v>80500</v>
      </c>
      <c r="BU11" s="107">
        <v>17500</v>
      </c>
      <c r="BV11" s="72" t="s">
        <v>234</v>
      </c>
      <c r="BW11" s="72" t="s">
        <v>228</v>
      </c>
      <c r="BX11" s="72" t="s">
        <v>240</v>
      </c>
      <c r="BY11" s="53"/>
      <c r="BZ11" s="55" t="s">
        <v>245</v>
      </c>
      <c r="CA11" s="53" t="s">
        <v>89</v>
      </c>
      <c r="CB11" s="53"/>
      <c r="CC11" s="53" t="s">
        <v>199</v>
      </c>
      <c r="CD11" s="53"/>
      <c r="CE11" s="53" t="s">
        <v>10</v>
      </c>
      <c r="CF11" s="53" t="s">
        <v>10</v>
      </c>
      <c r="CG11" s="53"/>
      <c r="CH11" s="53" t="s">
        <v>10</v>
      </c>
      <c r="CI11" s="53" t="s">
        <v>10</v>
      </c>
      <c r="CJ11" s="53"/>
      <c r="CK11" s="53" t="s">
        <v>252</v>
      </c>
      <c r="CL11" s="53" t="s">
        <v>10</v>
      </c>
      <c r="CM11" s="53" t="s">
        <v>10</v>
      </c>
      <c r="CN11" s="53" t="s">
        <v>10</v>
      </c>
      <c r="CO11" s="53"/>
      <c r="CP11" s="53" t="s">
        <v>161</v>
      </c>
      <c r="CQ11" s="53" t="s">
        <v>89</v>
      </c>
      <c r="CR11" s="53"/>
      <c r="CS11" s="53" t="s">
        <v>162</v>
      </c>
      <c r="CT11" s="53" t="s">
        <v>163</v>
      </c>
      <c r="CU11" s="53" t="s">
        <v>10</v>
      </c>
      <c r="CV11" s="53" t="s">
        <v>10</v>
      </c>
      <c r="CW11" s="53" t="s">
        <v>10</v>
      </c>
      <c r="CX11" s="53"/>
      <c r="CY11" s="53" t="s">
        <v>158</v>
      </c>
      <c r="CZ11" s="53">
        <v>1000</v>
      </c>
      <c r="DA11" s="53">
        <v>1500</v>
      </c>
      <c r="DB11" s="53"/>
      <c r="DC11" s="53" t="s">
        <v>158</v>
      </c>
      <c r="DD11" s="53" t="s">
        <v>164</v>
      </c>
      <c r="DE11" s="53"/>
      <c r="DF11" s="53" t="s">
        <v>257</v>
      </c>
      <c r="DG11" s="53" t="s">
        <v>165</v>
      </c>
      <c r="DH11" s="53" t="s">
        <v>257</v>
      </c>
      <c r="DI11" s="53" t="s">
        <v>166</v>
      </c>
      <c r="DJ11" s="53" t="s">
        <v>158</v>
      </c>
      <c r="DK11" s="54"/>
      <c r="DL11" s="54" t="s">
        <v>158</v>
      </c>
      <c r="DM11" s="54">
        <v>14</v>
      </c>
      <c r="DN11" s="54" t="s">
        <v>167</v>
      </c>
      <c r="DO11" s="54" t="s">
        <v>168</v>
      </c>
      <c r="DP11" s="54" t="s">
        <v>169</v>
      </c>
      <c r="DQ11" s="54"/>
      <c r="DR11" s="54"/>
      <c r="DS11" s="54" t="s">
        <v>10</v>
      </c>
      <c r="DT11" s="54" t="s">
        <v>10</v>
      </c>
      <c r="DU11" s="54" t="s">
        <v>10</v>
      </c>
      <c r="DV11" s="54" t="s">
        <v>138</v>
      </c>
      <c r="DW11" s="53"/>
      <c r="DX11" s="53" t="s">
        <v>262</v>
      </c>
      <c r="DY11" s="53" t="s">
        <v>10</v>
      </c>
      <c r="DZ11" s="53" t="s">
        <v>10</v>
      </c>
      <c r="EA11" s="53" t="s">
        <v>10</v>
      </c>
      <c r="EB11" s="53" t="s">
        <v>322</v>
      </c>
      <c r="EC11" s="53" t="s">
        <v>265</v>
      </c>
      <c r="ED11" s="53" t="s">
        <v>265</v>
      </c>
    </row>
    <row r="12" spans="1:134" ht="24" customHeight="1" x14ac:dyDescent="0.3">
      <c r="A12" s="56" t="s">
        <v>303</v>
      </c>
      <c r="B12" s="53"/>
      <c r="C12" s="59" t="s">
        <v>184</v>
      </c>
      <c r="D12" s="53" t="s">
        <v>10</v>
      </c>
      <c r="E12" s="53" t="s">
        <v>10</v>
      </c>
      <c r="F12" s="54" t="s">
        <v>10</v>
      </c>
      <c r="G12" s="53" t="s">
        <v>10</v>
      </c>
      <c r="H12" s="53" t="s">
        <v>10</v>
      </c>
      <c r="I12" s="53" t="s">
        <v>10</v>
      </c>
      <c r="J12" s="53" t="s">
        <v>311</v>
      </c>
      <c r="K12" s="53"/>
      <c r="L12" s="53">
        <v>200</v>
      </c>
      <c r="M12" s="53">
        <v>22</v>
      </c>
      <c r="N12" s="53">
        <v>420</v>
      </c>
      <c r="O12" s="53">
        <v>50</v>
      </c>
      <c r="P12" s="53" t="s">
        <v>143</v>
      </c>
      <c r="Q12" s="53" t="s">
        <v>144</v>
      </c>
      <c r="R12" s="53"/>
      <c r="S12" s="53">
        <v>150</v>
      </c>
      <c r="T12" s="53">
        <v>30</v>
      </c>
      <c r="U12" s="53">
        <v>50</v>
      </c>
      <c r="V12" s="53">
        <v>8</v>
      </c>
      <c r="W12" s="53"/>
      <c r="X12" s="53" t="s">
        <v>10</v>
      </c>
      <c r="Y12" s="53" t="s">
        <v>145</v>
      </c>
      <c r="Z12" s="53" t="s">
        <v>146</v>
      </c>
      <c r="AA12" s="53" t="s">
        <v>10</v>
      </c>
      <c r="AB12" s="53" t="s">
        <v>10</v>
      </c>
      <c r="AC12">
        <v>21</v>
      </c>
      <c r="AD12">
        <v>8</v>
      </c>
      <c r="AE12" t="s">
        <v>206</v>
      </c>
      <c r="AF12" s="53"/>
      <c r="AG12" s="53" t="s">
        <v>147</v>
      </c>
      <c r="AH12" s="53" t="s">
        <v>148</v>
      </c>
      <c r="AI12" s="53" t="s">
        <v>10</v>
      </c>
      <c r="AJ12" s="53" t="s">
        <v>10</v>
      </c>
      <c r="AK12" s="53"/>
      <c r="AL12" s="53" t="s">
        <v>149</v>
      </c>
      <c r="AM12" s="53" t="s">
        <v>197</v>
      </c>
      <c r="AN12" s="53"/>
      <c r="AO12" s="53" t="s">
        <v>158</v>
      </c>
      <c r="AP12" s="53" t="s">
        <v>158</v>
      </c>
      <c r="AQ12" s="53" t="s">
        <v>173</v>
      </c>
      <c r="AR12" s="53">
        <v>100</v>
      </c>
      <c r="AS12" s="53">
        <v>110</v>
      </c>
      <c r="AT12" s="53" t="s">
        <v>215</v>
      </c>
      <c r="AU12" s="53">
        <v>90</v>
      </c>
      <c r="AV12" s="53" t="s">
        <v>216</v>
      </c>
      <c r="AW12" s="53" t="s">
        <v>217</v>
      </c>
      <c r="AX12" s="53" t="s">
        <v>158</v>
      </c>
      <c r="AY12" s="53" t="s">
        <v>218</v>
      </c>
      <c r="AZ12" s="53" t="s">
        <v>208</v>
      </c>
      <c r="BA12" s="53"/>
      <c r="BB12" s="53" t="s">
        <v>10</v>
      </c>
      <c r="BC12" s="53" t="s">
        <v>10</v>
      </c>
      <c r="BD12" s="53" t="s">
        <v>10</v>
      </c>
      <c r="BE12" s="53" t="s">
        <v>157</v>
      </c>
      <c r="BF12" s="53" t="s">
        <v>158</v>
      </c>
      <c r="BG12" s="53" t="s">
        <v>158</v>
      </c>
      <c r="BH12" s="53" t="s">
        <v>158</v>
      </c>
      <c r="BI12" s="53">
        <v>60</v>
      </c>
      <c r="BJ12" s="53" t="s">
        <v>201</v>
      </c>
      <c r="BK12" s="53" t="s">
        <v>158</v>
      </c>
      <c r="BL12" s="53" t="s">
        <v>158</v>
      </c>
      <c r="BM12" s="53">
        <v>70</v>
      </c>
      <c r="BN12" s="53">
        <v>2</v>
      </c>
      <c r="BO12" s="53" t="s">
        <v>222</v>
      </c>
      <c r="BP12" s="53">
        <v>100</v>
      </c>
      <c r="BQ12" s="53" t="s">
        <v>171</v>
      </c>
      <c r="BR12" s="53"/>
      <c r="BS12" s="53" t="s">
        <v>80</v>
      </c>
      <c r="BT12" s="107">
        <v>80500</v>
      </c>
      <c r="BU12" s="107">
        <v>17500</v>
      </c>
      <c r="BV12" s="72" t="s">
        <v>234</v>
      </c>
      <c r="BW12" s="72" t="s">
        <v>228</v>
      </c>
      <c r="BX12" s="72" t="s">
        <v>240</v>
      </c>
      <c r="BY12" s="53"/>
      <c r="BZ12" s="55" t="s">
        <v>245</v>
      </c>
      <c r="CA12" s="53" t="s">
        <v>89</v>
      </c>
      <c r="CB12" s="53"/>
      <c r="CC12" s="53" t="s">
        <v>199</v>
      </c>
      <c r="CD12" s="53"/>
      <c r="CE12" s="53" t="s">
        <v>10</v>
      </c>
      <c r="CF12" s="53" t="s">
        <v>10</v>
      </c>
      <c r="CG12" s="53"/>
      <c r="CH12" s="53" t="s">
        <v>10</v>
      </c>
      <c r="CI12" s="53" t="s">
        <v>10</v>
      </c>
      <c r="CJ12" s="53"/>
      <c r="CK12" s="53" t="s">
        <v>252</v>
      </c>
      <c r="CL12" s="53" t="s">
        <v>10</v>
      </c>
      <c r="CM12" s="53" t="s">
        <v>10</v>
      </c>
      <c r="CN12" s="53" t="s">
        <v>10</v>
      </c>
      <c r="CO12" s="53"/>
      <c r="CP12" s="53" t="s">
        <v>161</v>
      </c>
      <c r="CQ12" s="53" t="s">
        <v>89</v>
      </c>
      <c r="CR12" s="53"/>
      <c r="CS12" s="53" t="s">
        <v>162</v>
      </c>
      <c r="CT12" s="53" t="s">
        <v>163</v>
      </c>
      <c r="CU12" s="53" t="s">
        <v>10</v>
      </c>
      <c r="CV12" s="53" t="s">
        <v>10</v>
      </c>
      <c r="CW12" s="53" t="s">
        <v>10</v>
      </c>
      <c r="CX12" s="53"/>
      <c r="CY12" s="53" t="s">
        <v>158</v>
      </c>
      <c r="CZ12" s="53">
        <v>1000</v>
      </c>
      <c r="DA12" s="53">
        <v>1500</v>
      </c>
      <c r="DB12" s="53"/>
      <c r="DC12" s="53" t="s">
        <v>158</v>
      </c>
      <c r="DD12" s="53" t="s">
        <v>164</v>
      </c>
      <c r="DE12" s="53"/>
      <c r="DF12" s="53" t="s">
        <v>257</v>
      </c>
      <c r="DG12" s="53" t="s">
        <v>165</v>
      </c>
      <c r="DH12" s="53" t="s">
        <v>257</v>
      </c>
      <c r="DI12" s="53" t="s">
        <v>166</v>
      </c>
      <c r="DJ12" s="53" t="s">
        <v>158</v>
      </c>
      <c r="DK12" s="54"/>
      <c r="DL12" s="54" t="s">
        <v>158</v>
      </c>
      <c r="DM12" s="54">
        <v>14</v>
      </c>
      <c r="DN12" s="54" t="s">
        <v>167</v>
      </c>
      <c r="DO12" s="54" t="s">
        <v>168</v>
      </c>
      <c r="DP12" s="54" t="s">
        <v>169</v>
      </c>
      <c r="DQ12" s="54"/>
      <c r="DR12" s="54"/>
      <c r="DS12" s="54" t="s">
        <v>10</v>
      </c>
      <c r="DT12" s="54" t="s">
        <v>10</v>
      </c>
      <c r="DU12" s="54" t="s">
        <v>10</v>
      </c>
      <c r="DV12" s="54" t="s">
        <v>138</v>
      </c>
      <c r="DW12" s="53"/>
      <c r="DX12" s="53" t="s">
        <v>262</v>
      </c>
      <c r="DY12" s="53" t="s">
        <v>10</v>
      </c>
      <c r="DZ12" s="53" t="s">
        <v>10</v>
      </c>
      <c r="EA12" s="53" t="s">
        <v>10</v>
      </c>
      <c r="EB12" s="53" t="s">
        <v>322</v>
      </c>
      <c r="EC12" s="53" t="s">
        <v>265</v>
      </c>
      <c r="ED12" s="53" t="s">
        <v>265</v>
      </c>
    </row>
    <row r="13" spans="1:134" ht="24" customHeight="1" x14ac:dyDescent="0.3">
      <c r="A13" s="58" t="s">
        <v>318</v>
      </c>
      <c r="B13" s="53"/>
      <c r="C13" s="53"/>
      <c r="D13" s="53" t="s">
        <v>10</v>
      </c>
      <c r="E13" s="53" t="s">
        <v>10</v>
      </c>
      <c r="F13" s="54" t="s">
        <v>10</v>
      </c>
      <c r="G13" s="53" t="s">
        <v>10</v>
      </c>
      <c r="H13" s="53" t="s">
        <v>10</v>
      </c>
      <c r="I13" s="53" t="s">
        <v>10</v>
      </c>
      <c r="J13" s="53" t="s">
        <v>311</v>
      </c>
      <c r="K13" s="53"/>
      <c r="L13" s="53">
        <v>200</v>
      </c>
      <c r="M13" s="53">
        <v>33</v>
      </c>
      <c r="N13" s="53">
        <v>420</v>
      </c>
      <c r="O13" s="53">
        <v>50</v>
      </c>
      <c r="P13" s="53" t="s">
        <v>143</v>
      </c>
      <c r="Q13" s="53" t="s">
        <v>144</v>
      </c>
      <c r="R13" s="53"/>
      <c r="S13" s="53">
        <v>200</v>
      </c>
      <c r="T13" s="53">
        <v>30</v>
      </c>
      <c r="U13" s="53">
        <v>70</v>
      </c>
      <c r="V13" s="53">
        <v>8</v>
      </c>
      <c r="W13" s="53"/>
      <c r="X13" s="53" t="s">
        <v>10</v>
      </c>
      <c r="Y13" s="53" t="s">
        <v>145</v>
      </c>
      <c r="Z13" s="53" t="s">
        <v>146</v>
      </c>
      <c r="AA13" s="53" t="s">
        <v>10</v>
      </c>
      <c r="AB13" s="53" t="s">
        <v>10</v>
      </c>
      <c r="AC13">
        <v>21</v>
      </c>
      <c r="AD13">
        <v>8</v>
      </c>
      <c r="AE13" t="s">
        <v>206</v>
      </c>
      <c r="AF13" s="53"/>
      <c r="AG13" s="53" t="s">
        <v>147</v>
      </c>
      <c r="AH13" s="53" t="s">
        <v>148</v>
      </c>
      <c r="AI13" s="53" t="s">
        <v>10</v>
      </c>
      <c r="AJ13" s="53" t="s">
        <v>10</v>
      </c>
      <c r="AK13" s="53"/>
      <c r="AL13" s="53" t="s">
        <v>149</v>
      </c>
      <c r="AM13" s="53" t="s">
        <v>197</v>
      </c>
      <c r="AN13" s="53"/>
      <c r="AO13" s="53" t="s">
        <v>158</v>
      </c>
      <c r="AP13" s="53" t="s">
        <v>158</v>
      </c>
      <c r="AQ13" s="53" t="s">
        <v>173</v>
      </c>
      <c r="AR13" s="53">
        <v>100</v>
      </c>
      <c r="AS13" s="53">
        <v>110</v>
      </c>
      <c r="AT13" s="53" t="s">
        <v>215</v>
      </c>
      <c r="AU13" s="53">
        <v>90</v>
      </c>
      <c r="AV13" s="53" t="s">
        <v>216</v>
      </c>
      <c r="AW13" s="53" t="s">
        <v>217</v>
      </c>
      <c r="AX13" s="53" t="s">
        <v>158</v>
      </c>
      <c r="AY13" s="53" t="s">
        <v>218</v>
      </c>
      <c r="AZ13" s="53" t="s">
        <v>208</v>
      </c>
      <c r="BA13" s="53"/>
      <c r="BB13" s="53" t="s">
        <v>10</v>
      </c>
      <c r="BC13" s="53" t="s">
        <v>10</v>
      </c>
      <c r="BD13" s="53" t="s">
        <v>10</v>
      </c>
      <c r="BE13" s="53" t="s">
        <v>157</v>
      </c>
      <c r="BF13" s="53" t="s">
        <v>158</v>
      </c>
      <c r="BG13" s="53" t="s">
        <v>158</v>
      </c>
      <c r="BH13" s="53" t="s">
        <v>158</v>
      </c>
      <c r="BI13" s="53">
        <v>60</v>
      </c>
      <c r="BJ13" s="53" t="s">
        <v>201</v>
      </c>
      <c r="BK13" s="53" t="s">
        <v>158</v>
      </c>
      <c r="BL13" s="53" t="s">
        <v>158</v>
      </c>
      <c r="BM13" s="53">
        <v>70</v>
      </c>
      <c r="BN13" s="53">
        <v>2</v>
      </c>
      <c r="BO13" s="53" t="s">
        <v>222</v>
      </c>
      <c r="BP13" s="53">
        <v>100</v>
      </c>
      <c r="BQ13" s="53" t="s">
        <v>171</v>
      </c>
      <c r="BR13" s="53"/>
      <c r="BS13" s="53" t="s">
        <v>80</v>
      </c>
      <c r="BT13" s="107">
        <v>80500</v>
      </c>
      <c r="BU13" s="107">
        <v>17500</v>
      </c>
      <c r="BV13" s="72" t="s">
        <v>234</v>
      </c>
      <c r="BW13" s="72" t="s">
        <v>228</v>
      </c>
      <c r="BX13" s="72" t="s">
        <v>240</v>
      </c>
      <c r="BY13" s="53"/>
      <c r="BZ13" s="55" t="s">
        <v>245</v>
      </c>
      <c r="CA13" s="53" t="s">
        <v>89</v>
      </c>
      <c r="CB13" s="53"/>
      <c r="CC13" s="53" t="s">
        <v>199</v>
      </c>
      <c r="CD13" s="53"/>
      <c r="CE13" s="53" t="s">
        <v>10</v>
      </c>
      <c r="CF13" s="53" t="s">
        <v>10</v>
      </c>
      <c r="CG13" s="53"/>
      <c r="CH13" s="53" t="s">
        <v>10</v>
      </c>
      <c r="CI13" s="53" t="s">
        <v>10</v>
      </c>
      <c r="CJ13" s="53"/>
      <c r="CK13" s="53" t="s">
        <v>252</v>
      </c>
      <c r="CL13" s="53" t="s">
        <v>10</v>
      </c>
      <c r="CM13" s="53" t="s">
        <v>10</v>
      </c>
      <c r="CN13" s="53" t="s">
        <v>10</v>
      </c>
      <c r="CO13" s="53"/>
      <c r="CP13" s="53" t="s">
        <v>161</v>
      </c>
      <c r="CQ13" s="53" t="s">
        <v>89</v>
      </c>
      <c r="CR13" s="53"/>
      <c r="CS13" s="53" t="s">
        <v>162</v>
      </c>
      <c r="CT13" s="53" t="s">
        <v>163</v>
      </c>
      <c r="CU13" s="53" t="s">
        <v>10</v>
      </c>
      <c r="CV13" s="53" t="s">
        <v>10</v>
      </c>
      <c r="CW13" s="53" t="s">
        <v>10</v>
      </c>
      <c r="CX13" s="53"/>
      <c r="CY13" s="53" t="s">
        <v>158</v>
      </c>
      <c r="CZ13" s="53">
        <v>1000</v>
      </c>
      <c r="DA13" s="53">
        <v>1500</v>
      </c>
      <c r="DB13" s="53"/>
      <c r="DC13" s="53" t="s">
        <v>158</v>
      </c>
      <c r="DD13" s="53" t="s">
        <v>164</v>
      </c>
      <c r="DE13" s="53"/>
      <c r="DF13" s="53" t="s">
        <v>257</v>
      </c>
      <c r="DG13" s="53" t="s">
        <v>165</v>
      </c>
      <c r="DH13" s="53" t="s">
        <v>257</v>
      </c>
      <c r="DI13" s="53" t="s">
        <v>166</v>
      </c>
      <c r="DJ13" s="53" t="s">
        <v>158</v>
      </c>
      <c r="DK13" s="54"/>
      <c r="DL13" s="54" t="s">
        <v>158</v>
      </c>
      <c r="DM13" s="54">
        <v>14</v>
      </c>
      <c r="DN13" s="54" t="s">
        <v>167</v>
      </c>
      <c r="DO13" s="54" t="s">
        <v>168</v>
      </c>
      <c r="DP13" s="54" t="s">
        <v>169</v>
      </c>
      <c r="DQ13" s="54"/>
      <c r="DR13" s="54"/>
      <c r="DS13" s="54" t="s">
        <v>10</v>
      </c>
      <c r="DT13" s="54" t="s">
        <v>10</v>
      </c>
      <c r="DU13" s="54" t="s">
        <v>10</v>
      </c>
      <c r="DV13" s="54" t="s">
        <v>138</v>
      </c>
      <c r="DW13" s="53"/>
      <c r="DX13" s="53" t="s">
        <v>262</v>
      </c>
      <c r="DY13" s="53" t="s">
        <v>10</v>
      </c>
      <c r="DZ13" s="53" t="s">
        <v>10</v>
      </c>
      <c r="EA13" s="53" t="s">
        <v>10</v>
      </c>
      <c r="EB13" s="53" t="s">
        <v>322</v>
      </c>
      <c r="EC13" s="53" t="s">
        <v>265</v>
      </c>
      <c r="ED13" s="53" t="s">
        <v>265</v>
      </c>
    </row>
    <row r="14" spans="1:134" ht="24" customHeight="1" x14ac:dyDescent="0.3">
      <c r="A14" s="56" t="s">
        <v>304</v>
      </c>
      <c r="B14" s="53"/>
      <c r="C14" s="59" t="s">
        <v>185</v>
      </c>
      <c r="D14" s="53" t="s">
        <v>10</v>
      </c>
      <c r="E14" s="53" t="s">
        <v>10</v>
      </c>
      <c r="F14" s="54" t="s">
        <v>10</v>
      </c>
      <c r="G14" s="53" t="s">
        <v>10</v>
      </c>
      <c r="H14" s="53" t="s">
        <v>10</v>
      </c>
      <c r="I14" s="53" t="s">
        <v>10</v>
      </c>
      <c r="J14" s="53" t="s">
        <v>311</v>
      </c>
      <c r="K14" s="53"/>
      <c r="L14" s="53">
        <v>315</v>
      </c>
      <c r="M14" s="53">
        <v>11</v>
      </c>
      <c r="N14" s="53">
        <v>420</v>
      </c>
      <c r="O14" s="53">
        <v>50</v>
      </c>
      <c r="P14" s="53" t="s">
        <v>143</v>
      </c>
      <c r="Q14" s="53" t="s">
        <v>144</v>
      </c>
      <c r="R14" s="53"/>
      <c r="S14" s="53">
        <v>95</v>
      </c>
      <c r="T14" s="53">
        <v>30</v>
      </c>
      <c r="U14" s="53">
        <v>28</v>
      </c>
      <c r="V14" s="53">
        <v>8</v>
      </c>
      <c r="W14" s="53"/>
      <c r="X14" s="53" t="s">
        <v>10</v>
      </c>
      <c r="Y14" s="53" t="s">
        <v>145</v>
      </c>
      <c r="Z14" s="53" t="s">
        <v>146</v>
      </c>
      <c r="AA14" s="53" t="s">
        <v>10</v>
      </c>
      <c r="AB14" s="53" t="s">
        <v>10</v>
      </c>
      <c r="AC14">
        <v>21</v>
      </c>
      <c r="AD14">
        <v>8</v>
      </c>
      <c r="AE14" t="s">
        <v>206</v>
      </c>
      <c r="AF14" s="53"/>
      <c r="AG14" s="53" t="s">
        <v>147</v>
      </c>
      <c r="AH14" s="53" t="s">
        <v>148</v>
      </c>
      <c r="AI14" s="53" t="s">
        <v>10</v>
      </c>
      <c r="AJ14" s="53" t="s">
        <v>10</v>
      </c>
      <c r="AK14" s="53"/>
      <c r="AL14" s="53" t="s">
        <v>149</v>
      </c>
      <c r="AM14" s="53" t="s">
        <v>197</v>
      </c>
      <c r="AN14" s="53"/>
      <c r="AO14" s="53" t="s">
        <v>158</v>
      </c>
      <c r="AP14" s="53" t="s">
        <v>158</v>
      </c>
      <c r="AQ14" s="53" t="s">
        <v>150</v>
      </c>
      <c r="AR14" s="53">
        <v>100</v>
      </c>
      <c r="AS14" s="53">
        <v>110</v>
      </c>
      <c r="AT14" s="53" t="s">
        <v>215</v>
      </c>
      <c r="AU14" s="53">
        <v>90</v>
      </c>
      <c r="AV14" s="53" t="s">
        <v>216</v>
      </c>
      <c r="AW14" s="53" t="s">
        <v>217</v>
      </c>
      <c r="AX14" s="53" t="s">
        <v>158</v>
      </c>
      <c r="AY14" s="53" t="s">
        <v>218</v>
      </c>
      <c r="AZ14" s="53" t="s">
        <v>208</v>
      </c>
      <c r="BA14" s="53"/>
      <c r="BB14" s="53" t="s">
        <v>10</v>
      </c>
      <c r="BC14" s="53" t="s">
        <v>10</v>
      </c>
      <c r="BD14" s="53" t="s">
        <v>10</v>
      </c>
      <c r="BE14" s="53" t="s">
        <v>157</v>
      </c>
      <c r="BF14" s="53" t="s">
        <v>158</v>
      </c>
      <c r="BG14" s="53" t="s">
        <v>158</v>
      </c>
      <c r="BH14" s="53" t="s">
        <v>158</v>
      </c>
      <c r="BI14" s="53">
        <v>60</v>
      </c>
      <c r="BJ14" s="53" t="s">
        <v>201</v>
      </c>
      <c r="BK14" s="53" t="s">
        <v>158</v>
      </c>
      <c r="BL14" s="53" t="s">
        <v>158</v>
      </c>
      <c r="BM14" s="53">
        <v>70</v>
      </c>
      <c r="BN14" s="53">
        <v>2</v>
      </c>
      <c r="BO14" s="53" t="s">
        <v>222</v>
      </c>
      <c r="BP14" s="53">
        <v>100</v>
      </c>
      <c r="BQ14" s="53" t="s">
        <v>223</v>
      </c>
      <c r="BR14" s="53"/>
      <c r="BS14" s="53" t="s">
        <v>80</v>
      </c>
      <c r="BT14" s="107">
        <v>80500</v>
      </c>
      <c r="BU14" s="107">
        <v>17500</v>
      </c>
      <c r="BV14" s="72" t="s">
        <v>235</v>
      </c>
      <c r="BW14" s="72" t="s">
        <v>229</v>
      </c>
      <c r="BX14" s="72" t="s">
        <v>241</v>
      </c>
      <c r="BY14" s="53"/>
      <c r="BZ14" s="55" t="s">
        <v>245</v>
      </c>
      <c r="CA14" s="53" t="s">
        <v>89</v>
      </c>
      <c r="CB14" s="53"/>
      <c r="CC14" s="55" t="s">
        <v>247</v>
      </c>
      <c r="CD14" s="53"/>
      <c r="CE14" s="53" t="s">
        <v>10</v>
      </c>
      <c r="CF14" s="53" t="s">
        <v>10</v>
      </c>
      <c r="CG14" s="53"/>
      <c r="CH14" s="53" t="s">
        <v>10</v>
      </c>
      <c r="CI14" s="53" t="s">
        <v>10</v>
      </c>
      <c r="CJ14" s="53"/>
      <c r="CK14" s="53" t="s">
        <v>252</v>
      </c>
      <c r="CL14" s="53" t="s">
        <v>10</v>
      </c>
      <c r="CM14" s="53" t="s">
        <v>10</v>
      </c>
      <c r="CN14" s="53" t="s">
        <v>10</v>
      </c>
      <c r="CO14" s="53"/>
      <c r="CP14" s="53" t="s">
        <v>161</v>
      </c>
      <c r="CQ14" s="53" t="s">
        <v>89</v>
      </c>
      <c r="CR14" s="53"/>
      <c r="CS14" s="53" t="s">
        <v>162</v>
      </c>
      <c r="CT14" s="53" t="s">
        <v>163</v>
      </c>
      <c r="CU14" s="53" t="s">
        <v>10</v>
      </c>
      <c r="CV14" s="53" t="s">
        <v>10</v>
      </c>
      <c r="CW14" s="53" t="s">
        <v>10</v>
      </c>
      <c r="CX14" s="53"/>
      <c r="CY14" s="53" t="s">
        <v>158</v>
      </c>
      <c r="CZ14" s="53">
        <v>1000</v>
      </c>
      <c r="DA14" s="53">
        <v>1500</v>
      </c>
      <c r="DB14" s="53"/>
      <c r="DC14" s="53" t="s">
        <v>158</v>
      </c>
      <c r="DD14" s="53" t="s">
        <v>164</v>
      </c>
      <c r="DE14" s="53"/>
      <c r="DF14" s="53" t="s">
        <v>257</v>
      </c>
      <c r="DG14" s="53" t="s">
        <v>165</v>
      </c>
      <c r="DH14" s="53" t="s">
        <v>257</v>
      </c>
      <c r="DI14" s="53" t="s">
        <v>166</v>
      </c>
      <c r="DJ14" s="53" t="s">
        <v>158</v>
      </c>
      <c r="DK14" s="54"/>
      <c r="DL14" s="54" t="s">
        <v>158</v>
      </c>
      <c r="DM14" s="54">
        <v>14</v>
      </c>
      <c r="DN14" s="54" t="s">
        <v>167</v>
      </c>
      <c r="DO14" s="54" t="s">
        <v>168</v>
      </c>
      <c r="DP14" s="54" t="s">
        <v>169</v>
      </c>
      <c r="DQ14" s="54"/>
      <c r="DR14" s="54"/>
      <c r="DS14" s="54" t="s">
        <v>10</v>
      </c>
      <c r="DT14" s="54" t="s">
        <v>10</v>
      </c>
      <c r="DU14" s="54" t="s">
        <v>10</v>
      </c>
      <c r="DV14" s="54" t="s">
        <v>138</v>
      </c>
      <c r="DW14" s="53"/>
      <c r="DX14" s="53" t="s">
        <v>262</v>
      </c>
      <c r="DY14" s="53" t="s">
        <v>10</v>
      </c>
      <c r="DZ14" s="53" t="s">
        <v>10</v>
      </c>
      <c r="EA14" s="53" t="s">
        <v>10</v>
      </c>
      <c r="EB14" s="53" t="s">
        <v>322</v>
      </c>
      <c r="EC14" s="53" t="s">
        <v>265</v>
      </c>
      <c r="ED14" s="53" t="s">
        <v>265</v>
      </c>
    </row>
    <row r="15" spans="1:134" ht="24" customHeight="1" x14ac:dyDescent="0.3">
      <c r="A15" s="56" t="s">
        <v>305</v>
      </c>
      <c r="B15" s="53"/>
      <c r="C15" s="59" t="s">
        <v>186</v>
      </c>
      <c r="D15" s="53" t="s">
        <v>10</v>
      </c>
      <c r="E15" s="53" t="s">
        <v>10</v>
      </c>
      <c r="F15" s="54" t="s">
        <v>10</v>
      </c>
      <c r="G15" s="53" t="s">
        <v>10</v>
      </c>
      <c r="H15" s="53" t="s">
        <v>10</v>
      </c>
      <c r="I15" s="53" t="s">
        <v>10</v>
      </c>
      <c r="J15" s="53" t="s">
        <v>311</v>
      </c>
      <c r="K15" s="53"/>
      <c r="L15" s="53">
        <v>315</v>
      </c>
      <c r="M15" s="53">
        <v>22</v>
      </c>
      <c r="N15" s="53">
        <v>420</v>
      </c>
      <c r="O15" s="53">
        <v>50</v>
      </c>
      <c r="P15" s="53" t="s">
        <v>143</v>
      </c>
      <c r="Q15" s="53" t="s">
        <v>144</v>
      </c>
      <c r="R15" s="53"/>
      <c r="S15" s="53">
        <v>150</v>
      </c>
      <c r="T15" s="53">
        <v>30</v>
      </c>
      <c r="U15" s="53">
        <v>50</v>
      </c>
      <c r="V15" s="53">
        <v>8</v>
      </c>
      <c r="W15" s="53"/>
      <c r="X15" s="53" t="s">
        <v>10</v>
      </c>
      <c r="Y15" s="53" t="s">
        <v>145</v>
      </c>
      <c r="Z15" s="53" t="s">
        <v>146</v>
      </c>
      <c r="AA15" s="53" t="s">
        <v>10</v>
      </c>
      <c r="AB15" s="53" t="s">
        <v>10</v>
      </c>
      <c r="AC15">
        <v>21</v>
      </c>
      <c r="AD15">
        <v>8</v>
      </c>
      <c r="AE15" t="s">
        <v>206</v>
      </c>
      <c r="AF15" s="53"/>
      <c r="AG15" s="53" t="s">
        <v>147</v>
      </c>
      <c r="AH15" s="53" t="s">
        <v>148</v>
      </c>
      <c r="AI15" s="53" t="s">
        <v>10</v>
      </c>
      <c r="AJ15" s="53" t="s">
        <v>10</v>
      </c>
      <c r="AK15" s="53"/>
      <c r="AL15" s="53" t="s">
        <v>149</v>
      </c>
      <c r="AM15" s="53" t="s">
        <v>197</v>
      </c>
      <c r="AN15" s="53"/>
      <c r="AO15" s="53" t="s">
        <v>158</v>
      </c>
      <c r="AP15" s="53" t="s">
        <v>158</v>
      </c>
      <c r="AQ15" s="53" t="s">
        <v>173</v>
      </c>
      <c r="AR15" s="53">
        <v>100</v>
      </c>
      <c r="AS15" s="53">
        <v>110</v>
      </c>
      <c r="AT15" s="53" t="s">
        <v>215</v>
      </c>
      <c r="AU15" s="53">
        <v>90</v>
      </c>
      <c r="AV15" s="53" t="s">
        <v>216</v>
      </c>
      <c r="AW15" s="53" t="s">
        <v>217</v>
      </c>
      <c r="AX15" s="53" t="s">
        <v>158</v>
      </c>
      <c r="AY15" s="53" t="s">
        <v>218</v>
      </c>
      <c r="AZ15" s="53" t="s">
        <v>208</v>
      </c>
      <c r="BA15" s="53"/>
      <c r="BB15" s="53" t="s">
        <v>10</v>
      </c>
      <c r="BC15" s="53" t="s">
        <v>10</v>
      </c>
      <c r="BD15" s="53" t="s">
        <v>10</v>
      </c>
      <c r="BE15" s="53" t="s">
        <v>157</v>
      </c>
      <c r="BF15" s="53" t="s">
        <v>158</v>
      </c>
      <c r="BG15" s="53" t="s">
        <v>158</v>
      </c>
      <c r="BH15" s="53" t="s">
        <v>158</v>
      </c>
      <c r="BI15" s="53">
        <v>60</v>
      </c>
      <c r="BJ15" s="53" t="s">
        <v>201</v>
      </c>
      <c r="BK15" s="53" t="s">
        <v>158</v>
      </c>
      <c r="BL15" s="53" t="s">
        <v>158</v>
      </c>
      <c r="BM15" s="53">
        <v>70</v>
      </c>
      <c r="BN15" s="53">
        <v>2</v>
      </c>
      <c r="BO15" s="53" t="s">
        <v>222</v>
      </c>
      <c r="BP15" s="53">
        <v>100</v>
      </c>
      <c r="BQ15" s="53" t="s">
        <v>223</v>
      </c>
      <c r="BR15" s="53"/>
      <c r="BS15" s="53" t="s">
        <v>80</v>
      </c>
      <c r="BT15" s="107">
        <v>80500</v>
      </c>
      <c r="BU15" s="107">
        <v>17500</v>
      </c>
      <c r="BV15" s="72" t="s">
        <v>235</v>
      </c>
      <c r="BW15" s="72" t="s">
        <v>229</v>
      </c>
      <c r="BX15" s="72" t="s">
        <v>241</v>
      </c>
      <c r="BY15" s="53"/>
      <c r="BZ15" s="55" t="s">
        <v>245</v>
      </c>
      <c r="CA15" s="53" t="s">
        <v>89</v>
      </c>
      <c r="CB15" s="53"/>
      <c r="CC15" s="55" t="s">
        <v>247</v>
      </c>
      <c r="CD15" s="53"/>
      <c r="CE15" s="53" t="s">
        <v>10</v>
      </c>
      <c r="CF15" s="53" t="s">
        <v>10</v>
      </c>
      <c r="CG15" s="53"/>
      <c r="CH15" s="53" t="s">
        <v>10</v>
      </c>
      <c r="CI15" s="53" t="s">
        <v>10</v>
      </c>
      <c r="CJ15" s="53"/>
      <c r="CK15" s="53" t="s">
        <v>252</v>
      </c>
      <c r="CL15" s="53" t="s">
        <v>10</v>
      </c>
      <c r="CM15" s="53" t="s">
        <v>10</v>
      </c>
      <c r="CN15" s="53" t="s">
        <v>10</v>
      </c>
      <c r="CO15" s="53"/>
      <c r="CP15" s="53" t="s">
        <v>161</v>
      </c>
      <c r="CQ15" s="53" t="s">
        <v>89</v>
      </c>
      <c r="CR15" s="53"/>
      <c r="CS15" s="53" t="s">
        <v>162</v>
      </c>
      <c r="CT15" s="53" t="s">
        <v>163</v>
      </c>
      <c r="CU15" s="53" t="s">
        <v>10</v>
      </c>
      <c r="CV15" s="53" t="s">
        <v>10</v>
      </c>
      <c r="CW15" s="53" t="s">
        <v>10</v>
      </c>
      <c r="CX15" s="53"/>
      <c r="CY15" s="53" t="s">
        <v>158</v>
      </c>
      <c r="CZ15" s="53">
        <v>1000</v>
      </c>
      <c r="DA15" s="53">
        <v>1500</v>
      </c>
      <c r="DB15" s="53"/>
      <c r="DC15" s="53" t="s">
        <v>158</v>
      </c>
      <c r="DD15" s="53" t="s">
        <v>164</v>
      </c>
      <c r="DE15" s="53"/>
      <c r="DF15" s="53" t="s">
        <v>257</v>
      </c>
      <c r="DG15" s="53" t="s">
        <v>165</v>
      </c>
      <c r="DH15" s="53" t="s">
        <v>257</v>
      </c>
      <c r="DI15" s="53" t="s">
        <v>166</v>
      </c>
      <c r="DJ15" s="53" t="s">
        <v>158</v>
      </c>
      <c r="DK15" s="54"/>
      <c r="DL15" s="54" t="s">
        <v>158</v>
      </c>
      <c r="DM15" s="54">
        <v>14</v>
      </c>
      <c r="DN15" s="54" t="s">
        <v>167</v>
      </c>
      <c r="DO15" s="54" t="s">
        <v>168</v>
      </c>
      <c r="DP15" s="54" t="s">
        <v>169</v>
      </c>
      <c r="DQ15" s="54"/>
      <c r="DR15" s="54"/>
      <c r="DS15" s="54" t="s">
        <v>10</v>
      </c>
      <c r="DT15" s="54" t="s">
        <v>10</v>
      </c>
      <c r="DU15" s="54" t="s">
        <v>10</v>
      </c>
      <c r="DV15" s="54" t="s">
        <v>138</v>
      </c>
      <c r="DW15" s="53"/>
      <c r="DX15" s="53" t="s">
        <v>262</v>
      </c>
      <c r="DY15" s="53" t="s">
        <v>10</v>
      </c>
      <c r="DZ15" s="53" t="s">
        <v>10</v>
      </c>
      <c r="EA15" s="53" t="s">
        <v>10</v>
      </c>
      <c r="EB15" s="53" t="s">
        <v>322</v>
      </c>
      <c r="EC15" s="53" t="s">
        <v>265</v>
      </c>
      <c r="ED15" s="53" t="s">
        <v>265</v>
      </c>
    </row>
    <row r="16" spans="1:134" ht="24" customHeight="1" x14ac:dyDescent="0.3">
      <c r="A16" s="58" t="s">
        <v>319</v>
      </c>
      <c r="B16" s="53"/>
      <c r="C16" s="53"/>
      <c r="D16" s="53" t="s">
        <v>10</v>
      </c>
      <c r="E16" s="53" t="s">
        <v>10</v>
      </c>
      <c r="F16" s="54" t="s">
        <v>10</v>
      </c>
      <c r="G16" s="53" t="s">
        <v>10</v>
      </c>
      <c r="H16" s="53" t="s">
        <v>10</v>
      </c>
      <c r="I16" s="53" t="s">
        <v>10</v>
      </c>
      <c r="J16" s="53" t="s">
        <v>311</v>
      </c>
      <c r="K16" s="53"/>
      <c r="L16" s="53">
        <v>315</v>
      </c>
      <c r="M16" s="53">
        <v>33</v>
      </c>
      <c r="N16" s="53">
        <v>420</v>
      </c>
      <c r="O16" s="53">
        <v>50</v>
      </c>
      <c r="P16" s="53" t="s">
        <v>143</v>
      </c>
      <c r="Q16" s="53" t="s">
        <v>144</v>
      </c>
      <c r="R16" s="53"/>
      <c r="S16" s="53">
        <v>200</v>
      </c>
      <c r="T16" s="53">
        <v>30</v>
      </c>
      <c r="U16" s="53">
        <v>70</v>
      </c>
      <c r="V16" s="53">
        <v>8</v>
      </c>
      <c r="W16" s="53"/>
      <c r="X16" s="53" t="s">
        <v>10</v>
      </c>
      <c r="Y16" s="53" t="s">
        <v>145</v>
      </c>
      <c r="Z16" s="53" t="s">
        <v>146</v>
      </c>
      <c r="AA16" s="53" t="s">
        <v>10</v>
      </c>
      <c r="AB16" s="53" t="s">
        <v>10</v>
      </c>
      <c r="AC16">
        <v>21</v>
      </c>
      <c r="AD16">
        <v>8</v>
      </c>
      <c r="AE16" t="s">
        <v>206</v>
      </c>
      <c r="AF16" s="53"/>
      <c r="AG16" s="53" t="s">
        <v>147</v>
      </c>
      <c r="AH16" s="53" t="s">
        <v>148</v>
      </c>
      <c r="AI16" s="53" t="s">
        <v>10</v>
      </c>
      <c r="AJ16" s="53" t="s">
        <v>10</v>
      </c>
      <c r="AK16" s="53"/>
      <c r="AL16" s="53" t="s">
        <v>149</v>
      </c>
      <c r="AM16" s="53" t="s">
        <v>197</v>
      </c>
      <c r="AN16" s="53"/>
      <c r="AO16" s="53" t="s">
        <v>158</v>
      </c>
      <c r="AP16" s="53" t="s">
        <v>158</v>
      </c>
      <c r="AQ16" s="53" t="s">
        <v>173</v>
      </c>
      <c r="AR16" s="53">
        <v>100</v>
      </c>
      <c r="AS16" s="53">
        <v>110</v>
      </c>
      <c r="AT16" s="53" t="s">
        <v>215</v>
      </c>
      <c r="AU16" s="53">
        <v>90</v>
      </c>
      <c r="AV16" s="53" t="s">
        <v>216</v>
      </c>
      <c r="AW16" s="53" t="s">
        <v>217</v>
      </c>
      <c r="AX16" s="53" t="s">
        <v>158</v>
      </c>
      <c r="AY16" s="53" t="s">
        <v>218</v>
      </c>
      <c r="AZ16" s="53" t="s">
        <v>208</v>
      </c>
      <c r="BA16" s="53"/>
      <c r="BB16" s="53" t="s">
        <v>10</v>
      </c>
      <c r="BC16" s="53" t="s">
        <v>10</v>
      </c>
      <c r="BD16" s="53" t="s">
        <v>10</v>
      </c>
      <c r="BE16" s="53" t="s">
        <v>157</v>
      </c>
      <c r="BF16" s="53" t="s">
        <v>158</v>
      </c>
      <c r="BG16" s="53" t="s">
        <v>158</v>
      </c>
      <c r="BH16" s="53" t="s">
        <v>158</v>
      </c>
      <c r="BI16" s="53">
        <v>60</v>
      </c>
      <c r="BJ16" s="53" t="s">
        <v>201</v>
      </c>
      <c r="BK16" s="53" t="s">
        <v>158</v>
      </c>
      <c r="BL16" s="53" t="s">
        <v>158</v>
      </c>
      <c r="BM16" s="53">
        <v>70</v>
      </c>
      <c r="BN16" s="53">
        <v>2</v>
      </c>
      <c r="BO16" s="53" t="s">
        <v>222</v>
      </c>
      <c r="BP16" s="53">
        <v>100</v>
      </c>
      <c r="BQ16" s="53" t="s">
        <v>223</v>
      </c>
      <c r="BR16" s="53"/>
      <c r="BS16" s="53" t="s">
        <v>80</v>
      </c>
      <c r="BT16" s="107">
        <v>80500</v>
      </c>
      <c r="BU16" s="107">
        <v>17500</v>
      </c>
      <c r="BV16" s="72" t="s">
        <v>235</v>
      </c>
      <c r="BW16" s="72" t="s">
        <v>229</v>
      </c>
      <c r="BX16" s="72" t="s">
        <v>241</v>
      </c>
      <c r="BY16" s="53"/>
      <c r="BZ16" s="55" t="s">
        <v>245</v>
      </c>
      <c r="CA16" s="53" t="s">
        <v>89</v>
      </c>
      <c r="CB16" s="53"/>
      <c r="CC16" s="55" t="s">
        <v>247</v>
      </c>
      <c r="CD16" s="53"/>
      <c r="CE16" s="53" t="s">
        <v>10</v>
      </c>
      <c r="CF16" s="53" t="s">
        <v>10</v>
      </c>
      <c r="CG16" s="53"/>
      <c r="CH16" s="53" t="s">
        <v>10</v>
      </c>
      <c r="CI16" s="53" t="s">
        <v>10</v>
      </c>
      <c r="CJ16" s="53"/>
      <c r="CK16" s="53" t="s">
        <v>252</v>
      </c>
      <c r="CL16" s="53" t="s">
        <v>10</v>
      </c>
      <c r="CM16" s="53" t="s">
        <v>10</v>
      </c>
      <c r="CN16" s="53" t="s">
        <v>10</v>
      </c>
      <c r="CO16" s="53"/>
      <c r="CP16" s="53" t="s">
        <v>161</v>
      </c>
      <c r="CQ16" s="53" t="s">
        <v>89</v>
      </c>
      <c r="CR16" s="53"/>
      <c r="CS16" s="53" t="s">
        <v>162</v>
      </c>
      <c r="CT16" s="53" t="s">
        <v>163</v>
      </c>
      <c r="CU16" s="53" t="s">
        <v>10</v>
      </c>
      <c r="CV16" s="53" t="s">
        <v>10</v>
      </c>
      <c r="CW16" s="53" t="s">
        <v>10</v>
      </c>
      <c r="CX16" s="53"/>
      <c r="CY16" s="53" t="s">
        <v>158</v>
      </c>
      <c r="CZ16" s="53">
        <v>1000</v>
      </c>
      <c r="DA16" s="53">
        <v>1500</v>
      </c>
      <c r="DB16" s="53"/>
      <c r="DC16" s="53" t="s">
        <v>158</v>
      </c>
      <c r="DD16" s="53" t="s">
        <v>164</v>
      </c>
      <c r="DE16" s="53"/>
      <c r="DF16" s="53" t="s">
        <v>257</v>
      </c>
      <c r="DG16" s="53" t="s">
        <v>165</v>
      </c>
      <c r="DH16" s="53" t="s">
        <v>257</v>
      </c>
      <c r="DI16" s="53" t="s">
        <v>166</v>
      </c>
      <c r="DJ16" s="53" t="s">
        <v>158</v>
      </c>
      <c r="DK16" s="54"/>
      <c r="DL16" s="54" t="s">
        <v>158</v>
      </c>
      <c r="DM16" s="54">
        <v>14</v>
      </c>
      <c r="DN16" s="54" t="s">
        <v>167</v>
      </c>
      <c r="DO16" s="54" t="s">
        <v>168</v>
      </c>
      <c r="DP16" s="54" t="s">
        <v>169</v>
      </c>
      <c r="DQ16" s="54"/>
      <c r="DR16" s="54"/>
      <c r="DS16" s="54" t="s">
        <v>10</v>
      </c>
      <c r="DT16" s="54" t="s">
        <v>10</v>
      </c>
      <c r="DU16" s="54" t="s">
        <v>10</v>
      </c>
      <c r="DV16" s="54" t="s">
        <v>138</v>
      </c>
      <c r="DW16" s="53"/>
      <c r="DX16" s="53" t="s">
        <v>262</v>
      </c>
      <c r="DY16" s="53" t="s">
        <v>10</v>
      </c>
      <c r="DZ16" s="53" t="s">
        <v>10</v>
      </c>
      <c r="EA16" s="53" t="s">
        <v>10</v>
      </c>
      <c r="EB16" s="53" t="s">
        <v>322</v>
      </c>
      <c r="EC16" s="53" t="s">
        <v>265</v>
      </c>
      <c r="ED16" s="53" t="s">
        <v>265</v>
      </c>
    </row>
    <row r="17" spans="1:134" ht="24" customHeight="1" x14ac:dyDescent="0.3">
      <c r="A17" s="56" t="s">
        <v>306</v>
      </c>
      <c r="B17" s="53"/>
      <c r="C17" s="59" t="s">
        <v>189</v>
      </c>
      <c r="D17" s="53" t="s">
        <v>10</v>
      </c>
      <c r="E17" s="53" t="s">
        <v>10</v>
      </c>
      <c r="F17" s="54" t="s">
        <v>10</v>
      </c>
      <c r="G17" s="53" t="s">
        <v>10</v>
      </c>
      <c r="H17" s="53" t="s">
        <v>10</v>
      </c>
      <c r="I17" s="53" t="s">
        <v>10</v>
      </c>
      <c r="J17" s="53" t="s">
        <v>311</v>
      </c>
      <c r="K17" s="53"/>
      <c r="L17" s="53">
        <v>500</v>
      </c>
      <c r="M17" s="53">
        <v>11</v>
      </c>
      <c r="N17" s="53">
        <v>420</v>
      </c>
      <c r="O17" s="53">
        <v>50</v>
      </c>
      <c r="P17" s="53" t="s">
        <v>143</v>
      </c>
      <c r="Q17" s="53" t="s">
        <v>144</v>
      </c>
      <c r="R17" s="53"/>
      <c r="S17" s="53">
        <v>95</v>
      </c>
      <c r="T17" s="53">
        <v>30</v>
      </c>
      <c r="U17" s="53">
        <v>28</v>
      </c>
      <c r="V17" s="53">
        <v>8</v>
      </c>
      <c r="W17" s="53"/>
      <c r="X17" s="53" t="s">
        <v>10</v>
      </c>
      <c r="Y17" s="53" t="s">
        <v>145</v>
      </c>
      <c r="Z17" s="53" t="s">
        <v>146</v>
      </c>
      <c r="AA17" s="53" t="s">
        <v>10</v>
      </c>
      <c r="AB17" s="53" t="s">
        <v>10</v>
      </c>
      <c r="AC17">
        <v>21</v>
      </c>
      <c r="AD17">
        <v>8</v>
      </c>
      <c r="AE17" t="s">
        <v>206</v>
      </c>
      <c r="AF17" s="53"/>
      <c r="AG17" s="53" t="s">
        <v>147</v>
      </c>
      <c r="AH17" s="53" t="s">
        <v>148</v>
      </c>
      <c r="AI17" s="53" t="s">
        <v>10</v>
      </c>
      <c r="AJ17" s="53" t="s">
        <v>10</v>
      </c>
      <c r="AK17" s="53"/>
      <c r="AL17" s="53" t="s">
        <v>149</v>
      </c>
      <c r="AM17" s="53" t="s">
        <v>197</v>
      </c>
      <c r="AN17" s="53"/>
      <c r="AO17" s="53" t="s">
        <v>158</v>
      </c>
      <c r="AP17" s="53" t="s">
        <v>158</v>
      </c>
      <c r="AQ17" s="53" t="s">
        <v>150</v>
      </c>
      <c r="AR17" s="53">
        <v>100</v>
      </c>
      <c r="AS17" s="53">
        <v>110</v>
      </c>
      <c r="AT17" s="53" t="s">
        <v>215</v>
      </c>
      <c r="AU17" s="53">
        <v>90</v>
      </c>
      <c r="AV17" s="53" t="s">
        <v>216</v>
      </c>
      <c r="AW17" s="53" t="s">
        <v>217</v>
      </c>
      <c r="AX17" s="53" t="s">
        <v>158</v>
      </c>
      <c r="AY17" s="53" t="s">
        <v>218</v>
      </c>
      <c r="AZ17" s="53" t="s">
        <v>208</v>
      </c>
      <c r="BA17" s="53"/>
      <c r="BB17" s="53" t="s">
        <v>10</v>
      </c>
      <c r="BC17" s="53" t="s">
        <v>10</v>
      </c>
      <c r="BD17" s="53" t="s">
        <v>10</v>
      </c>
      <c r="BE17" s="53" t="s">
        <v>157</v>
      </c>
      <c r="BF17" s="53" t="s">
        <v>158</v>
      </c>
      <c r="BG17" s="53" t="s">
        <v>158</v>
      </c>
      <c r="BH17" s="53" t="s">
        <v>158</v>
      </c>
      <c r="BI17" s="53">
        <v>60</v>
      </c>
      <c r="BJ17" s="53" t="s">
        <v>201</v>
      </c>
      <c r="BK17" s="53" t="s">
        <v>158</v>
      </c>
      <c r="BL17" s="53" t="s">
        <v>158</v>
      </c>
      <c r="BM17" s="53">
        <v>70</v>
      </c>
      <c r="BN17" s="53">
        <v>3</v>
      </c>
      <c r="BO17" s="53" t="s">
        <v>222</v>
      </c>
      <c r="BP17" s="53">
        <v>100</v>
      </c>
      <c r="BQ17" s="53" t="s">
        <v>223</v>
      </c>
      <c r="BR17" s="53"/>
      <c r="BS17" s="53" t="s">
        <v>80</v>
      </c>
      <c r="BT17" s="107">
        <v>80500</v>
      </c>
      <c r="BU17" s="107">
        <v>17500</v>
      </c>
      <c r="BV17" s="72" t="s">
        <v>236</v>
      </c>
      <c r="BW17" s="72" t="s">
        <v>230</v>
      </c>
      <c r="BX17" s="72" t="s">
        <v>242</v>
      </c>
      <c r="BY17" s="53"/>
      <c r="BZ17" s="55" t="s">
        <v>246</v>
      </c>
      <c r="CA17" s="53" t="s">
        <v>89</v>
      </c>
      <c r="CB17" s="53"/>
      <c r="CC17" s="55" t="s">
        <v>248</v>
      </c>
      <c r="CD17" s="53"/>
      <c r="CE17" s="53" t="s">
        <v>10</v>
      </c>
      <c r="CF17" s="53" t="s">
        <v>10</v>
      </c>
      <c r="CG17" s="53"/>
      <c r="CH17" s="53" t="s">
        <v>10</v>
      </c>
      <c r="CI17" s="53" t="s">
        <v>10</v>
      </c>
      <c r="CJ17" s="53"/>
      <c r="CK17" s="53" t="s">
        <v>252</v>
      </c>
      <c r="CL17" s="53" t="s">
        <v>10</v>
      </c>
      <c r="CM17" s="53" t="s">
        <v>10</v>
      </c>
      <c r="CN17" s="53" t="s">
        <v>10</v>
      </c>
      <c r="CO17" s="53"/>
      <c r="CP17" s="53" t="s">
        <v>161</v>
      </c>
      <c r="CQ17" s="53" t="s">
        <v>89</v>
      </c>
      <c r="CR17" s="53"/>
      <c r="CS17" s="53" t="s">
        <v>162</v>
      </c>
      <c r="CT17" s="53" t="s">
        <v>163</v>
      </c>
      <c r="CU17" s="53" t="s">
        <v>10</v>
      </c>
      <c r="CV17" s="53" t="s">
        <v>10</v>
      </c>
      <c r="CW17" s="53" t="s">
        <v>10</v>
      </c>
      <c r="CX17" s="53"/>
      <c r="CY17" s="53" t="s">
        <v>158</v>
      </c>
      <c r="CZ17" s="53">
        <v>1000</v>
      </c>
      <c r="DA17" s="53">
        <v>1500</v>
      </c>
      <c r="DB17" s="53"/>
      <c r="DC17" s="53" t="s">
        <v>158</v>
      </c>
      <c r="DD17" s="53" t="s">
        <v>164</v>
      </c>
      <c r="DE17" s="53"/>
      <c r="DF17" s="53" t="s">
        <v>257</v>
      </c>
      <c r="DG17" s="53" t="s">
        <v>165</v>
      </c>
      <c r="DH17" s="53" t="s">
        <v>257</v>
      </c>
      <c r="DI17" s="53" t="s">
        <v>166</v>
      </c>
      <c r="DJ17" s="53" t="s">
        <v>158</v>
      </c>
      <c r="DK17" s="54"/>
      <c r="DL17" s="54" t="s">
        <v>158</v>
      </c>
      <c r="DM17" s="54">
        <v>14</v>
      </c>
      <c r="DN17" s="54" t="s">
        <v>167</v>
      </c>
      <c r="DO17" s="54" t="s">
        <v>168</v>
      </c>
      <c r="DP17" s="54" t="s">
        <v>169</v>
      </c>
      <c r="DQ17" s="54"/>
      <c r="DR17" s="54"/>
      <c r="DS17" s="54" t="s">
        <v>10</v>
      </c>
      <c r="DT17" s="54" t="s">
        <v>10</v>
      </c>
      <c r="DU17" s="54" t="s">
        <v>10</v>
      </c>
      <c r="DV17" s="54" t="s">
        <v>138</v>
      </c>
      <c r="DW17" s="53"/>
      <c r="DX17" s="53" t="s">
        <v>262</v>
      </c>
      <c r="DY17" s="53" t="s">
        <v>10</v>
      </c>
      <c r="DZ17" s="53" t="s">
        <v>10</v>
      </c>
      <c r="EA17" s="53" t="s">
        <v>10</v>
      </c>
      <c r="EB17" s="53" t="s">
        <v>322</v>
      </c>
      <c r="EC17" s="53" t="s">
        <v>265</v>
      </c>
      <c r="ED17" s="53" t="s">
        <v>265</v>
      </c>
    </row>
    <row r="18" spans="1:134" ht="24" customHeight="1" x14ac:dyDescent="0.3">
      <c r="A18" s="56" t="s">
        <v>307</v>
      </c>
      <c r="B18" s="53"/>
      <c r="C18" s="59" t="s">
        <v>190</v>
      </c>
      <c r="D18" s="53" t="s">
        <v>10</v>
      </c>
      <c r="E18" s="53" t="s">
        <v>10</v>
      </c>
      <c r="F18" s="54" t="s">
        <v>10</v>
      </c>
      <c r="G18" s="53" t="s">
        <v>10</v>
      </c>
      <c r="H18" s="53" t="s">
        <v>10</v>
      </c>
      <c r="I18" s="53" t="s">
        <v>10</v>
      </c>
      <c r="J18" s="53" t="s">
        <v>311</v>
      </c>
      <c r="K18" s="53"/>
      <c r="L18" s="53">
        <v>500</v>
      </c>
      <c r="M18" s="53">
        <v>22</v>
      </c>
      <c r="N18" s="53">
        <v>420</v>
      </c>
      <c r="O18" s="53">
        <v>50</v>
      </c>
      <c r="P18" s="53" t="s">
        <v>143</v>
      </c>
      <c r="Q18" s="53" t="s">
        <v>144</v>
      </c>
      <c r="R18" s="53"/>
      <c r="S18" s="53">
        <v>150</v>
      </c>
      <c r="T18" s="53">
        <v>30</v>
      </c>
      <c r="U18" s="53">
        <v>50</v>
      </c>
      <c r="V18" s="53">
        <v>8</v>
      </c>
      <c r="W18" s="53"/>
      <c r="X18" s="53" t="s">
        <v>10</v>
      </c>
      <c r="Y18" s="53" t="s">
        <v>145</v>
      </c>
      <c r="Z18" s="53" t="s">
        <v>146</v>
      </c>
      <c r="AA18" s="53" t="s">
        <v>10</v>
      </c>
      <c r="AB18" s="53" t="s">
        <v>10</v>
      </c>
      <c r="AC18">
        <v>21</v>
      </c>
      <c r="AD18">
        <v>8</v>
      </c>
      <c r="AE18" t="s">
        <v>206</v>
      </c>
      <c r="AF18" s="53"/>
      <c r="AG18" s="53" t="s">
        <v>147</v>
      </c>
      <c r="AH18" s="53" t="s">
        <v>148</v>
      </c>
      <c r="AI18" s="53" t="s">
        <v>10</v>
      </c>
      <c r="AJ18" s="53" t="s">
        <v>10</v>
      </c>
      <c r="AK18" s="53"/>
      <c r="AL18" s="53" t="s">
        <v>149</v>
      </c>
      <c r="AM18" s="53" t="s">
        <v>197</v>
      </c>
      <c r="AN18" s="53"/>
      <c r="AO18" s="53" t="s">
        <v>158</v>
      </c>
      <c r="AP18" s="53" t="s">
        <v>158</v>
      </c>
      <c r="AQ18" s="53" t="s">
        <v>173</v>
      </c>
      <c r="AR18" s="53">
        <v>100</v>
      </c>
      <c r="AS18" s="53">
        <v>110</v>
      </c>
      <c r="AT18" s="53" t="s">
        <v>215</v>
      </c>
      <c r="AU18" s="53">
        <v>90</v>
      </c>
      <c r="AV18" s="53" t="s">
        <v>216</v>
      </c>
      <c r="AW18" s="53" t="s">
        <v>217</v>
      </c>
      <c r="AX18" s="53" t="s">
        <v>158</v>
      </c>
      <c r="AY18" s="53" t="s">
        <v>218</v>
      </c>
      <c r="AZ18" s="53" t="s">
        <v>208</v>
      </c>
      <c r="BA18" s="53"/>
      <c r="BB18" s="53" t="s">
        <v>10</v>
      </c>
      <c r="BC18" s="53" t="s">
        <v>10</v>
      </c>
      <c r="BD18" s="53" t="s">
        <v>10</v>
      </c>
      <c r="BE18" s="53" t="s">
        <v>157</v>
      </c>
      <c r="BF18" s="53" t="s">
        <v>158</v>
      </c>
      <c r="BG18" s="53" t="s">
        <v>158</v>
      </c>
      <c r="BH18" s="53" t="s">
        <v>158</v>
      </c>
      <c r="BI18" s="53">
        <v>60</v>
      </c>
      <c r="BJ18" s="53" t="s">
        <v>201</v>
      </c>
      <c r="BK18" s="53" t="s">
        <v>158</v>
      </c>
      <c r="BL18" s="53" t="s">
        <v>158</v>
      </c>
      <c r="BM18" s="53">
        <v>70</v>
      </c>
      <c r="BN18" s="53">
        <v>3</v>
      </c>
      <c r="BO18" s="53" t="s">
        <v>222</v>
      </c>
      <c r="BP18" s="53">
        <v>100</v>
      </c>
      <c r="BQ18" s="53" t="s">
        <v>223</v>
      </c>
      <c r="BR18" s="53"/>
      <c r="BS18" s="53" t="s">
        <v>80</v>
      </c>
      <c r="BT18" s="107">
        <v>80500</v>
      </c>
      <c r="BU18" s="107">
        <v>17500</v>
      </c>
      <c r="BV18" s="72" t="s">
        <v>236</v>
      </c>
      <c r="BW18" s="72" t="s">
        <v>230</v>
      </c>
      <c r="BX18" s="72" t="s">
        <v>242</v>
      </c>
      <c r="BY18" s="53"/>
      <c r="BZ18" s="55" t="s">
        <v>246</v>
      </c>
      <c r="CA18" s="53" t="s">
        <v>89</v>
      </c>
      <c r="CB18" s="53"/>
      <c r="CC18" s="55" t="s">
        <v>248</v>
      </c>
      <c r="CD18" s="53"/>
      <c r="CE18" s="53" t="s">
        <v>10</v>
      </c>
      <c r="CF18" s="53" t="s">
        <v>10</v>
      </c>
      <c r="CG18" s="53"/>
      <c r="CH18" s="53" t="s">
        <v>10</v>
      </c>
      <c r="CI18" s="53" t="s">
        <v>10</v>
      </c>
      <c r="CJ18" s="53"/>
      <c r="CK18" s="53" t="s">
        <v>252</v>
      </c>
      <c r="CL18" s="53" t="s">
        <v>10</v>
      </c>
      <c r="CM18" s="53" t="s">
        <v>10</v>
      </c>
      <c r="CN18" s="53" t="s">
        <v>10</v>
      </c>
      <c r="CO18" s="53"/>
      <c r="CP18" s="53" t="s">
        <v>161</v>
      </c>
      <c r="CQ18" s="53" t="s">
        <v>89</v>
      </c>
      <c r="CR18" s="53"/>
      <c r="CS18" s="53" t="s">
        <v>162</v>
      </c>
      <c r="CT18" s="53" t="s">
        <v>163</v>
      </c>
      <c r="CU18" s="53" t="s">
        <v>10</v>
      </c>
      <c r="CV18" s="53" t="s">
        <v>10</v>
      </c>
      <c r="CW18" s="53" t="s">
        <v>10</v>
      </c>
      <c r="CX18" s="53"/>
      <c r="CY18" s="53" t="s">
        <v>158</v>
      </c>
      <c r="CZ18" s="53">
        <v>1000</v>
      </c>
      <c r="DA18" s="53">
        <v>1500</v>
      </c>
      <c r="DB18" s="53"/>
      <c r="DC18" s="53" t="s">
        <v>158</v>
      </c>
      <c r="DD18" s="53" t="s">
        <v>164</v>
      </c>
      <c r="DE18" s="53"/>
      <c r="DF18" s="53" t="s">
        <v>257</v>
      </c>
      <c r="DG18" s="53" t="s">
        <v>165</v>
      </c>
      <c r="DH18" s="53" t="s">
        <v>257</v>
      </c>
      <c r="DI18" s="53" t="s">
        <v>166</v>
      </c>
      <c r="DJ18" s="53" t="s">
        <v>158</v>
      </c>
      <c r="DK18" s="54"/>
      <c r="DL18" s="54" t="s">
        <v>158</v>
      </c>
      <c r="DM18" s="54">
        <v>14</v>
      </c>
      <c r="DN18" s="54" t="s">
        <v>167</v>
      </c>
      <c r="DO18" s="54" t="s">
        <v>168</v>
      </c>
      <c r="DP18" s="54" t="s">
        <v>169</v>
      </c>
      <c r="DQ18" s="54"/>
      <c r="DR18" s="54"/>
      <c r="DS18" s="54" t="s">
        <v>10</v>
      </c>
      <c r="DT18" s="54" t="s">
        <v>10</v>
      </c>
      <c r="DU18" s="54" t="s">
        <v>10</v>
      </c>
      <c r="DV18" s="54" t="s">
        <v>138</v>
      </c>
      <c r="DW18" s="53"/>
      <c r="DX18" s="53" t="s">
        <v>262</v>
      </c>
      <c r="DY18" s="53" t="s">
        <v>10</v>
      </c>
      <c r="DZ18" s="53" t="s">
        <v>10</v>
      </c>
      <c r="EA18" s="53" t="s">
        <v>10</v>
      </c>
      <c r="EB18" s="53" t="s">
        <v>322</v>
      </c>
      <c r="EC18" s="53" t="s">
        <v>265</v>
      </c>
      <c r="ED18" s="53" t="s">
        <v>265</v>
      </c>
    </row>
    <row r="19" spans="1:134" ht="24" customHeight="1" x14ac:dyDescent="0.3">
      <c r="A19" s="58" t="s">
        <v>320</v>
      </c>
      <c r="B19" s="53"/>
      <c r="C19" s="53"/>
      <c r="D19" s="53" t="s">
        <v>10</v>
      </c>
      <c r="E19" s="53" t="s">
        <v>10</v>
      </c>
      <c r="F19" s="54" t="s">
        <v>10</v>
      </c>
      <c r="G19" s="53" t="s">
        <v>10</v>
      </c>
      <c r="H19" s="53" t="s">
        <v>10</v>
      </c>
      <c r="I19" s="53" t="s">
        <v>10</v>
      </c>
      <c r="J19" s="53" t="s">
        <v>311</v>
      </c>
      <c r="K19" s="53"/>
      <c r="L19" s="53">
        <v>500</v>
      </c>
      <c r="M19" s="53">
        <v>33</v>
      </c>
      <c r="N19" s="53">
        <v>420</v>
      </c>
      <c r="O19" s="53">
        <v>50</v>
      </c>
      <c r="P19" s="53" t="s">
        <v>143</v>
      </c>
      <c r="Q19" s="53" t="s">
        <v>144</v>
      </c>
      <c r="R19" s="53"/>
      <c r="S19" s="53">
        <v>200</v>
      </c>
      <c r="T19" s="53">
        <v>30</v>
      </c>
      <c r="U19" s="53">
        <v>70</v>
      </c>
      <c r="V19" s="53">
        <v>8</v>
      </c>
      <c r="W19" s="53"/>
      <c r="X19" s="53" t="s">
        <v>10</v>
      </c>
      <c r="Y19" s="53" t="s">
        <v>145</v>
      </c>
      <c r="Z19" s="53" t="s">
        <v>146</v>
      </c>
      <c r="AA19" s="53" t="s">
        <v>10</v>
      </c>
      <c r="AB19" s="53" t="s">
        <v>10</v>
      </c>
      <c r="AC19">
        <v>21</v>
      </c>
      <c r="AD19">
        <v>8</v>
      </c>
      <c r="AE19" t="s">
        <v>206</v>
      </c>
      <c r="AF19" s="53"/>
      <c r="AG19" s="53" t="s">
        <v>147</v>
      </c>
      <c r="AH19" s="53" t="s">
        <v>148</v>
      </c>
      <c r="AI19" s="53" t="s">
        <v>10</v>
      </c>
      <c r="AJ19" s="53" t="s">
        <v>10</v>
      </c>
      <c r="AK19" s="53"/>
      <c r="AL19" s="53" t="s">
        <v>149</v>
      </c>
      <c r="AM19" s="53" t="s">
        <v>197</v>
      </c>
      <c r="AN19" s="53"/>
      <c r="AO19" s="53" t="s">
        <v>158</v>
      </c>
      <c r="AP19" s="53" t="s">
        <v>158</v>
      </c>
      <c r="AQ19" s="53" t="s">
        <v>173</v>
      </c>
      <c r="AR19" s="53">
        <v>100</v>
      </c>
      <c r="AS19" s="53">
        <v>110</v>
      </c>
      <c r="AT19" s="53" t="s">
        <v>215</v>
      </c>
      <c r="AU19" s="53">
        <v>90</v>
      </c>
      <c r="AV19" s="53" t="s">
        <v>216</v>
      </c>
      <c r="AW19" s="53" t="s">
        <v>217</v>
      </c>
      <c r="AX19" s="53" t="s">
        <v>158</v>
      </c>
      <c r="AY19" s="53" t="s">
        <v>218</v>
      </c>
      <c r="AZ19" s="53" t="s">
        <v>208</v>
      </c>
      <c r="BA19" s="53"/>
      <c r="BB19" s="53" t="s">
        <v>10</v>
      </c>
      <c r="BC19" s="53" t="s">
        <v>10</v>
      </c>
      <c r="BD19" s="53" t="s">
        <v>10</v>
      </c>
      <c r="BE19" s="53" t="s">
        <v>157</v>
      </c>
      <c r="BF19" s="53" t="s">
        <v>158</v>
      </c>
      <c r="BG19" s="53" t="s">
        <v>158</v>
      </c>
      <c r="BH19" s="53" t="s">
        <v>158</v>
      </c>
      <c r="BI19" s="53">
        <v>60</v>
      </c>
      <c r="BJ19" s="53" t="s">
        <v>201</v>
      </c>
      <c r="BK19" s="53" t="s">
        <v>158</v>
      </c>
      <c r="BL19" s="53" t="s">
        <v>158</v>
      </c>
      <c r="BM19" s="53">
        <v>70</v>
      </c>
      <c r="BN19" s="53">
        <v>3</v>
      </c>
      <c r="BO19" s="53" t="s">
        <v>222</v>
      </c>
      <c r="BP19" s="53">
        <v>100</v>
      </c>
      <c r="BQ19" s="53" t="s">
        <v>223</v>
      </c>
      <c r="BR19" s="53"/>
      <c r="BS19" s="53" t="s">
        <v>80</v>
      </c>
      <c r="BT19" s="107">
        <v>80500</v>
      </c>
      <c r="BU19" s="107">
        <v>17500</v>
      </c>
      <c r="BV19" s="72" t="s">
        <v>236</v>
      </c>
      <c r="BW19" s="72" t="s">
        <v>230</v>
      </c>
      <c r="BX19" s="72" t="s">
        <v>242</v>
      </c>
      <c r="BY19" s="53"/>
      <c r="BZ19" s="55" t="s">
        <v>246</v>
      </c>
      <c r="CA19" s="53" t="s">
        <v>89</v>
      </c>
      <c r="CB19" s="53"/>
      <c r="CC19" s="55" t="s">
        <v>248</v>
      </c>
      <c r="CD19" s="53"/>
      <c r="CE19" s="53" t="s">
        <v>10</v>
      </c>
      <c r="CF19" s="53" t="s">
        <v>10</v>
      </c>
      <c r="CG19" s="53"/>
      <c r="CH19" s="53" t="s">
        <v>10</v>
      </c>
      <c r="CI19" s="53" t="s">
        <v>10</v>
      </c>
      <c r="CJ19" s="53"/>
      <c r="CK19" s="53" t="s">
        <v>252</v>
      </c>
      <c r="CL19" s="53" t="s">
        <v>10</v>
      </c>
      <c r="CM19" s="53" t="s">
        <v>10</v>
      </c>
      <c r="CN19" s="53" t="s">
        <v>10</v>
      </c>
      <c r="CO19" s="53"/>
      <c r="CP19" s="53" t="s">
        <v>161</v>
      </c>
      <c r="CQ19" s="53" t="s">
        <v>89</v>
      </c>
      <c r="CR19" s="53"/>
      <c r="CS19" s="53" t="s">
        <v>162</v>
      </c>
      <c r="CT19" s="53" t="s">
        <v>163</v>
      </c>
      <c r="CU19" s="53" t="s">
        <v>10</v>
      </c>
      <c r="CV19" s="53" t="s">
        <v>10</v>
      </c>
      <c r="CW19" s="53" t="s">
        <v>10</v>
      </c>
      <c r="CX19" s="53"/>
      <c r="CY19" s="53" t="s">
        <v>158</v>
      </c>
      <c r="CZ19" s="53">
        <v>1000</v>
      </c>
      <c r="DA19" s="53">
        <v>1500</v>
      </c>
      <c r="DB19" s="53"/>
      <c r="DC19" s="53" t="s">
        <v>158</v>
      </c>
      <c r="DD19" s="53" t="s">
        <v>164</v>
      </c>
      <c r="DE19" s="53"/>
      <c r="DF19" s="53" t="s">
        <v>257</v>
      </c>
      <c r="DG19" s="53" t="s">
        <v>165</v>
      </c>
      <c r="DH19" s="53" t="s">
        <v>257</v>
      </c>
      <c r="DI19" s="53" t="s">
        <v>166</v>
      </c>
      <c r="DJ19" s="53" t="s">
        <v>158</v>
      </c>
      <c r="DK19" s="54"/>
      <c r="DL19" s="54" t="s">
        <v>158</v>
      </c>
      <c r="DM19" s="54">
        <v>14</v>
      </c>
      <c r="DN19" s="54" t="s">
        <v>167</v>
      </c>
      <c r="DO19" s="54" t="s">
        <v>168</v>
      </c>
      <c r="DP19" s="54" t="s">
        <v>169</v>
      </c>
      <c r="DQ19" s="54"/>
      <c r="DR19" s="54"/>
      <c r="DS19" s="54" t="s">
        <v>10</v>
      </c>
      <c r="DT19" s="54" t="s">
        <v>10</v>
      </c>
      <c r="DU19" s="54" t="s">
        <v>10</v>
      </c>
      <c r="DV19" s="54" t="s">
        <v>138</v>
      </c>
      <c r="DW19" s="53"/>
      <c r="DX19" s="53" t="s">
        <v>262</v>
      </c>
      <c r="DY19" s="53" t="s">
        <v>10</v>
      </c>
      <c r="DZ19" s="53" t="s">
        <v>10</v>
      </c>
      <c r="EA19" s="53" t="s">
        <v>10</v>
      </c>
      <c r="EB19" s="53" t="s">
        <v>322</v>
      </c>
      <c r="EC19" s="53" t="s">
        <v>265</v>
      </c>
      <c r="ED19" s="53" t="s">
        <v>265</v>
      </c>
    </row>
    <row r="20" spans="1:134" ht="24" customHeight="1" x14ac:dyDescent="0.3">
      <c r="A20" s="56" t="s">
        <v>308</v>
      </c>
      <c r="B20" s="53"/>
      <c r="C20" s="59" t="s">
        <v>187</v>
      </c>
      <c r="D20" s="53" t="s">
        <v>10</v>
      </c>
      <c r="E20" s="53" t="s">
        <v>10</v>
      </c>
      <c r="F20" s="54" t="s">
        <v>10</v>
      </c>
      <c r="G20" s="53" t="s">
        <v>10</v>
      </c>
      <c r="H20" s="53" t="s">
        <v>10</v>
      </c>
      <c r="I20" s="53" t="s">
        <v>10</v>
      </c>
      <c r="J20" s="53" t="s">
        <v>311</v>
      </c>
      <c r="K20" s="53"/>
      <c r="L20" s="53">
        <v>1000</v>
      </c>
      <c r="M20" s="53">
        <v>11</v>
      </c>
      <c r="N20" s="53">
        <v>420</v>
      </c>
      <c r="O20" s="53">
        <v>50</v>
      </c>
      <c r="P20" s="53" t="s">
        <v>143</v>
      </c>
      <c r="Q20" s="53" t="s">
        <v>144</v>
      </c>
      <c r="R20" s="53"/>
      <c r="S20" s="53">
        <v>95</v>
      </c>
      <c r="T20" s="53">
        <v>30</v>
      </c>
      <c r="U20" s="53">
        <v>28</v>
      </c>
      <c r="V20" s="53">
        <v>8</v>
      </c>
      <c r="W20" s="53"/>
      <c r="X20" s="53" t="s">
        <v>10</v>
      </c>
      <c r="Y20" s="53" t="s">
        <v>145</v>
      </c>
      <c r="Z20" s="53" t="s">
        <v>146</v>
      </c>
      <c r="AA20" s="53" t="s">
        <v>10</v>
      </c>
      <c r="AB20" s="53" t="s">
        <v>10</v>
      </c>
      <c r="AC20">
        <v>21</v>
      </c>
      <c r="AD20">
        <v>8</v>
      </c>
      <c r="AE20" t="s">
        <v>206</v>
      </c>
      <c r="AF20" s="53"/>
      <c r="AG20" s="53" t="s">
        <v>147</v>
      </c>
      <c r="AH20" s="53" t="s">
        <v>148</v>
      </c>
      <c r="AI20" s="53" t="s">
        <v>10</v>
      </c>
      <c r="AJ20" s="53" t="s">
        <v>10</v>
      </c>
      <c r="AK20" s="53"/>
      <c r="AL20" s="53" t="s">
        <v>149</v>
      </c>
      <c r="AM20" s="53" t="s">
        <v>197</v>
      </c>
      <c r="AN20" s="53"/>
      <c r="AO20" s="53" t="s">
        <v>158</v>
      </c>
      <c r="AP20" s="53" t="s">
        <v>158</v>
      </c>
      <c r="AQ20" s="53" t="s">
        <v>150</v>
      </c>
      <c r="AR20" s="53">
        <v>100</v>
      </c>
      <c r="AS20" s="53">
        <v>110</v>
      </c>
      <c r="AT20" s="53" t="s">
        <v>215</v>
      </c>
      <c r="AU20" s="53">
        <v>90</v>
      </c>
      <c r="AV20" s="53" t="s">
        <v>216</v>
      </c>
      <c r="AW20" s="53" t="s">
        <v>217</v>
      </c>
      <c r="AX20" s="53" t="s">
        <v>158</v>
      </c>
      <c r="AY20" s="53" t="s">
        <v>218</v>
      </c>
      <c r="AZ20" s="53" t="s">
        <v>208</v>
      </c>
      <c r="BA20" s="53"/>
      <c r="BB20" s="53" t="s">
        <v>10</v>
      </c>
      <c r="BC20" s="53" t="s">
        <v>10</v>
      </c>
      <c r="BD20" s="53" t="s">
        <v>10</v>
      </c>
      <c r="BE20" s="53" t="s">
        <v>157</v>
      </c>
      <c r="BF20" s="53" t="s">
        <v>158</v>
      </c>
      <c r="BG20" s="53" t="s">
        <v>158</v>
      </c>
      <c r="BH20" s="53" t="s">
        <v>158</v>
      </c>
      <c r="BI20" s="53">
        <v>60</v>
      </c>
      <c r="BJ20" s="53" t="s">
        <v>201</v>
      </c>
      <c r="BK20" s="53" t="s">
        <v>158</v>
      </c>
      <c r="BL20" s="53" t="s">
        <v>158</v>
      </c>
      <c r="BM20" s="53">
        <v>70</v>
      </c>
      <c r="BN20" s="53" t="s">
        <v>176</v>
      </c>
      <c r="BO20" s="53" t="s">
        <v>221</v>
      </c>
      <c r="BP20" s="53">
        <v>85</v>
      </c>
      <c r="BQ20" s="53" t="s">
        <v>177</v>
      </c>
      <c r="BR20" s="53"/>
      <c r="BS20" s="53" t="s">
        <v>80</v>
      </c>
      <c r="BT20" s="107">
        <v>80500</v>
      </c>
      <c r="BU20" s="107">
        <v>17500</v>
      </c>
      <c r="BV20" s="72" t="s">
        <v>237</v>
      </c>
      <c r="BW20" s="72" t="s">
        <v>231</v>
      </c>
      <c r="BX20" s="72" t="s">
        <v>243</v>
      </c>
      <c r="BY20" s="53"/>
      <c r="BZ20" s="55" t="s">
        <v>246</v>
      </c>
      <c r="CA20" s="53" t="s">
        <v>89</v>
      </c>
      <c r="CB20" s="53"/>
      <c r="CC20" s="55" t="s">
        <v>249</v>
      </c>
      <c r="CD20" s="53"/>
      <c r="CE20" s="53" t="s">
        <v>10</v>
      </c>
      <c r="CF20" s="53" t="s">
        <v>10</v>
      </c>
      <c r="CG20" s="53"/>
      <c r="CH20" s="53" t="s">
        <v>10</v>
      </c>
      <c r="CI20" s="53" t="s">
        <v>10</v>
      </c>
      <c r="CJ20" s="53"/>
      <c r="CK20" s="53" t="s">
        <v>252</v>
      </c>
      <c r="CL20" s="53" t="s">
        <v>10</v>
      </c>
      <c r="CM20" s="53" t="s">
        <v>10</v>
      </c>
      <c r="CN20" s="53" t="s">
        <v>10</v>
      </c>
      <c r="CO20" s="53"/>
      <c r="CP20" s="53" t="s">
        <v>161</v>
      </c>
      <c r="CQ20" s="53" t="s">
        <v>89</v>
      </c>
      <c r="CR20" s="53"/>
      <c r="CS20" s="53" t="s">
        <v>162</v>
      </c>
      <c r="CT20" s="53" t="s">
        <v>163</v>
      </c>
      <c r="CU20" s="53" t="s">
        <v>10</v>
      </c>
      <c r="CV20" s="53" t="s">
        <v>10</v>
      </c>
      <c r="CW20" s="53" t="s">
        <v>10</v>
      </c>
      <c r="CX20" s="53"/>
      <c r="CY20" s="53" t="s">
        <v>158</v>
      </c>
      <c r="CZ20" s="53">
        <v>1000</v>
      </c>
      <c r="DA20" s="53">
        <v>1500</v>
      </c>
      <c r="DB20" s="53"/>
      <c r="DC20" s="53" t="s">
        <v>158</v>
      </c>
      <c r="DD20" s="53" t="s">
        <v>164</v>
      </c>
      <c r="DE20" s="53"/>
      <c r="DF20" s="53" t="s">
        <v>257</v>
      </c>
      <c r="DG20" s="53" t="s">
        <v>165</v>
      </c>
      <c r="DH20" s="53" t="s">
        <v>257</v>
      </c>
      <c r="DI20" s="53" t="s">
        <v>166</v>
      </c>
      <c r="DJ20" s="53" t="s">
        <v>158</v>
      </c>
      <c r="DK20" s="54"/>
      <c r="DL20" s="54" t="s">
        <v>158</v>
      </c>
      <c r="DM20" s="54">
        <v>14</v>
      </c>
      <c r="DN20" s="54" t="s">
        <v>167</v>
      </c>
      <c r="DO20" s="54" t="s">
        <v>168</v>
      </c>
      <c r="DP20" s="54" t="s">
        <v>169</v>
      </c>
      <c r="DQ20" s="54"/>
      <c r="DR20" s="54"/>
      <c r="DS20" s="54" t="s">
        <v>10</v>
      </c>
      <c r="DT20" s="54" t="s">
        <v>10</v>
      </c>
      <c r="DU20" s="54" t="s">
        <v>10</v>
      </c>
      <c r="DV20" s="54" t="s">
        <v>138</v>
      </c>
      <c r="DW20" s="53"/>
      <c r="DX20" s="53" t="s">
        <v>262</v>
      </c>
      <c r="DY20" s="53" t="s">
        <v>10</v>
      </c>
      <c r="DZ20" s="53" t="s">
        <v>10</v>
      </c>
      <c r="EA20" s="53" t="s">
        <v>10</v>
      </c>
      <c r="EB20" s="53" t="s">
        <v>322</v>
      </c>
      <c r="EC20" s="53" t="s">
        <v>265</v>
      </c>
      <c r="ED20" s="53" t="s">
        <v>265</v>
      </c>
    </row>
    <row r="21" spans="1:134" ht="24" customHeight="1" x14ac:dyDescent="0.3">
      <c r="A21" s="56" t="s">
        <v>309</v>
      </c>
      <c r="B21" s="53"/>
      <c r="C21" s="59" t="s">
        <v>188</v>
      </c>
      <c r="D21" s="53" t="s">
        <v>10</v>
      </c>
      <c r="E21" s="53" t="s">
        <v>10</v>
      </c>
      <c r="F21" s="54" t="s">
        <v>10</v>
      </c>
      <c r="G21" s="53" t="s">
        <v>10</v>
      </c>
      <c r="H21" s="53" t="s">
        <v>10</v>
      </c>
      <c r="I21" s="53" t="s">
        <v>10</v>
      </c>
      <c r="J21" s="53" t="s">
        <v>311</v>
      </c>
      <c r="K21" s="53"/>
      <c r="L21" s="53">
        <v>1000</v>
      </c>
      <c r="M21" s="53">
        <v>22</v>
      </c>
      <c r="N21" s="53">
        <v>420</v>
      </c>
      <c r="O21" s="53">
        <v>50</v>
      </c>
      <c r="P21" s="53" t="s">
        <v>143</v>
      </c>
      <c r="Q21" s="53" t="s">
        <v>144</v>
      </c>
      <c r="R21" s="53"/>
      <c r="S21" s="53">
        <v>150</v>
      </c>
      <c r="T21" s="53">
        <v>30</v>
      </c>
      <c r="U21" s="53">
        <v>50</v>
      </c>
      <c r="V21" s="53">
        <v>8</v>
      </c>
      <c r="W21" s="53"/>
      <c r="X21" s="53" t="s">
        <v>10</v>
      </c>
      <c r="Y21" s="53" t="s">
        <v>145</v>
      </c>
      <c r="Z21" s="53" t="s">
        <v>146</v>
      </c>
      <c r="AA21" s="53" t="s">
        <v>10</v>
      </c>
      <c r="AB21" s="53" t="s">
        <v>10</v>
      </c>
      <c r="AC21">
        <v>21</v>
      </c>
      <c r="AD21">
        <v>8</v>
      </c>
      <c r="AE21" t="s">
        <v>206</v>
      </c>
      <c r="AF21" s="53"/>
      <c r="AG21" s="53" t="s">
        <v>147</v>
      </c>
      <c r="AH21" s="53" t="s">
        <v>148</v>
      </c>
      <c r="AI21" s="53" t="s">
        <v>10</v>
      </c>
      <c r="AJ21" s="53" t="s">
        <v>10</v>
      </c>
      <c r="AK21" s="53"/>
      <c r="AL21" s="53" t="s">
        <v>149</v>
      </c>
      <c r="AM21" s="53" t="s">
        <v>197</v>
      </c>
      <c r="AN21" s="53"/>
      <c r="AO21" s="53" t="s">
        <v>158</v>
      </c>
      <c r="AP21" s="53" t="s">
        <v>158</v>
      </c>
      <c r="AQ21" s="53" t="s">
        <v>173</v>
      </c>
      <c r="AR21" s="53">
        <v>100</v>
      </c>
      <c r="AS21" s="53">
        <v>110</v>
      </c>
      <c r="AT21" s="53" t="s">
        <v>215</v>
      </c>
      <c r="AU21" s="53">
        <v>90</v>
      </c>
      <c r="AV21" s="53" t="s">
        <v>216</v>
      </c>
      <c r="AW21" s="53" t="s">
        <v>217</v>
      </c>
      <c r="AX21" s="53" t="s">
        <v>158</v>
      </c>
      <c r="AY21" s="53" t="s">
        <v>218</v>
      </c>
      <c r="AZ21" s="53" t="s">
        <v>208</v>
      </c>
      <c r="BA21" s="53"/>
      <c r="BB21" s="53" t="s">
        <v>10</v>
      </c>
      <c r="BC21" s="53" t="s">
        <v>10</v>
      </c>
      <c r="BD21" s="53" t="s">
        <v>10</v>
      </c>
      <c r="BE21" s="53" t="s">
        <v>157</v>
      </c>
      <c r="BF21" s="53" t="s">
        <v>158</v>
      </c>
      <c r="BG21" s="53" t="s">
        <v>158</v>
      </c>
      <c r="BH21" s="53" t="s">
        <v>158</v>
      </c>
      <c r="BI21" s="53">
        <v>60</v>
      </c>
      <c r="BJ21" s="53" t="s">
        <v>201</v>
      </c>
      <c r="BK21" s="53" t="s">
        <v>158</v>
      </c>
      <c r="BL21" s="53" t="s">
        <v>158</v>
      </c>
      <c r="BM21" s="53">
        <v>70</v>
      </c>
      <c r="BN21" s="53" t="s">
        <v>176</v>
      </c>
      <c r="BO21" s="53" t="s">
        <v>221</v>
      </c>
      <c r="BP21" s="53">
        <v>85</v>
      </c>
      <c r="BQ21" s="53" t="s">
        <v>177</v>
      </c>
      <c r="BR21" s="53"/>
      <c r="BS21" s="53" t="s">
        <v>80</v>
      </c>
      <c r="BT21" s="107">
        <v>80500</v>
      </c>
      <c r="BU21" s="107">
        <v>17500</v>
      </c>
      <c r="BV21" s="72" t="s">
        <v>237</v>
      </c>
      <c r="BW21" s="72" t="s">
        <v>231</v>
      </c>
      <c r="BX21" s="72" t="s">
        <v>243</v>
      </c>
      <c r="BY21" s="53"/>
      <c r="BZ21" s="55" t="s">
        <v>246</v>
      </c>
      <c r="CA21" s="53" t="s">
        <v>89</v>
      </c>
      <c r="CB21" s="53"/>
      <c r="CC21" s="55" t="s">
        <v>249</v>
      </c>
      <c r="CD21" s="53"/>
      <c r="CE21" s="53" t="s">
        <v>10</v>
      </c>
      <c r="CF21" s="53" t="s">
        <v>10</v>
      </c>
      <c r="CG21" s="53"/>
      <c r="CH21" s="53" t="s">
        <v>10</v>
      </c>
      <c r="CI21" s="53" t="s">
        <v>10</v>
      </c>
      <c r="CJ21" s="53"/>
      <c r="CK21" s="53" t="s">
        <v>252</v>
      </c>
      <c r="CL21" s="53" t="s">
        <v>10</v>
      </c>
      <c r="CM21" s="53" t="s">
        <v>10</v>
      </c>
      <c r="CN21" s="53" t="s">
        <v>10</v>
      </c>
      <c r="CO21" s="53"/>
      <c r="CP21" s="53" t="s">
        <v>161</v>
      </c>
      <c r="CQ21" s="53" t="s">
        <v>89</v>
      </c>
      <c r="CR21" s="53"/>
      <c r="CS21" s="53" t="s">
        <v>162</v>
      </c>
      <c r="CT21" s="53" t="s">
        <v>163</v>
      </c>
      <c r="CU21" s="53" t="s">
        <v>10</v>
      </c>
      <c r="CV21" s="53" t="s">
        <v>10</v>
      </c>
      <c r="CW21" s="53" t="s">
        <v>10</v>
      </c>
      <c r="CX21" s="53"/>
      <c r="CY21" s="53" t="s">
        <v>158</v>
      </c>
      <c r="CZ21" s="53">
        <v>1000</v>
      </c>
      <c r="DA21" s="53">
        <v>1500</v>
      </c>
      <c r="DB21" s="53"/>
      <c r="DC21" s="53" t="s">
        <v>158</v>
      </c>
      <c r="DD21" s="53" t="s">
        <v>164</v>
      </c>
      <c r="DE21" s="53"/>
      <c r="DF21" s="53" t="s">
        <v>257</v>
      </c>
      <c r="DG21" s="53" t="s">
        <v>165</v>
      </c>
      <c r="DH21" s="53" t="s">
        <v>257</v>
      </c>
      <c r="DI21" s="53" t="s">
        <v>166</v>
      </c>
      <c r="DJ21" s="53" t="s">
        <v>158</v>
      </c>
      <c r="DK21" s="54"/>
      <c r="DL21" s="54" t="s">
        <v>158</v>
      </c>
      <c r="DM21" s="54">
        <v>14</v>
      </c>
      <c r="DN21" s="54" t="s">
        <v>167</v>
      </c>
      <c r="DO21" s="54" t="s">
        <v>168</v>
      </c>
      <c r="DP21" s="54" t="s">
        <v>169</v>
      </c>
      <c r="DQ21" s="54"/>
      <c r="DR21" s="54"/>
      <c r="DS21" s="54" t="s">
        <v>10</v>
      </c>
      <c r="DT21" s="54" t="s">
        <v>10</v>
      </c>
      <c r="DU21" s="54" t="s">
        <v>10</v>
      </c>
      <c r="DV21" s="54" t="s">
        <v>138</v>
      </c>
      <c r="DW21" s="53"/>
      <c r="DX21" s="53" t="s">
        <v>262</v>
      </c>
      <c r="DY21" s="53" t="s">
        <v>10</v>
      </c>
      <c r="DZ21" s="53" t="s">
        <v>10</v>
      </c>
      <c r="EA21" s="53" t="s">
        <v>10</v>
      </c>
      <c r="EB21" s="53" t="s">
        <v>322</v>
      </c>
      <c r="EC21" s="53" t="s">
        <v>265</v>
      </c>
      <c r="ED21" s="53" t="s">
        <v>265</v>
      </c>
    </row>
    <row r="22" spans="1:134" ht="24" customHeight="1" x14ac:dyDescent="0.3">
      <c r="A22" s="58" t="s">
        <v>321</v>
      </c>
      <c r="B22" s="53"/>
      <c r="C22" s="53"/>
      <c r="D22" s="53" t="s">
        <v>10</v>
      </c>
      <c r="E22" s="53" t="s">
        <v>10</v>
      </c>
      <c r="F22" s="54" t="s">
        <v>10</v>
      </c>
      <c r="G22" s="53" t="s">
        <v>10</v>
      </c>
      <c r="H22" s="53" t="s">
        <v>10</v>
      </c>
      <c r="I22" s="53" t="s">
        <v>10</v>
      </c>
      <c r="J22" s="53" t="s">
        <v>311</v>
      </c>
      <c r="K22" s="53"/>
      <c r="L22" s="53">
        <v>1000</v>
      </c>
      <c r="M22" s="53">
        <v>33</v>
      </c>
      <c r="N22" s="53">
        <v>420</v>
      </c>
      <c r="O22" s="53">
        <v>50</v>
      </c>
      <c r="P22" s="53" t="s">
        <v>143</v>
      </c>
      <c r="Q22" s="53" t="s">
        <v>144</v>
      </c>
      <c r="R22" s="53"/>
      <c r="S22" s="53">
        <v>200</v>
      </c>
      <c r="T22" s="53">
        <v>30</v>
      </c>
      <c r="U22" s="53">
        <v>70</v>
      </c>
      <c r="V22" s="53">
        <v>8</v>
      </c>
      <c r="W22" s="53"/>
      <c r="X22" s="53" t="s">
        <v>10</v>
      </c>
      <c r="Y22" s="53" t="s">
        <v>145</v>
      </c>
      <c r="Z22" s="53" t="s">
        <v>146</v>
      </c>
      <c r="AA22" s="53" t="s">
        <v>10</v>
      </c>
      <c r="AB22" s="53" t="s">
        <v>10</v>
      </c>
      <c r="AC22">
        <v>21</v>
      </c>
      <c r="AD22">
        <v>8</v>
      </c>
      <c r="AE22" t="s">
        <v>206</v>
      </c>
      <c r="AF22" s="53"/>
      <c r="AG22" s="53" t="s">
        <v>147</v>
      </c>
      <c r="AH22" s="53" t="s">
        <v>148</v>
      </c>
      <c r="AI22" s="53" t="s">
        <v>10</v>
      </c>
      <c r="AJ22" s="53" t="s">
        <v>10</v>
      </c>
      <c r="AK22" s="53"/>
      <c r="AL22" s="53" t="s">
        <v>149</v>
      </c>
      <c r="AM22" s="53" t="s">
        <v>197</v>
      </c>
      <c r="AN22" s="53"/>
      <c r="AO22" s="53" t="s">
        <v>158</v>
      </c>
      <c r="AP22" s="53" t="s">
        <v>158</v>
      </c>
      <c r="AQ22" s="53" t="s">
        <v>173</v>
      </c>
      <c r="AR22" s="53">
        <v>100</v>
      </c>
      <c r="AS22" s="53">
        <v>110</v>
      </c>
      <c r="AT22" s="53" t="s">
        <v>215</v>
      </c>
      <c r="AU22" s="53">
        <v>90</v>
      </c>
      <c r="AV22" s="53" t="s">
        <v>216</v>
      </c>
      <c r="AW22" s="53" t="s">
        <v>217</v>
      </c>
      <c r="AX22" s="53" t="s">
        <v>158</v>
      </c>
      <c r="AY22" s="53" t="s">
        <v>218</v>
      </c>
      <c r="AZ22" s="53" t="s">
        <v>208</v>
      </c>
      <c r="BA22" s="53"/>
      <c r="BB22" s="53" t="s">
        <v>10</v>
      </c>
      <c r="BC22" s="53" t="s">
        <v>10</v>
      </c>
      <c r="BD22" s="53" t="s">
        <v>10</v>
      </c>
      <c r="BE22" s="53" t="s">
        <v>157</v>
      </c>
      <c r="BF22" s="53" t="s">
        <v>158</v>
      </c>
      <c r="BG22" s="53" t="s">
        <v>158</v>
      </c>
      <c r="BH22" s="53" t="s">
        <v>158</v>
      </c>
      <c r="BI22" s="53">
        <v>60</v>
      </c>
      <c r="BJ22" s="53" t="s">
        <v>201</v>
      </c>
      <c r="BK22" s="53" t="s">
        <v>158</v>
      </c>
      <c r="BL22" s="53" t="s">
        <v>158</v>
      </c>
      <c r="BM22" s="53">
        <v>70</v>
      </c>
      <c r="BN22" s="53" t="s">
        <v>176</v>
      </c>
      <c r="BO22" s="53" t="s">
        <v>221</v>
      </c>
      <c r="BP22" s="53">
        <v>85</v>
      </c>
      <c r="BQ22" s="53" t="s">
        <v>177</v>
      </c>
      <c r="BR22" s="53"/>
      <c r="BS22" s="53" t="s">
        <v>80</v>
      </c>
      <c r="BT22" s="107">
        <v>80500</v>
      </c>
      <c r="BU22" s="107">
        <v>17500</v>
      </c>
      <c r="BV22" s="72" t="s">
        <v>237</v>
      </c>
      <c r="BW22" s="72" t="s">
        <v>231</v>
      </c>
      <c r="BX22" s="72" t="s">
        <v>243</v>
      </c>
      <c r="BY22" s="53"/>
      <c r="BZ22" s="55" t="s">
        <v>246</v>
      </c>
      <c r="CA22" s="53" t="s">
        <v>89</v>
      </c>
      <c r="CB22" s="53"/>
      <c r="CC22" s="55" t="s">
        <v>249</v>
      </c>
      <c r="CD22" s="53"/>
      <c r="CE22" s="53" t="s">
        <v>10</v>
      </c>
      <c r="CF22" s="53" t="s">
        <v>10</v>
      </c>
      <c r="CG22" s="53"/>
      <c r="CH22" s="53" t="s">
        <v>10</v>
      </c>
      <c r="CI22" s="53" t="s">
        <v>10</v>
      </c>
      <c r="CJ22" s="53"/>
      <c r="CK22" s="53" t="s">
        <v>252</v>
      </c>
      <c r="CL22" s="53" t="s">
        <v>10</v>
      </c>
      <c r="CM22" s="53" t="s">
        <v>10</v>
      </c>
      <c r="CN22" s="53" t="s">
        <v>10</v>
      </c>
      <c r="CO22" s="53"/>
      <c r="CP22" s="53" t="s">
        <v>161</v>
      </c>
      <c r="CQ22" s="53" t="s">
        <v>89</v>
      </c>
      <c r="CR22" s="53"/>
      <c r="CS22" s="53" t="s">
        <v>162</v>
      </c>
      <c r="CT22" s="53" t="s">
        <v>163</v>
      </c>
      <c r="CU22" s="53" t="s">
        <v>10</v>
      </c>
      <c r="CV22" s="53" t="s">
        <v>10</v>
      </c>
      <c r="CW22" s="53" t="s">
        <v>10</v>
      </c>
      <c r="CX22" s="53"/>
      <c r="CY22" s="53" t="s">
        <v>158</v>
      </c>
      <c r="CZ22" s="53">
        <v>1000</v>
      </c>
      <c r="DA22" s="53">
        <v>1500</v>
      </c>
      <c r="DB22" s="53"/>
      <c r="DC22" s="53" t="s">
        <v>158</v>
      </c>
      <c r="DD22" s="53" t="s">
        <v>164</v>
      </c>
      <c r="DE22" s="53"/>
      <c r="DF22" s="53" t="s">
        <v>257</v>
      </c>
      <c r="DG22" s="53" t="s">
        <v>165</v>
      </c>
      <c r="DH22" s="53" t="s">
        <v>257</v>
      </c>
      <c r="DI22" s="53" t="s">
        <v>166</v>
      </c>
      <c r="DJ22" s="53" t="s">
        <v>158</v>
      </c>
      <c r="DK22" s="54"/>
      <c r="DL22" s="54" t="s">
        <v>158</v>
      </c>
      <c r="DM22" s="54">
        <v>14</v>
      </c>
      <c r="DN22" s="54" t="s">
        <v>167</v>
      </c>
      <c r="DO22" s="54" t="s">
        <v>168</v>
      </c>
      <c r="DP22" s="54" t="s">
        <v>169</v>
      </c>
      <c r="DQ22" s="54"/>
      <c r="DR22" s="54"/>
      <c r="DS22" s="54" t="s">
        <v>10</v>
      </c>
      <c r="DT22" s="54" t="s">
        <v>10</v>
      </c>
      <c r="DU22" s="54" t="s">
        <v>10</v>
      </c>
      <c r="DV22" s="54" t="s">
        <v>138</v>
      </c>
      <c r="DW22" s="53"/>
      <c r="DX22" s="53" t="s">
        <v>262</v>
      </c>
      <c r="DY22" s="53" t="s">
        <v>10</v>
      </c>
      <c r="DZ22" s="53" t="s">
        <v>10</v>
      </c>
      <c r="EA22" s="53" t="s">
        <v>10</v>
      </c>
      <c r="EB22" s="53" t="s">
        <v>322</v>
      </c>
      <c r="EC22" s="53" t="s">
        <v>265</v>
      </c>
      <c r="ED22" s="53" t="s">
        <v>265</v>
      </c>
    </row>
    <row r="23" spans="1:134" s="60" customFormat="1" x14ac:dyDescent="0.3">
      <c r="A23" s="60">
        <v>1</v>
      </c>
      <c r="B23" s="60">
        <v>2</v>
      </c>
      <c r="C23" s="61">
        <v>3</v>
      </c>
      <c r="D23" s="60">
        <v>4</v>
      </c>
      <c r="E23" s="60">
        <v>5</v>
      </c>
      <c r="F23" s="60">
        <v>6</v>
      </c>
      <c r="G23" s="60">
        <v>7</v>
      </c>
      <c r="H23" s="60">
        <v>8</v>
      </c>
      <c r="I23" s="60">
        <v>9</v>
      </c>
      <c r="J23" s="60">
        <v>10</v>
      </c>
      <c r="K23" s="60">
        <v>11</v>
      </c>
      <c r="L23" s="61">
        <v>12</v>
      </c>
      <c r="M23" s="60">
        <v>13</v>
      </c>
      <c r="N23" s="60">
        <v>14</v>
      </c>
      <c r="O23" s="60">
        <v>15</v>
      </c>
      <c r="P23" s="60">
        <v>16</v>
      </c>
      <c r="Q23" s="60">
        <v>17</v>
      </c>
      <c r="R23" s="60">
        <v>18</v>
      </c>
      <c r="S23" s="60">
        <v>19</v>
      </c>
      <c r="T23" s="60">
        <v>20</v>
      </c>
      <c r="U23" s="61">
        <v>21</v>
      </c>
      <c r="V23" s="60">
        <v>22</v>
      </c>
      <c r="W23" s="60">
        <v>23</v>
      </c>
      <c r="X23" s="60">
        <v>24</v>
      </c>
      <c r="Y23" s="60">
        <v>25</v>
      </c>
      <c r="Z23" s="60">
        <v>26</v>
      </c>
      <c r="AA23" s="60">
        <v>27</v>
      </c>
      <c r="AB23" s="60">
        <v>28</v>
      </c>
      <c r="AC23" s="60">
        <v>29</v>
      </c>
      <c r="AD23" s="60">
        <v>30</v>
      </c>
      <c r="AE23" s="60">
        <v>31</v>
      </c>
      <c r="AF23" s="60">
        <v>32</v>
      </c>
      <c r="AG23" s="60">
        <v>33</v>
      </c>
      <c r="AH23" s="60">
        <v>34</v>
      </c>
      <c r="AI23" s="60">
        <v>35</v>
      </c>
      <c r="AJ23" s="60">
        <v>36</v>
      </c>
      <c r="AK23" s="60">
        <v>37</v>
      </c>
      <c r="AL23" s="60">
        <v>38</v>
      </c>
      <c r="AM23" s="60">
        <v>39</v>
      </c>
      <c r="AN23" s="60">
        <v>40</v>
      </c>
      <c r="AO23" s="60">
        <v>41</v>
      </c>
      <c r="AP23" s="60">
        <v>42</v>
      </c>
      <c r="AQ23" s="60">
        <v>43</v>
      </c>
      <c r="AR23" s="60">
        <v>44</v>
      </c>
      <c r="AS23" s="60">
        <v>45</v>
      </c>
      <c r="AT23" s="60">
        <v>46</v>
      </c>
      <c r="AU23" s="60">
        <v>47</v>
      </c>
      <c r="AV23" s="60">
        <v>48</v>
      </c>
      <c r="AW23" s="60">
        <v>49</v>
      </c>
      <c r="AX23" s="60">
        <v>50</v>
      </c>
      <c r="AY23" s="60">
        <v>51</v>
      </c>
      <c r="AZ23" s="60">
        <v>52</v>
      </c>
      <c r="BA23" s="60">
        <v>53</v>
      </c>
      <c r="BB23" s="60">
        <v>54</v>
      </c>
      <c r="BC23" s="60">
        <v>55</v>
      </c>
      <c r="BD23" s="60">
        <v>56</v>
      </c>
      <c r="BE23" s="60">
        <v>57</v>
      </c>
      <c r="BF23" s="60">
        <v>58</v>
      </c>
      <c r="BG23" s="60">
        <v>59</v>
      </c>
      <c r="BH23" s="60">
        <v>60</v>
      </c>
      <c r="BI23" s="60">
        <v>61</v>
      </c>
      <c r="BJ23" s="60">
        <v>62</v>
      </c>
      <c r="BK23" s="60">
        <v>63</v>
      </c>
      <c r="BL23" s="60">
        <v>64</v>
      </c>
      <c r="BM23" s="60">
        <v>65</v>
      </c>
      <c r="BN23" s="60">
        <v>66</v>
      </c>
      <c r="BO23" s="60">
        <v>67</v>
      </c>
      <c r="BP23" s="60">
        <v>68</v>
      </c>
      <c r="BQ23" s="60">
        <v>69</v>
      </c>
      <c r="BR23" s="60">
        <v>70</v>
      </c>
      <c r="BS23" s="60">
        <v>71</v>
      </c>
      <c r="BT23" s="60">
        <v>72</v>
      </c>
      <c r="BU23" s="60">
        <v>73</v>
      </c>
      <c r="BV23" s="60">
        <v>74</v>
      </c>
      <c r="BW23" s="60">
        <v>75</v>
      </c>
      <c r="BX23" s="60">
        <v>76</v>
      </c>
      <c r="BY23" s="60">
        <v>77</v>
      </c>
      <c r="BZ23" s="60">
        <v>78</v>
      </c>
      <c r="CA23" s="60">
        <v>79</v>
      </c>
      <c r="CB23" s="60">
        <v>80</v>
      </c>
      <c r="CC23" s="60">
        <v>81</v>
      </c>
      <c r="CD23" s="60">
        <v>82</v>
      </c>
      <c r="CE23" s="60">
        <v>83</v>
      </c>
      <c r="CF23" s="60">
        <v>84</v>
      </c>
      <c r="CG23" s="60">
        <v>85</v>
      </c>
      <c r="CH23" s="60">
        <v>86</v>
      </c>
      <c r="CI23" s="60">
        <v>87</v>
      </c>
      <c r="CJ23" s="60">
        <v>88</v>
      </c>
      <c r="CK23" s="60">
        <v>89</v>
      </c>
      <c r="CL23" s="60">
        <v>90</v>
      </c>
      <c r="CM23" s="60">
        <v>91</v>
      </c>
      <c r="CN23" s="60">
        <v>92</v>
      </c>
      <c r="CO23" s="60">
        <v>93</v>
      </c>
      <c r="CP23" s="60">
        <v>94</v>
      </c>
      <c r="CQ23" s="60">
        <v>95</v>
      </c>
      <c r="CR23" s="60">
        <v>96</v>
      </c>
      <c r="CS23" s="60">
        <v>97</v>
      </c>
      <c r="CT23" s="60">
        <v>98</v>
      </c>
      <c r="CU23" s="60">
        <v>99</v>
      </c>
      <c r="CV23" s="60">
        <v>100</v>
      </c>
      <c r="CW23" s="60">
        <v>101</v>
      </c>
      <c r="CX23" s="60">
        <v>102</v>
      </c>
      <c r="CY23" s="60">
        <v>103</v>
      </c>
      <c r="CZ23" s="60">
        <v>104</v>
      </c>
      <c r="DA23" s="60">
        <v>105</v>
      </c>
      <c r="DB23" s="60">
        <v>106</v>
      </c>
      <c r="DC23" s="60">
        <v>107</v>
      </c>
      <c r="DD23" s="60">
        <v>108</v>
      </c>
      <c r="DE23" s="60">
        <v>109</v>
      </c>
      <c r="DF23" s="60">
        <v>110</v>
      </c>
      <c r="DG23" s="60">
        <v>111</v>
      </c>
      <c r="DH23" s="60">
        <v>112</v>
      </c>
      <c r="DI23" s="60">
        <v>113</v>
      </c>
      <c r="DJ23" s="60">
        <v>114</v>
      </c>
      <c r="DK23" s="60">
        <v>115</v>
      </c>
      <c r="DL23" s="60">
        <v>116</v>
      </c>
      <c r="DM23" s="60">
        <v>117</v>
      </c>
      <c r="DN23" s="60">
        <v>118</v>
      </c>
      <c r="DO23" s="60">
        <v>119</v>
      </c>
      <c r="DP23" s="60">
        <v>120</v>
      </c>
      <c r="DQ23" s="60">
        <v>121</v>
      </c>
      <c r="DR23" s="60">
        <v>122</v>
      </c>
      <c r="DS23" s="60">
        <v>123</v>
      </c>
      <c r="DT23" s="60">
        <v>124</v>
      </c>
      <c r="DU23" s="60">
        <v>125</v>
      </c>
      <c r="DV23" s="60">
        <v>126</v>
      </c>
      <c r="DW23" s="60">
        <v>127</v>
      </c>
      <c r="DX23" s="60">
        <v>128</v>
      </c>
      <c r="DY23" s="60">
        <v>129</v>
      </c>
      <c r="DZ23" s="60">
        <v>130</v>
      </c>
      <c r="EA23" s="60">
        <v>131</v>
      </c>
      <c r="EB23" s="60">
        <v>132</v>
      </c>
      <c r="EC23" s="60">
        <v>133</v>
      </c>
      <c r="ED23" s="60">
        <v>134</v>
      </c>
    </row>
    <row r="24" spans="1:134" x14ac:dyDescent="0.3">
      <c r="C24" s="56"/>
      <c r="BV24" s="75" t="s">
        <v>232</v>
      </c>
      <c r="BW24" s="75" t="s">
        <v>232</v>
      </c>
      <c r="BX24" s="75" t="s">
        <v>232</v>
      </c>
      <c r="DK24" s="111" t="s">
        <v>258</v>
      </c>
      <c r="DL24" s="111"/>
      <c r="DM24" s="111"/>
      <c r="DN24" s="111"/>
      <c r="DO24" s="111"/>
      <c r="DP24" s="111"/>
      <c r="DQ24" s="111" t="s">
        <v>260</v>
      </c>
      <c r="DR24" s="111"/>
      <c r="DS24" s="111"/>
      <c r="DT24" s="111"/>
      <c r="DU24" s="111"/>
      <c r="DV24" s="111"/>
    </row>
    <row r="25" spans="1:134" ht="14.4" customHeight="1" x14ac:dyDescent="0.3">
      <c r="BM25" s="112" t="s">
        <v>259</v>
      </c>
    </row>
    <row r="26" spans="1:134" x14ac:dyDescent="0.3">
      <c r="BM26" s="112"/>
    </row>
    <row r="27" spans="1:134" x14ac:dyDescent="0.3">
      <c r="BM27" s="112"/>
    </row>
    <row r="28" spans="1:134" ht="55.2" x14ac:dyDescent="0.3">
      <c r="BM28" s="45" t="s">
        <v>213</v>
      </c>
    </row>
    <row r="29" spans="1:134" x14ac:dyDescent="0.3">
      <c r="BM29" s="53" t="s">
        <v>160</v>
      </c>
    </row>
    <row r="30" spans="1:134" x14ac:dyDescent="0.3">
      <c r="BM30" s="53" t="s">
        <v>160</v>
      </c>
    </row>
    <row r="31" spans="1:134" x14ac:dyDescent="0.3">
      <c r="BM31" s="53" t="s">
        <v>160</v>
      </c>
    </row>
    <row r="32" spans="1:134" x14ac:dyDescent="0.3">
      <c r="BM32" s="53" t="s">
        <v>160</v>
      </c>
    </row>
    <row r="33" spans="65:65" x14ac:dyDescent="0.3">
      <c r="BM33" s="53" t="s">
        <v>160</v>
      </c>
    </row>
    <row r="34" spans="65:65" x14ac:dyDescent="0.3">
      <c r="BM34" s="53" t="s">
        <v>160</v>
      </c>
    </row>
    <row r="35" spans="65:65" x14ac:dyDescent="0.3">
      <c r="BM35" s="53" t="s">
        <v>160</v>
      </c>
    </row>
    <row r="36" spans="65:65" x14ac:dyDescent="0.3">
      <c r="BM36" s="53" t="s">
        <v>160</v>
      </c>
    </row>
    <row r="37" spans="65:65" x14ac:dyDescent="0.3">
      <c r="BM37" s="53" t="s">
        <v>160</v>
      </c>
    </row>
    <row r="38" spans="65:65" x14ac:dyDescent="0.3">
      <c r="BM38" s="53" t="s">
        <v>160</v>
      </c>
    </row>
    <row r="39" spans="65:65" x14ac:dyDescent="0.3">
      <c r="BM39" s="53" t="s">
        <v>160</v>
      </c>
    </row>
    <row r="40" spans="65:65" x14ac:dyDescent="0.3">
      <c r="BM40" s="53" t="s">
        <v>160</v>
      </c>
    </row>
    <row r="41" spans="65:65" x14ac:dyDescent="0.3">
      <c r="BM41" s="53" t="s">
        <v>174</v>
      </c>
    </row>
    <row r="42" spans="65:65" x14ac:dyDescent="0.3">
      <c r="BM42" s="53" t="s">
        <v>174</v>
      </c>
    </row>
    <row r="43" spans="65:65" x14ac:dyDescent="0.3">
      <c r="BM43" s="53" t="s">
        <v>174</v>
      </c>
    </row>
    <row r="44" spans="65:65" x14ac:dyDescent="0.3">
      <c r="BM44" s="53" t="s">
        <v>174</v>
      </c>
    </row>
    <row r="45" spans="65:65" x14ac:dyDescent="0.3">
      <c r="BM45" s="53" t="s">
        <v>174</v>
      </c>
    </row>
    <row r="46" spans="65:65" x14ac:dyDescent="0.3">
      <c r="BM46" s="53" t="s">
        <v>174</v>
      </c>
    </row>
    <row r="47" spans="65:65" x14ac:dyDescent="0.3">
      <c r="BM47" s="53" t="s">
        <v>175</v>
      </c>
    </row>
    <row r="48" spans="65:65" x14ac:dyDescent="0.3">
      <c r="BM48" s="53" t="s">
        <v>175</v>
      </c>
    </row>
    <row r="49" spans="65:65" x14ac:dyDescent="0.3">
      <c r="BM49" s="53" t="s">
        <v>175</v>
      </c>
    </row>
    <row r="50" spans="65:65" x14ac:dyDescent="0.3">
      <c r="BM50" s="60">
        <v>65</v>
      </c>
    </row>
  </sheetData>
  <mergeCells count="3">
    <mergeCell ref="DK24:DP24"/>
    <mergeCell ref="BM25:BM27"/>
    <mergeCell ref="DQ24:DV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EAE7-1917-4301-97B4-F6812B929E66}">
  <dimension ref="A1:K44"/>
  <sheetViews>
    <sheetView zoomScaleNormal="100" zoomScaleSheetLayoutView="100" workbookViewId="0">
      <selection sqref="A1:G1"/>
    </sheetView>
  </sheetViews>
  <sheetFormatPr defaultColWidth="15.33203125" defaultRowHeight="14.4" x14ac:dyDescent="0.3"/>
  <sheetData>
    <row r="1" spans="1:11" ht="16.8" x14ac:dyDescent="0.3">
      <c r="A1" s="115" t="s">
        <v>294</v>
      </c>
      <c r="B1" s="115"/>
      <c r="C1" s="115"/>
      <c r="D1" s="115"/>
      <c r="E1" s="115"/>
      <c r="F1" s="115"/>
      <c r="G1" s="115"/>
    </row>
    <row r="2" spans="1:11" ht="17.399999999999999" x14ac:dyDescent="0.3">
      <c r="A2" s="116" t="s">
        <v>293</v>
      </c>
      <c r="B2" s="116"/>
      <c r="C2" s="116"/>
      <c r="D2" s="116"/>
      <c r="E2" s="116"/>
      <c r="F2" s="116"/>
      <c r="G2" s="116"/>
    </row>
    <row r="3" spans="1:11" ht="18.600000000000001" thickBot="1" x14ac:dyDescent="0.4">
      <c r="A3" s="117" t="s">
        <v>292</v>
      </c>
      <c r="B3" s="117"/>
      <c r="C3" s="117"/>
      <c r="D3" s="117"/>
      <c r="E3" s="117"/>
      <c r="F3" s="117"/>
      <c r="G3" s="117"/>
      <c r="I3" s="127" t="s">
        <v>291</v>
      </c>
      <c r="J3" s="127"/>
      <c r="K3" s="127"/>
    </row>
    <row r="4" spans="1:11" ht="15" thickBot="1" x14ac:dyDescent="0.35">
      <c r="A4" s="118" t="s">
        <v>290</v>
      </c>
      <c r="B4" s="119"/>
      <c r="C4" s="119"/>
      <c r="D4" s="119"/>
      <c r="E4" s="119"/>
      <c r="F4" s="119"/>
      <c r="G4" s="120"/>
    </row>
    <row r="5" spans="1:11" ht="15" thickBot="1" x14ac:dyDescent="0.35">
      <c r="A5" s="105" t="s">
        <v>3</v>
      </c>
      <c r="B5" s="105" t="s">
        <v>289</v>
      </c>
      <c r="C5" s="121" t="s">
        <v>288</v>
      </c>
      <c r="D5" s="122"/>
      <c r="E5" s="122"/>
      <c r="F5" s="122"/>
      <c r="G5" s="123"/>
    </row>
    <row r="6" spans="1:11" x14ac:dyDescent="0.3">
      <c r="A6" s="104"/>
      <c r="B6" s="104"/>
      <c r="C6" s="113"/>
      <c r="D6" s="113"/>
      <c r="E6" s="113"/>
      <c r="F6" s="113"/>
      <c r="G6" s="114"/>
    </row>
    <row r="7" spans="1:11" x14ac:dyDescent="0.3">
      <c r="A7" s="103"/>
      <c r="B7" s="103"/>
      <c r="C7" s="124"/>
      <c r="D7" s="124"/>
      <c r="E7" s="124"/>
      <c r="F7" s="124"/>
      <c r="G7" s="125"/>
    </row>
    <row r="8" spans="1:11" x14ac:dyDescent="0.3">
      <c r="A8" s="103"/>
      <c r="B8" s="103"/>
      <c r="C8" s="124"/>
      <c r="D8" s="124"/>
      <c r="E8" s="124"/>
      <c r="F8" s="124"/>
      <c r="G8" s="125"/>
    </row>
    <row r="9" spans="1:11" x14ac:dyDescent="0.3">
      <c r="A9" s="103"/>
      <c r="B9" s="103"/>
      <c r="C9" s="124"/>
      <c r="D9" s="124"/>
      <c r="E9" s="124"/>
      <c r="F9" s="124"/>
      <c r="G9" s="125"/>
    </row>
    <row r="10" spans="1:11" x14ac:dyDescent="0.3">
      <c r="A10" s="103"/>
      <c r="B10" s="103"/>
      <c r="C10" s="124"/>
      <c r="D10" s="124"/>
      <c r="E10" s="124"/>
      <c r="F10" s="124"/>
      <c r="G10" s="125"/>
    </row>
    <row r="11" spans="1:11" x14ac:dyDescent="0.3">
      <c r="A11" s="103"/>
      <c r="B11" s="103"/>
      <c r="C11" s="124"/>
      <c r="D11" s="124"/>
      <c r="E11" s="124"/>
      <c r="F11" s="124"/>
      <c r="G11" s="125"/>
    </row>
    <row r="12" spans="1:11" x14ac:dyDescent="0.3">
      <c r="A12" s="103"/>
      <c r="B12" s="103"/>
      <c r="C12" s="124"/>
      <c r="D12" s="124"/>
      <c r="E12" s="124"/>
      <c r="F12" s="124"/>
      <c r="G12" s="125"/>
    </row>
    <row r="13" spans="1:11" x14ac:dyDescent="0.3">
      <c r="A13" s="103"/>
      <c r="B13" s="103"/>
      <c r="C13" s="124"/>
      <c r="D13" s="124"/>
      <c r="E13" s="124"/>
      <c r="F13" s="124"/>
      <c r="G13" s="125"/>
    </row>
    <row r="14" spans="1:11" x14ac:dyDescent="0.3">
      <c r="A14" s="103"/>
      <c r="B14" s="103"/>
      <c r="C14" s="124"/>
      <c r="D14" s="124"/>
      <c r="E14" s="124"/>
      <c r="F14" s="124"/>
      <c r="G14" s="125"/>
    </row>
    <row r="15" spans="1:11" x14ac:dyDescent="0.3">
      <c r="A15" s="103"/>
      <c r="B15" s="103"/>
      <c r="C15" s="124"/>
      <c r="D15" s="124"/>
      <c r="E15" s="124"/>
      <c r="F15" s="124"/>
      <c r="G15" s="125"/>
    </row>
    <row r="16" spans="1:11" x14ac:dyDescent="0.3">
      <c r="A16" s="103"/>
      <c r="B16" s="103"/>
      <c r="C16" s="124"/>
      <c r="D16" s="124"/>
      <c r="E16" s="124"/>
      <c r="F16" s="124"/>
      <c r="G16" s="125"/>
    </row>
    <row r="17" spans="1:7" x14ac:dyDescent="0.3">
      <c r="A17" s="103"/>
      <c r="B17" s="103"/>
      <c r="C17" s="124"/>
      <c r="D17" s="124"/>
      <c r="E17" s="124"/>
      <c r="F17" s="124"/>
      <c r="G17" s="125"/>
    </row>
    <row r="18" spans="1:7" x14ac:dyDescent="0.3">
      <c r="A18" s="103"/>
      <c r="B18" s="103"/>
      <c r="C18" s="124"/>
      <c r="D18" s="124"/>
      <c r="E18" s="124"/>
      <c r="F18" s="124"/>
      <c r="G18" s="125"/>
    </row>
    <row r="19" spans="1:7" x14ac:dyDescent="0.3">
      <c r="A19" s="103"/>
      <c r="B19" s="103"/>
      <c r="C19" s="124"/>
      <c r="D19" s="124"/>
      <c r="E19" s="124"/>
      <c r="F19" s="124"/>
      <c r="G19" s="125"/>
    </row>
    <row r="20" spans="1:7" x14ac:dyDescent="0.3">
      <c r="A20" s="103"/>
      <c r="B20" s="103"/>
      <c r="C20" s="124"/>
      <c r="D20" s="124"/>
      <c r="E20" s="124"/>
      <c r="F20" s="124"/>
      <c r="G20" s="125"/>
    </row>
    <row r="21" spans="1:7" x14ac:dyDescent="0.3">
      <c r="A21" s="103"/>
      <c r="B21" s="103"/>
      <c r="C21" s="124"/>
      <c r="D21" s="124"/>
      <c r="E21" s="124"/>
      <c r="F21" s="124"/>
      <c r="G21" s="125"/>
    </row>
    <row r="22" spans="1:7" x14ac:dyDescent="0.3">
      <c r="A22" s="103"/>
      <c r="B22" s="103"/>
      <c r="C22" s="124"/>
      <c r="D22" s="124"/>
      <c r="E22" s="124"/>
      <c r="F22" s="124"/>
      <c r="G22" s="125"/>
    </row>
    <row r="23" spans="1:7" x14ac:dyDescent="0.3">
      <c r="A23" s="103"/>
      <c r="B23" s="103"/>
      <c r="C23" s="124"/>
      <c r="D23" s="124"/>
      <c r="E23" s="124"/>
      <c r="F23" s="124"/>
      <c r="G23" s="125"/>
    </row>
    <row r="24" spans="1:7" x14ac:dyDescent="0.3">
      <c r="A24" s="103"/>
      <c r="B24" s="103"/>
      <c r="C24" s="124"/>
      <c r="D24" s="124"/>
      <c r="E24" s="124"/>
      <c r="F24" s="124"/>
      <c r="G24" s="125"/>
    </row>
    <row r="25" spans="1:7" x14ac:dyDescent="0.3">
      <c r="A25" s="103"/>
      <c r="B25" s="103"/>
      <c r="C25" s="124"/>
      <c r="D25" s="124"/>
      <c r="E25" s="124"/>
      <c r="F25" s="124"/>
      <c r="G25" s="125"/>
    </row>
    <row r="26" spans="1:7" x14ac:dyDescent="0.3">
      <c r="A26" s="103"/>
      <c r="B26" s="103"/>
      <c r="C26" s="124"/>
      <c r="D26" s="124"/>
      <c r="E26" s="124"/>
      <c r="F26" s="124"/>
      <c r="G26" s="125"/>
    </row>
    <row r="27" spans="1:7" x14ac:dyDescent="0.3">
      <c r="A27" s="103"/>
      <c r="B27" s="103"/>
      <c r="C27" s="124"/>
      <c r="D27" s="124"/>
      <c r="E27" s="124"/>
      <c r="F27" s="124"/>
      <c r="G27" s="125"/>
    </row>
    <row r="28" spans="1:7" x14ac:dyDescent="0.3">
      <c r="A28" s="103"/>
      <c r="B28" s="103"/>
      <c r="C28" s="124"/>
      <c r="D28" s="124"/>
      <c r="E28" s="124"/>
      <c r="F28" s="124"/>
      <c r="G28" s="125"/>
    </row>
    <row r="29" spans="1:7" x14ac:dyDescent="0.3">
      <c r="A29" s="103"/>
      <c r="B29" s="103"/>
      <c r="C29" s="124"/>
      <c r="D29" s="124"/>
      <c r="E29" s="124"/>
      <c r="F29" s="124"/>
      <c r="G29" s="125"/>
    </row>
    <row r="30" spans="1:7" x14ac:dyDescent="0.3">
      <c r="A30" s="103"/>
      <c r="B30" s="103"/>
      <c r="C30" s="124"/>
      <c r="D30" s="124"/>
      <c r="E30" s="124"/>
      <c r="F30" s="124"/>
      <c r="G30" s="125"/>
    </row>
    <row r="31" spans="1:7" x14ac:dyDescent="0.3">
      <c r="A31" s="103"/>
      <c r="B31" s="103"/>
      <c r="C31" s="124"/>
      <c r="D31" s="124"/>
      <c r="E31" s="124"/>
      <c r="F31" s="124"/>
      <c r="G31" s="125"/>
    </row>
    <row r="32" spans="1:7" x14ac:dyDescent="0.3">
      <c r="A32" s="103"/>
      <c r="B32" s="103"/>
      <c r="C32" s="124"/>
      <c r="D32" s="124"/>
      <c r="E32" s="124"/>
      <c r="F32" s="124"/>
      <c r="G32" s="125"/>
    </row>
    <row r="33" spans="1:7" x14ac:dyDescent="0.3">
      <c r="A33" s="103"/>
      <c r="B33" s="103"/>
      <c r="C33" s="124"/>
      <c r="D33" s="124"/>
      <c r="E33" s="124"/>
      <c r="F33" s="124"/>
      <c r="G33" s="125"/>
    </row>
    <row r="34" spans="1:7" x14ac:dyDescent="0.3">
      <c r="A34" s="103"/>
      <c r="B34" s="103"/>
      <c r="C34" s="124"/>
      <c r="D34" s="124"/>
      <c r="E34" s="124"/>
      <c r="F34" s="124"/>
      <c r="G34" s="125"/>
    </row>
    <row r="35" spans="1:7" ht="15" thickBot="1" x14ac:dyDescent="0.35">
      <c r="A35" s="102"/>
      <c r="B35" s="102"/>
      <c r="C35" s="128"/>
      <c r="D35" s="128"/>
      <c r="E35" s="128"/>
      <c r="F35" s="128"/>
      <c r="G35" s="129"/>
    </row>
    <row r="36" spans="1:7" ht="15.6" x14ac:dyDescent="0.3">
      <c r="A36" s="99"/>
      <c r="B36" s="99"/>
      <c r="C36" s="99"/>
      <c r="D36" s="101"/>
      <c r="E36" s="100"/>
      <c r="F36" s="100"/>
      <c r="G36" s="100"/>
    </row>
    <row r="37" spans="1:7" ht="15.6" x14ac:dyDescent="0.3">
      <c r="A37" s="99"/>
      <c r="B37" s="130" t="s">
        <v>287</v>
      </c>
      <c r="C37" s="130"/>
      <c r="D37" s="130"/>
      <c r="E37" s="130"/>
      <c r="F37" s="130"/>
      <c r="G37" s="130"/>
    </row>
    <row r="38" spans="1:7" x14ac:dyDescent="0.3">
      <c r="A38" s="97"/>
      <c r="B38" s="97"/>
      <c r="C38" s="95"/>
      <c r="D38" s="94"/>
      <c r="E38" s="94"/>
      <c r="F38" s="94"/>
    </row>
    <row r="39" spans="1:7" ht="15.6" x14ac:dyDescent="0.3">
      <c r="A39" s="98"/>
      <c r="B39" s="97" t="s">
        <v>286</v>
      </c>
      <c r="C39" s="95"/>
      <c r="D39" s="74"/>
      <c r="E39" s="94"/>
    </row>
    <row r="40" spans="1:7" x14ac:dyDescent="0.3">
      <c r="B40" s="126" t="s">
        <v>285</v>
      </c>
      <c r="C40" s="126"/>
      <c r="D40" s="126"/>
      <c r="E40" s="94"/>
      <c r="F40" s="126" t="s">
        <v>284</v>
      </c>
      <c r="G40" s="126"/>
    </row>
    <row r="41" spans="1:7" x14ac:dyDescent="0.3">
      <c r="A41" s="96"/>
      <c r="B41" s="94"/>
      <c r="C41" s="95"/>
      <c r="D41" s="94"/>
      <c r="E41" s="94"/>
      <c r="F41" s="94"/>
    </row>
    <row r="42" spans="1:7" x14ac:dyDescent="0.3">
      <c r="A42" s="96"/>
      <c r="B42" s="94"/>
      <c r="C42" s="95"/>
      <c r="D42" s="94"/>
      <c r="E42" s="94"/>
      <c r="F42" s="94"/>
    </row>
    <row r="43" spans="1:7" x14ac:dyDescent="0.3">
      <c r="B43" s="94"/>
      <c r="D43" s="74"/>
      <c r="F43" s="94"/>
    </row>
    <row r="44" spans="1:7" x14ac:dyDescent="0.3">
      <c r="B44" s="126" t="s">
        <v>283</v>
      </c>
      <c r="C44" s="126"/>
      <c r="D44" s="126"/>
      <c r="F44" s="126" t="s">
        <v>282</v>
      </c>
      <c r="G44" s="126"/>
    </row>
  </sheetData>
  <mergeCells count="41">
    <mergeCell ref="B37:G37"/>
    <mergeCell ref="C25:G25"/>
    <mergeCell ref="C26:G26"/>
    <mergeCell ref="C27:G27"/>
    <mergeCell ref="C28:G28"/>
    <mergeCell ref="C29:G29"/>
    <mergeCell ref="B40:D40"/>
    <mergeCell ref="F40:G40"/>
    <mergeCell ref="B44:D44"/>
    <mergeCell ref="F44:G44"/>
    <mergeCell ref="I3:K3"/>
    <mergeCell ref="C31:G31"/>
    <mergeCell ref="C32:G32"/>
    <mergeCell ref="C33:G33"/>
    <mergeCell ref="C34:G34"/>
    <mergeCell ref="C35:G35"/>
    <mergeCell ref="C16:G16"/>
    <mergeCell ref="C17:G17"/>
    <mergeCell ref="C30:G30"/>
    <mergeCell ref="C19:G19"/>
    <mergeCell ref="C20:G20"/>
    <mergeCell ref="C21:G21"/>
    <mergeCell ref="C22:G22"/>
    <mergeCell ref="C23:G23"/>
    <mergeCell ref="C24:G24"/>
    <mergeCell ref="C18:G18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6:G6"/>
    <mergeCell ref="A1:G1"/>
    <mergeCell ref="A2:G2"/>
    <mergeCell ref="A3:G3"/>
    <mergeCell ref="A4:G4"/>
    <mergeCell ref="C5:G5"/>
  </mergeCells>
  <conditionalFormatting sqref="E36:F36">
    <cfRule type="cellIs" dxfId="3" priority="4" stopIfTrue="1" operator="equal">
      <formula>"??"</formula>
    </cfRule>
  </conditionalFormatting>
  <conditionalFormatting sqref="D41:E42 E39:E40 B43:B44">
    <cfRule type="cellIs" dxfId="2" priority="1" stopIfTrue="1" operator="equal">
      <formula>"?"</formula>
    </cfRule>
    <cfRule type="cellIs" dxfId="1" priority="2" stopIfTrue="1" operator="equal">
      <formula>"??"</formula>
    </cfRule>
  </conditionalFormatting>
  <conditionalFormatting sqref="D38:E38">
    <cfRule type="cellIs" dxfId="0" priority="3" stopIfTrue="1" operator="equal">
      <formula>"??"</formula>
    </cfRule>
  </conditionalFormatting>
  <pageMargins left="0.7" right="0.7" top="0.75" bottom="0.75" header="0.3" footer="0.3"/>
  <pageSetup scale="84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202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e">
        <f>VLOOKUP($D$7,'Source Data'!$A$2:$ED$22,3,FALSE)</f>
        <v>#N/A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e">
        <f>VLOOKUP($D$7,'Source Data'!$A$2:$ED$22,4,FALSE)</f>
        <v>#N/A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e">
        <f>VLOOKUP($D$7,'Source Data'!$A$2:$ED$22,5,FALSE)</f>
        <v>#N/A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e">
        <f>VLOOKUP($D$7,'Source Data'!$A$2:$ED$22,7,FALSE)</f>
        <v>#N/A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e">
        <f>VLOOKUP($D$7,'Source Data'!$A$2:$ED$22,8,FALSE)</f>
        <v>#N/A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e">
        <f>VLOOKUP($D$7,'Source Data'!$A$2:$ED$22,9,FALSE)</f>
        <v>#N/A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e">
        <f>VLOOKUP($D$7,'Source Data'!$A$2:$ED$22,10,FALSE)</f>
        <v>#N/A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 t="e">
        <f>VLOOKUP($D$7,'Source Data'!$A$2:$ED$22,12,FALSE)</f>
        <v>#N/A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 t="e">
        <f>VLOOKUP($D$7,'Source Data'!$A$2:$ED$22,13,FALSE)</f>
        <v>#N/A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 t="e">
        <f>VLOOKUP($D$7,'Source Data'!$A$2:$ED$22,14,FALSE)</f>
        <v>#N/A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 t="e">
        <f>VLOOKUP($D$7,'Source Data'!$A$2:$ED$22,15,FALSE)</f>
        <v>#N/A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e">
        <f>VLOOKUP($D$7,'Source Data'!$A$2:$ED$22,16,FALSE)</f>
        <v>#N/A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e">
        <f>VLOOKUP($D$7,'Source Data'!$A$2:$ED$22,17,FALSE)</f>
        <v>#N/A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 t="e">
        <f>VLOOKUP($D$7,'Source Data'!$A$2:$ED$22,19,FALSE)</f>
        <v>#N/A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 t="e">
        <f>VLOOKUP($D$7,'Source Data'!$A$2:$ED$22,20,FALSE)</f>
        <v>#N/A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 t="e">
        <f>VLOOKUP($D$7,'Source Data'!$A$2:$ED$22,21,FALSE)</f>
        <v>#N/A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 t="e">
        <f>VLOOKUP($D$7,'Source Data'!$A$2:$ED$22,22,FALSE)</f>
        <v>#N/A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e">
        <f>VLOOKUP($D$7,'Source Data'!$A$2:$ED$22,24,FALSE)</f>
        <v>#N/A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e">
        <f>VLOOKUP($D$7,'Source Data'!$A$2:$ED$22,25,FALSE)</f>
        <v>#N/A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e">
        <f>VLOOKUP($D$7,'Source Data'!$A$2:$ED$22,26,FALSE)</f>
        <v>#N/A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e">
        <f>VLOOKUP($D$7,'Source Data'!$A$2:$ED$22,27,FALSE)</f>
        <v>#N/A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e">
        <f>VLOOKUP($D$7,'Source Data'!$A$2:$ED$22,28,FALSE)</f>
        <v>#N/A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 t="e">
        <f>VLOOKUP($D$7,'Source Data'!$A$2:$ED$22,29,FALSE)</f>
        <v>#N/A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 t="e">
        <f>VLOOKUP($D$7,'Source Data'!$A$2:$ED$22,30,FALSE)</f>
        <v>#N/A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e">
        <f>VLOOKUP($D$7,'Source Data'!$A$2:$ED$22,31,FALSE)</f>
        <v>#N/A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e">
        <f>VLOOKUP($D$7,'Source Data'!$A$2:$ED$22,33,FALSE)</f>
        <v>#N/A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e">
        <f>VLOOKUP($D$7,'Source Data'!$A$2:$ED$22,34,FALSE)</f>
        <v>#N/A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e">
        <f>VLOOKUP($D$7,'Source Data'!$A$2:$ED$22,35,FALSE)</f>
        <v>#N/A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e">
        <f>VLOOKUP($D$7,'Source Data'!$A$2:$ED$22,36,FALSE)</f>
        <v>#N/A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e">
        <f>VLOOKUP($D$7,'Source Data'!$A$2:$ED$22,39,FALSE)</f>
        <v>#N/A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e">
        <f>VLOOKUP($D$7,'Source Data'!$A$2:$ED$22,38,FALSE)</f>
        <v>#N/A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e">
        <f>VLOOKUP($D$7,'Source Data'!$A$2:$ED$22,41,FALSE)</f>
        <v>#N/A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e">
        <f>VLOOKUP($D$7,'Source Data'!$A$2:$ED$22,42,FALSE)</f>
        <v>#N/A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e">
        <f>VLOOKUP($D$7,'Source Data'!$A$2:$ED$22,43,FALSE)</f>
        <v>#N/A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 t="e">
        <f>VLOOKUP($D$7,'Source Data'!$A$2:$ED$22,44,FALSE)</f>
        <v>#N/A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 t="e">
        <f>VLOOKUP($D$7,'Source Data'!$A$2:$ED$22,45,FALSE)</f>
        <v>#N/A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e">
        <f>VLOOKUP($D$7,'Source Data'!$A$2:$ED$22,46,FALSE)</f>
        <v>#N/A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 t="e">
        <f>VLOOKUP($D$7,'Source Data'!$A$2:$ED$22,47,FALSE)</f>
        <v>#N/A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e">
        <f>VLOOKUP($D$7,'Source Data'!$A$2:$ED$22,48,FALSE)</f>
        <v>#N/A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e">
        <f>VLOOKUP($D$7,'Source Data'!$A$2:$ED$22,49,FALSE)</f>
        <v>#N/A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e">
        <f>VLOOKUP($D$7,'Source Data'!$A$2:$ED$22,50,FALSE)</f>
        <v>#N/A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e">
        <f>VLOOKUP($D$7,'Source Data'!$A$2:$ED$22,51,FALSE)</f>
        <v>#N/A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e">
        <f>VLOOKUP($D$7,'Source Data'!$A$2:$ED$22,52,FALSE)</f>
        <v>#N/A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e">
        <f>VLOOKUP($D$7,'Source Data'!$A$2:$ED$22,54,FALSE)</f>
        <v>#N/A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e">
        <f>VLOOKUP($D$7,'Source Data'!$A$2:$ED$22,55,FALSE)</f>
        <v>#N/A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e">
        <f>VLOOKUP($D$7,'Source Data'!$A$2:$ED$22,56,FALSE)</f>
        <v>#N/A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e">
        <f>VLOOKUP($D$7,'Source Data'!$A$2:$ED$22,57,FALSE)</f>
        <v>#N/A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e">
        <f>VLOOKUP($D$7,'Source Data'!$A$2:$ED$22,58,FALSE)</f>
        <v>#N/A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e">
        <f>VLOOKUP($D$7,'Source Data'!$A$2:$ED$22,59,FALSE)</f>
        <v>#N/A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e">
        <f>VLOOKUP($D$7,'Source Data'!$A$2:$ED$22,60,FALSE)</f>
        <v>#N/A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 t="e">
        <f>VLOOKUP($D$7,'Source Data'!$A$2:$ED$22,61,FALSE)</f>
        <v>#N/A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e">
        <f>VLOOKUP($D$7,'Source Data'!$A$2:$ED$22,62,FALSE)</f>
        <v>#N/A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e">
        <f>VLOOKUP($D$7,'Source Data'!$A$2:$ED$22,63,FALSE)</f>
        <v>#N/A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e">
        <f>VLOOKUP($D$7,'Source Data'!$A$2:$ED$22,64,FALSE)</f>
        <v>#N/A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 t="e">
        <f>VLOOKUP($D$7,'Source Data'!$A$2:$ED$22,65,FALSE)</f>
        <v>#N/A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 t="e">
        <f>VLOOKUP($D$7,'Source Data'!$A$2:$ED$22,66,FALSE)</f>
        <v>#N/A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e">
        <f>VLOOKUP($D$7,'Source Data'!$A$2:$ED$22,67,FALSE)</f>
        <v>#N/A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 t="e">
        <f>VLOOKUP($D$7,'Source Data'!$A$2:$ED$22,68,FALSE)</f>
        <v>#N/A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e">
        <f>VLOOKUP($D$7,'Source Data'!$A$2:$ED$22,69,FALSE)</f>
        <v>#N/A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e">
        <f>VLOOKUP($D$7,'Source Data'!$A$2:$ED$22,71,FALSE)</f>
        <v>#N/A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 t="e">
        <f>VLOOKUP($D$7,'Source Data'!$A$2:$ED$22,72,FALSE)</f>
        <v>#N/A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 t="e">
        <f>VLOOKUP($D$7,'Source Data'!$A$2:$ED$22,73,FALSE)</f>
        <v>#N/A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e">
        <f>VLOOKUP($D$7,'Source Data'!$A$2:$ED$22,74,FALSE)</f>
        <v>#N/A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e">
        <f>VLOOKUP($D$7,'Source Data'!$A$2:$ED$22,75,FALSE)</f>
        <v>#N/A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e">
        <f>VLOOKUP($D$7,'Source Data'!$A$2:$ED$22,76,FALSE)</f>
        <v>#N/A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e">
        <f>VLOOKUP($D$7,'Source Data'!$A$2:$ED$22,78,FALSE)</f>
        <v>#N/A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e">
        <f>VLOOKUP($D$7,'Source Data'!$A$2:$ED$22,79,FALSE)</f>
        <v>#N/A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e">
        <f>VLOOKUP($D$7,'Source Data'!$A$2:$ED$22,81,FALSE)</f>
        <v>#N/A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e">
        <f>VLOOKUP($D$7,'Source Data'!$A$2:$ED$22,83,FALSE)</f>
        <v>#N/A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e">
        <f>VLOOKUP($D$7,'Source Data'!$A$2:$ED$22,84,FALSE)</f>
        <v>#N/A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e">
        <f>VLOOKUP($D$7,'Source Data'!$A$2:$ED$22,86,FALSE)</f>
        <v>#N/A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e">
        <f>VLOOKUP($D$7,'Source Data'!$A$2:$ED$22,87,FALSE)</f>
        <v>#N/A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e">
        <f>VLOOKUP($D$7,'Source Data'!$A$2:$ED$22,89,FALSE)</f>
        <v>#N/A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e">
        <f>VLOOKUP($D$7,'Source Data'!$A$2:$ED$22,90,FALSE)</f>
        <v>#N/A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e">
        <f>VLOOKUP($D$7,'Source Data'!$A$2:$ED$22,91,FALSE)</f>
        <v>#N/A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e">
        <f>VLOOKUP($D$7,'Source Data'!$A$2:$ED$22,92,FALSE)</f>
        <v>#N/A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e">
        <f>VLOOKUP($D$7,'Source Data'!$A$2:$ED$22,94,FALSE)</f>
        <v>#N/A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e">
        <f>VLOOKUP($D$7,'Source Data'!$A$2:$ED$22,95,FALSE)</f>
        <v>#N/A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e">
        <f>VLOOKUP($D$7,'Source Data'!$A$2:$ED$22,97,FALSE)</f>
        <v>#N/A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e">
        <f>VLOOKUP($D$7,'Source Data'!$A$2:$ED$22,98,FALSE)</f>
        <v>#N/A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e">
        <f>VLOOKUP($D$7,'Source Data'!$A$2:$ED$22,99,FALSE)</f>
        <v>#N/A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e">
        <f>VLOOKUP($D$7,'Source Data'!$A$2:$ED$22,100,FALSE)</f>
        <v>#N/A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e">
        <f>VLOOKUP($D$7,'Source Data'!$A$2:$ED$22,101,FALSE)</f>
        <v>#N/A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e">
        <f>VLOOKUP($D$7,'Source Data'!$A$2:$ED$22,103,FALSE)</f>
        <v>#N/A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 t="e">
        <f>VLOOKUP($D$7,'Source Data'!$A$2:$ED$22,104,FALSE)</f>
        <v>#N/A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 t="e">
        <f>VLOOKUP($D$7,'Source Data'!$A$2:$ED$22,105,FALSE)</f>
        <v>#N/A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e">
        <f>VLOOKUP($D$7,'Source Data'!$A$2:$ED$22,107,FALSE)</f>
        <v>#N/A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e">
        <f>VLOOKUP($D$7,'Source Data'!$A$2:$ED$22,108,FALSE)</f>
        <v>#N/A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e">
        <f>VLOOKUP($D$7,'Source Data'!$A$2:$ED$22,110,FALSE)</f>
        <v>#N/A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e">
        <f>VLOOKUP($D$7,'Source Data'!$A$2:$ED$22,111,FALSE)</f>
        <v>#N/A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e">
        <f>VLOOKUP($D$7,'Source Data'!$A$2:$ED$22,112,FALSE)</f>
        <v>#N/A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e">
        <f>VLOOKUP($D$7,'Source Data'!$A$2:$ED$22,113,FALSE)</f>
        <v>#N/A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e">
        <f>VLOOKUP($D$7,'Source Data'!$A$2:$ED$22,114,FALSE)</f>
        <v>#N/A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e">
        <f>VLOOKUP($D$7,'Source Data'!$A$2:$ED$22,128,FALSE)</f>
        <v>#N/A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e">
        <f>VLOOKUP($D$7,'Source Data'!$A$2:$ED$22,129,FALSE)</f>
        <v>#N/A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e">
        <f>VLOOKUP($D$7,'Source Data'!$A$2:$ED$22,130,FALSE)</f>
        <v>#N/A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e">
        <f>VLOOKUP($D$7,'Source Data'!$A$2:$ED$22,131,FALSE)</f>
        <v>#N/A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e">
        <f>VLOOKUP($D$7,'Source Data'!$A$2:$ED$22,132,FALSE)</f>
        <v>#N/A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e">
        <f>VLOOKUP($D$7,'Source Data'!$A$2:$ED$22,133,FALSE)</f>
        <v>#N/A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e">
        <f>VLOOKUP($D$7,'Source Data'!$A$2:$ED$22,134,FALSE)</f>
        <v>#N/A</v>
      </c>
      <c r="G131" s="42"/>
    </row>
  </sheetData>
  <mergeCells count="4">
    <mergeCell ref="F3:G3"/>
    <mergeCell ref="F4:G4"/>
    <mergeCell ref="B10:D10"/>
    <mergeCell ref="F8:G10"/>
  </mergeCells>
  <phoneticPr fontId="14" type="noConversion"/>
  <pageMargins left="0.7" right="0.7" top="0.75" bottom="0.75" header="0.3" footer="0.3"/>
  <pageSetup scale="58" orientation="portrait" r:id="rId1"/>
  <rowBreaks count="5" manualBreakCount="5">
    <brk id="31" min="1" max="6" man="1"/>
    <brk id="56" min="1" max="6" man="1"/>
    <brk id="78" min="1" max="6" man="1"/>
    <brk id="101" min="1" max="6" man="1"/>
    <brk id="123" min="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'List of Items &amp; Enquiry number'!$B$19:$B$29</xm:f>
          </x14:formula1>
          <xm:sqref>D7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7BAF-3102-4684-9D54-38E25CDDFBD0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300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0182441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3.8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100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11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95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28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>Type 3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1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5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190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70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1500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3,0 to 4,5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 xml:space="preserve">≤ 48 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5" orientation="portrait" r:id="rId1"/>
  <headerFooter>
    <oddHeader>&amp;CThree-phase, 100 kVA, 11 kV/420V (Coastal, Ester Oil Only)</oddHeader>
  </headerFooter>
  <rowBreaks count="1" manualBreakCount="1">
    <brk id="114" min="1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E825-04A8-4640-AFED-B3930064A63F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301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0182443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100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22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150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50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>Type 4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1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5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190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70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1500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3,0 to 4,5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 xml:space="preserve">≤ 48 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Header>&amp;CThree-phase, 100 kVA, 22 kV/420V (Coastal, Ester Oil Only)</oddHeader>
  </headerFooter>
  <rowBreaks count="3" manualBreakCount="3">
    <brk id="31" min="1" max="6" man="1"/>
    <brk id="78" min="1" max="6" man="1"/>
    <brk id="104" min="1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E0FD3-0E71-4448-8594-FBD7205FDF27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302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0180189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200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11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95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28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 xml:space="preserve">Type 3 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2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5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320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120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2600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4,0 to 5,0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 xml:space="preserve">≤ 48 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Header>&amp;CThree-phase, 200 kVA, 11 kV/420V (Coastal, Ester Oil Only)</oddHeader>
  </headerFooter>
  <rowBreaks count="3" manualBreakCount="3">
    <brk id="31" min="1" max="6" man="1"/>
    <brk id="78" min="1" max="6" man="1"/>
    <brk id="104" min="1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1C1E-BEA4-4D75-96FA-7E21454F5B06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303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0180191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200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22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150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50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>Type 4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2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5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320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120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2600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4,0 to 5,0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 xml:space="preserve">≤ 48 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&amp;CThree-phase, 200 kVA, 22 kV/420V (Coastal, Ester Oil Only)</oddHeader>
  </headerFooter>
  <rowBreaks count="4" manualBreakCount="4">
    <brk id="31" min="1" max="6" man="1"/>
    <brk id="78" min="1" max="6" man="1"/>
    <brk id="101" min="1" max="6" man="1"/>
    <brk id="123" min="1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DB70-24B9-45FB-9EC0-08B5B965973C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304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0180193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315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11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95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28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 xml:space="preserve">Type 3 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2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7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450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170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3600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4,0 to 5,0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>≤ 50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5" orientation="portrait" r:id="rId1"/>
  <headerFooter>
    <oddHeader>&amp;CThree-phase, 315 kVA, 11 kV/420V (Coastal, Ester Oil Only)</oddHeader>
  </headerFooter>
  <rowBreaks count="2" manualBreakCount="2">
    <brk id="31" min="1" max="6" man="1"/>
    <brk id="110" min="1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9C69-CBD9-4032-8E82-CF2CCD6E288B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305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0180195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315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22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150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50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>Type 4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2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7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450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170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3600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4,0 to 5,0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>≤ 50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&amp;CThree-phase, 315 kVA, 22 kV/420V (Coastal, Ester Oil Only)</oddHeader>
  </headerFooter>
  <rowBreaks count="4" manualBreakCount="4">
    <brk id="31" min="1" max="6" man="1"/>
    <brk id="78" min="1" max="6" man="1"/>
    <brk id="101" min="1" max="6" man="1"/>
    <brk id="123" min="1" max="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65C6-39D5-4FE3-AA14-FF7F98931103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306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0180197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500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11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95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28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 xml:space="preserve">Type 3 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3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7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630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230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5200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4,5 to 5,5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>≤ 52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&amp;CThree-phase, 500 kVA, 11 kV/420V (Coastal, Ester Oil Only)</oddHeader>
  </headerFooter>
  <rowBreaks count="4" manualBreakCount="4">
    <brk id="31" min="1" max="6" man="1"/>
    <brk id="78" min="1" max="6" man="1"/>
    <brk id="101" min="1" max="6" man="1"/>
    <brk id="123" min="1" max="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17B8-1310-43CE-A583-131EDF2CF739}">
  <dimension ref="B1:G131"/>
  <sheetViews>
    <sheetView topLeftCell="A77"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307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0180199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500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22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150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50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>Type 4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>
        <f>VLOOKUP($D$7,'Source Data'!$A$2:$ED$22,66,FALSE)</f>
        <v>3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65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100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Adjustable Mechanical No. 7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630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230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5200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4,5 to 5,5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>≤ 52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&amp;CThree-phase, 500 kVA, 22 kV/420V (Coastal, Ester Oil Only)</oddHeader>
  </headerFooter>
  <rowBreaks count="4" manualBreakCount="4">
    <brk id="31" min="1" max="6" man="1"/>
    <brk id="78" min="1" max="6" man="1"/>
    <brk id="101" min="1" max="6" man="1"/>
    <brk id="123" min="1" max="6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4B4A-013E-421D-850B-DF5022312AF7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308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0182445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1000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11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95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28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 xml:space="preserve">Type 3 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 t="str">
        <f>VLOOKUP($D$7,'Source Data'!$A$2:$ED$22,66,FALSE)</f>
        <v>7 (2 per
phase, 1 for
neutral)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50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85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Compression Type A2 No. 5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1 070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390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8900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4,5 to 5,5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 xml:space="preserve">≤ 56 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&amp;CThree-phase, 1000 kVA, 11 kV/420V (Coastal, Ester Oil Only)</oddHeader>
  </headerFooter>
  <rowBreaks count="4" manualBreakCount="4">
    <brk id="31" min="1" max="6" man="1"/>
    <brk id="78" min="1" max="6" man="1"/>
    <brk id="101" min="1" max="6" man="1"/>
    <brk id="123" min="1" max="6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CF15-DB76-4ED0-9230-1FFD3C7814EC}">
  <dimension ref="B1:G131"/>
  <sheetViews>
    <sheetView zoomScale="85" zoomScaleNormal="85" workbookViewId="0">
      <selection activeCell="D7" sqref="D7"/>
    </sheetView>
  </sheetViews>
  <sheetFormatPr defaultRowHeight="14.4" x14ac:dyDescent="0.3"/>
  <cols>
    <col min="2" max="2" width="14.33203125" customWidth="1"/>
    <col min="3" max="3" width="20.5546875" customWidth="1"/>
    <col min="4" max="4" width="66.5546875" customWidth="1"/>
    <col min="5" max="5" width="14.88671875" customWidth="1"/>
    <col min="6" max="6" width="20.88671875" customWidth="1"/>
    <col min="7" max="7" width="16.5546875" customWidth="1"/>
  </cols>
  <sheetData>
    <row r="1" spans="2:7" ht="15" thickBot="1" x14ac:dyDescent="0.35"/>
    <row r="2" spans="2:7" x14ac:dyDescent="0.3">
      <c r="B2" s="1"/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131" t="s">
        <v>178</v>
      </c>
      <c r="G3" s="132"/>
    </row>
    <row r="4" spans="2:7" x14ac:dyDescent="0.3">
      <c r="B4" s="4"/>
      <c r="C4" s="5"/>
      <c r="D4" s="5"/>
      <c r="E4" s="5"/>
      <c r="F4" s="131" t="str">
        <f>'List of Items &amp; Enquiry number'!B14</f>
        <v>Enquiry Number: 123456XYZ</v>
      </c>
      <c r="G4" s="132"/>
    </row>
    <row r="5" spans="2:7" x14ac:dyDescent="0.3">
      <c r="B5" s="4"/>
      <c r="C5" s="5"/>
      <c r="D5" s="5"/>
      <c r="E5" s="5"/>
      <c r="F5" s="5"/>
      <c r="G5" s="6"/>
    </row>
    <row r="6" spans="2:7" ht="28.8" x14ac:dyDescent="0.3">
      <c r="B6" s="7"/>
      <c r="C6" s="8"/>
      <c r="D6" s="9" t="s">
        <v>0</v>
      </c>
      <c r="E6" s="10"/>
      <c r="F6" s="10"/>
      <c r="G6" s="11"/>
    </row>
    <row r="7" spans="2:7" x14ac:dyDescent="0.3">
      <c r="B7" s="4"/>
      <c r="C7" s="5"/>
      <c r="D7" s="12" t="s">
        <v>309</v>
      </c>
      <c r="E7" s="5"/>
      <c r="F7" s="5"/>
      <c r="G7" s="6"/>
    </row>
    <row r="8" spans="2:7" x14ac:dyDescent="0.3">
      <c r="B8" s="4"/>
      <c r="C8" s="5"/>
      <c r="D8" s="5"/>
      <c r="E8" s="5"/>
      <c r="F8" s="135" t="s">
        <v>295</v>
      </c>
      <c r="G8" s="136"/>
    </row>
    <row r="9" spans="2:7" x14ac:dyDescent="0.3">
      <c r="B9" s="13" t="s">
        <v>1</v>
      </c>
      <c r="C9" s="14"/>
      <c r="D9" s="14"/>
      <c r="E9" s="14"/>
      <c r="F9" s="135"/>
      <c r="G9" s="136"/>
    </row>
    <row r="10" spans="2:7" ht="15" thickBot="1" x14ac:dyDescent="0.35">
      <c r="B10" s="133" t="s">
        <v>2</v>
      </c>
      <c r="C10" s="134"/>
      <c r="D10" s="134"/>
      <c r="E10" s="106"/>
      <c r="F10" s="137"/>
      <c r="G10" s="138"/>
    </row>
    <row r="11" spans="2:7" ht="27" thickBot="1" x14ac:dyDescent="0.35">
      <c r="B11" s="15" t="s">
        <v>3</v>
      </c>
      <c r="C11" s="81" t="s">
        <v>4</v>
      </c>
      <c r="D11" s="17" t="s">
        <v>5</v>
      </c>
      <c r="E11" s="18"/>
      <c r="F11" s="19" t="s">
        <v>6</v>
      </c>
      <c r="G11" s="16" t="s">
        <v>7</v>
      </c>
    </row>
    <row r="12" spans="2:7" ht="45" customHeight="1" x14ac:dyDescent="0.3">
      <c r="B12" s="68">
        <v>1</v>
      </c>
      <c r="C12" s="20"/>
      <c r="D12" s="21" t="s">
        <v>8</v>
      </c>
      <c r="E12" s="82"/>
      <c r="F12" s="22"/>
      <c r="G12" s="23"/>
    </row>
    <row r="13" spans="2:7" ht="45" customHeight="1" x14ac:dyDescent="0.3">
      <c r="B13" s="69">
        <v>1.1000000000000001</v>
      </c>
      <c r="C13" s="36"/>
      <c r="D13" s="43" t="s">
        <v>179</v>
      </c>
      <c r="E13" s="83"/>
      <c r="F13" s="26" t="str">
        <f>VLOOKUP($D$7,'Source Data'!$A$2:$ED$22,3,FALSE)</f>
        <v>0182447</v>
      </c>
      <c r="G13" s="27" t="s">
        <v>10</v>
      </c>
    </row>
    <row r="14" spans="2:7" ht="45" customHeight="1" x14ac:dyDescent="0.3">
      <c r="B14" s="69">
        <v>1.2</v>
      </c>
      <c r="C14" s="24"/>
      <c r="D14" s="25" t="s">
        <v>9</v>
      </c>
      <c r="E14" s="84"/>
      <c r="F14" s="26" t="str">
        <f>VLOOKUP($D$7,'Source Data'!$A$2:$ED$22,4,FALSE)</f>
        <v>xxxxxxxxxxx</v>
      </c>
      <c r="G14" s="27"/>
    </row>
    <row r="15" spans="2:7" ht="45" customHeight="1" x14ac:dyDescent="0.3">
      <c r="B15" s="69">
        <v>1.3</v>
      </c>
      <c r="C15" s="24"/>
      <c r="D15" s="25" t="s">
        <v>11</v>
      </c>
      <c r="E15" s="84"/>
      <c r="F15" s="26" t="str">
        <f>VLOOKUP($D$7,'Source Data'!$A$2:$ED$22,5,FALSE)</f>
        <v>xxxxxxxxxxx</v>
      </c>
      <c r="G15" s="27"/>
    </row>
    <row r="16" spans="2:7" ht="45" customHeight="1" x14ac:dyDescent="0.3">
      <c r="B16" s="69">
        <v>1.4</v>
      </c>
      <c r="C16" s="24"/>
      <c r="D16" s="28" t="s">
        <v>13</v>
      </c>
      <c r="E16" s="84"/>
      <c r="F16" s="26" t="str">
        <f>VLOOKUP($D$7,'Source Data'!$A$2:$ED$22,7,FALSE)</f>
        <v>xxxxxxxxxxx</v>
      </c>
      <c r="G16" s="27"/>
    </row>
    <row r="17" spans="2:7" ht="45" customHeight="1" x14ac:dyDescent="0.3">
      <c r="B17" s="69">
        <v>1.5</v>
      </c>
      <c r="C17" s="24"/>
      <c r="D17" s="25" t="s">
        <v>191</v>
      </c>
      <c r="E17" s="84"/>
      <c r="F17" s="26" t="str">
        <f>VLOOKUP($D$7,'Source Data'!$A$2:$ED$22,8,FALSE)</f>
        <v>xxxxxxxxxxx</v>
      </c>
      <c r="G17" s="27"/>
    </row>
    <row r="18" spans="2:7" ht="45" customHeight="1" x14ac:dyDescent="0.3">
      <c r="B18" s="69">
        <v>1.6</v>
      </c>
      <c r="C18" s="24"/>
      <c r="D18" s="25" t="s">
        <v>192</v>
      </c>
      <c r="E18" s="84"/>
      <c r="F18" s="26" t="str">
        <f>VLOOKUP($D$7,'Source Data'!$A$2:$ED$22,9,FALSE)</f>
        <v>xxxxxxxxxxx</v>
      </c>
      <c r="G18" s="27"/>
    </row>
    <row r="19" spans="2:7" ht="45" customHeight="1" x14ac:dyDescent="0.3">
      <c r="B19" s="69">
        <v>1.7</v>
      </c>
      <c r="C19" s="24"/>
      <c r="D19" s="25" t="s">
        <v>193</v>
      </c>
      <c r="E19" s="84"/>
      <c r="F19" s="26" t="str">
        <f>VLOOKUP($D$7,'Source Data'!$A$2:$ED$22,10,FALSE)</f>
        <v>Ester Oil</v>
      </c>
      <c r="G19" s="27"/>
    </row>
    <row r="20" spans="2:7" ht="45" customHeight="1" x14ac:dyDescent="0.3">
      <c r="B20" s="70">
        <v>2</v>
      </c>
      <c r="C20" s="24">
        <v>3.2</v>
      </c>
      <c r="D20" s="29" t="s">
        <v>14</v>
      </c>
      <c r="E20" s="84"/>
      <c r="F20" s="26"/>
      <c r="G20" s="27"/>
    </row>
    <row r="21" spans="2:7" ht="45" customHeight="1" x14ac:dyDescent="0.3">
      <c r="B21" s="69">
        <v>2.1</v>
      </c>
      <c r="C21" s="24"/>
      <c r="D21" s="25" t="s">
        <v>15</v>
      </c>
      <c r="E21" s="84" t="s">
        <v>16</v>
      </c>
      <c r="F21" s="26">
        <f>VLOOKUP($D$7,'Source Data'!$A$2:$ED$22,12,FALSE)</f>
        <v>1000</v>
      </c>
      <c r="G21" s="27"/>
    </row>
    <row r="22" spans="2:7" ht="45" customHeight="1" x14ac:dyDescent="0.3">
      <c r="B22" s="69">
        <v>2.2000000000000002</v>
      </c>
      <c r="C22" s="24"/>
      <c r="D22" s="25" t="s">
        <v>17</v>
      </c>
      <c r="E22" s="84" t="s">
        <v>18</v>
      </c>
      <c r="F22" s="26">
        <f>VLOOKUP($D$7,'Source Data'!$A$2:$ED$22,13,FALSE)</f>
        <v>22</v>
      </c>
      <c r="G22" s="27"/>
    </row>
    <row r="23" spans="2:7" ht="45" customHeight="1" x14ac:dyDescent="0.3">
      <c r="B23" s="69">
        <v>2.3000000000000003</v>
      </c>
      <c r="C23" s="24"/>
      <c r="D23" s="25" t="s">
        <v>19</v>
      </c>
      <c r="E23" s="84" t="s">
        <v>20</v>
      </c>
      <c r="F23" s="26">
        <f>VLOOKUP($D$7,'Source Data'!$A$2:$ED$22,14,FALSE)</f>
        <v>420</v>
      </c>
      <c r="G23" s="27"/>
    </row>
    <row r="24" spans="2:7" ht="45" customHeight="1" x14ac:dyDescent="0.3">
      <c r="B24" s="69">
        <v>2.4000000000000004</v>
      </c>
      <c r="C24" s="24"/>
      <c r="D24" s="25" t="s">
        <v>21</v>
      </c>
      <c r="E24" s="84" t="s">
        <v>22</v>
      </c>
      <c r="F24" s="26">
        <f>VLOOKUP($D$7,'Source Data'!$A$2:$ED$22,15,FALSE)</f>
        <v>50</v>
      </c>
      <c r="G24" s="27"/>
    </row>
    <row r="25" spans="2:7" ht="45" customHeight="1" x14ac:dyDescent="0.3">
      <c r="B25" s="69">
        <v>2.5</v>
      </c>
      <c r="C25" s="24"/>
      <c r="D25" s="25" t="s">
        <v>23</v>
      </c>
      <c r="E25" s="84"/>
      <c r="F25" s="26" t="str">
        <f>VLOOKUP($D$7,'Source Data'!$A$2:$ED$22,16,FALSE)</f>
        <v>3ph</v>
      </c>
      <c r="G25" s="27"/>
    </row>
    <row r="26" spans="2:7" ht="45" customHeight="1" x14ac:dyDescent="0.3">
      <c r="B26" s="69">
        <v>2.6</v>
      </c>
      <c r="C26" s="24"/>
      <c r="D26" s="25" t="s">
        <v>24</v>
      </c>
      <c r="E26" s="84"/>
      <c r="F26" s="26" t="str">
        <f>VLOOKUP($D$7,'Source Data'!$A$2:$ED$22,17,FALSE)</f>
        <v>Dyn11 or Yzn11</v>
      </c>
      <c r="G26" s="27"/>
    </row>
    <row r="27" spans="2:7" ht="45" customHeight="1" x14ac:dyDescent="0.3">
      <c r="B27" s="70">
        <v>3</v>
      </c>
      <c r="C27" s="24" t="s">
        <v>25</v>
      </c>
      <c r="D27" s="29" t="s">
        <v>26</v>
      </c>
      <c r="E27" s="84"/>
      <c r="F27" s="26"/>
      <c r="G27" s="27"/>
    </row>
    <row r="28" spans="2:7" ht="45" customHeight="1" x14ac:dyDescent="0.3">
      <c r="B28" s="69">
        <v>3.1</v>
      </c>
      <c r="C28" s="24"/>
      <c r="D28" s="25" t="s">
        <v>27</v>
      </c>
      <c r="E28" s="84" t="s">
        <v>18</v>
      </c>
      <c r="F28" s="26">
        <f>VLOOKUP($D$7,'Source Data'!$A$2:$ED$22,19,FALSE)</f>
        <v>150</v>
      </c>
      <c r="G28" s="27"/>
    </row>
    <row r="29" spans="2:7" ht="45" customHeight="1" x14ac:dyDescent="0.3">
      <c r="B29" s="69">
        <v>3.2</v>
      </c>
      <c r="C29" s="24"/>
      <c r="D29" s="25" t="s">
        <v>28</v>
      </c>
      <c r="E29" s="84" t="s">
        <v>18</v>
      </c>
      <c r="F29" s="26">
        <f>VLOOKUP($D$7,'Source Data'!$A$2:$ED$22,20,FALSE)</f>
        <v>30</v>
      </c>
      <c r="G29" s="27"/>
    </row>
    <row r="30" spans="2:7" ht="45" customHeight="1" x14ac:dyDescent="0.3">
      <c r="B30" s="69">
        <v>3.3000000000000003</v>
      </c>
      <c r="C30" s="24"/>
      <c r="D30" s="25" t="s">
        <v>29</v>
      </c>
      <c r="E30" s="84" t="s">
        <v>18</v>
      </c>
      <c r="F30" s="26">
        <f>VLOOKUP($D$7,'Source Data'!$A$2:$ED$22,21,FALSE)</f>
        <v>50</v>
      </c>
      <c r="G30" s="27"/>
    </row>
    <row r="31" spans="2:7" ht="45" customHeight="1" x14ac:dyDescent="0.3">
      <c r="B31" s="69">
        <v>3.4000000000000004</v>
      </c>
      <c r="C31" s="24"/>
      <c r="D31" s="25" t="s">
        <v>30</v>
      </c>
      <c r="E31" s="84" t="s">
        <v>18</v>
      </c>
      <c r="F31" s="26">
        <f>VLOOKUP($D$7,'Source Data'!$A$2:$ED$22,22,FALSE)</f>
        <v>8</v>
      </c>
      <c r="G31" s="27"/>
    </row>
    <row r="32" spans="2:7" ht="45" customHeight="1" x14ac:dyDescent="0.3">
      <c r="B32" s="70">
        <v>4</v>
      </c>
      <c r="C32" s="24" t="s">
        <v>38</v>
      </c>
      <c r="D32" s="29" t="s">
        <v>31</v>
      </c>
      <c r="E32" s="84"/>
      <c r="F32" s="26"/>
      <c r="G32" s="27"/>
    </row>
    <row r="33" spans="2:7" ht="45" customHeight="1" x14ac:dyDescent="0.3">
      <c r="B33" s="69">
        <v>4.0999999999999996</v>
      </c>
      <c r="C33" s="24"/>
      <c r="D33" s="25" t="s">
        <v>32</v>
      </c>
      <c r="E33" s="84"/>
      <c r="F33" s="26" t="str">
        <f>VLOOKUP($D$7,'Source Data'!$A$2:$ED$22,24,FALSE)</f>
        <v>xxxxxxxxxxx</v>
      </c>
      <c r="G33" s="27"/>
    </row>
    <row r="34" spans="2:7" ht="45" customHeight="1" x14ac:dyDescent="0.3">
      <c r="B34" s="69">
        <v>4.1999999999999993</v>
      </c>
      <c r="C34" s="24"/>
      <c r="D34" s="25" t="s">
        <v>33</v>
      </c>
      <c r="E34" s="84"/>
      <c r="F34" s="26" t="str">
        <f>VLOOKUP($D$7,'Source Data'!$A$2:$ED$22,25,FALSE)</f>
        <v>Grade 3</v>
      </c>
      <c r="G34" s="27"/>
    </row>
    <row r="35" spans="2:7" ht="45" customHeight="1" x14ac:dyDescent="0.3">
      <c r="B35" s="69">
        <v>4.3</v>
      </c>
      <c r="C35" s="24"/>
      <c r="D35" s="25" t="s">
        <v>34</v>
      </c>
      <c r="E35" s="84" t="s">
        <v>35</v>
      </c>
      <c r="F35" s="26" t="str">
        <f>VLOOKUP($D$7,'Source Data'!$A$2:$ED$22,26,FALSE)</f>
        <v>&gt; 0.125</v>
      </c>
      <c r="G35" s="27"/>
    </row>
    <row r="36" spans="2:7" ht="45" customHeight="1" x14ac:dyDescent="0.3">
      <c r="B36" s="69">
        <v>4.3999999999999995</v>
      </c>
      <c r="C36" s="24"/>
      <c r="D36" s="25" t="s">
        <v>36</v>
      </c>
      <c r="E36" s="84"/>
      <c r="F36" s="26" t="str">
        <f>VLOOKUP($D$7,'Source Data'!$A$2:$ED$22,27,FALSE)</f>
        <v>xxxxxxxxxxx</v>
      </c>
      <c r="G36" s="27"/>
    </row>
    <row r="37" spans="2:7" ht="45" customHeight="1" x14ac:dyDescent="0.3">
      <c r="B37" s="69">
        <v>4.5</v>
      </c>
      <c r="C37" s="24"/>
      <c r="D37" s="25" t="s">
        <v>37</v>
      </c>
      <c r="E37" s="84"/>
      <c r="F37" s="26" t="str">
        <f>VLOOKUP($D$7,'Source Data'!$A$2:$ED$22,28,FALSE)</f>
        <v>xxxxxxxxxxx</v>
      </c>
      <c r="G37" s="27"/>
    </row>
    <row r="38" spans="2:7" ht="45" customHeight="1" x14ac:dyDescent="0.3">
      <c r="B38" s="69">
        <v>4.5999999999999996</v>
      </c>
      <c r="C38" s="24"/>
      <c r="D38" s="25" t="s">
        <v>203</v>
      </c>
      <c r="E38" s="85" t="s">
        <v>18</v>
      </c>
      <c r="F38" s="26">
        <f>VLOOKUP($D$7,'Source Data'!$A$2:$ED$22,29,FALSE)</f>
        <v>21</v>
      </c>
      <c r="G38" s="27"/>
    </row>
    <row r="39" spans="2:7" ht="45" customHeight="1" x14ac:dyDescent="0.3">
      <c r="B39" s="69">
        <v>4.7</v>
      </c>
      <c r="C39" s="24"/>
      <c r="D39" s="25" t="s">
        <v>204</v>
      </c>
      <c r="E39" s="85" t="s">
        <v>18</v>
      </c>
      <c r="F39" s="26">
        <f>VLOOKUP($D$7,'Source Data'!$A$2:$ED$22,30,FALSE)</f>
        <v>8</v>
      </c>
      <c r="G39" s="27"/>
    </row>
    <row r="40" spans="2:7" ht="45" customHeight="1" x14ac:dyDescent="0.3">
      <c r="B40" s="69">
        <v>4.8</v>
      </c>
      <c r="C40" s="24"/>
      <c r="D40" s="25" t="s">
        <v>205</v>
      </c>
      <c r="E40" s="85" t="s">
        <v>40</v>
      </c>
      <c r="F40" s="26" t="str">
        <f>VLOOKUP($D$7,'Source Data'!$A$2:$ED$22,31,FALSE)</f>
        <v>&lt;5</v>
      </c>
      <c r="G40" s="27"/>
    </row>
    <row r="41" spans="2:7" ht="45" customHeight="1" x14ac:dyDescent="0.3">
      <c r="B41" s="70">
        <v>5</v>
      </c>
      <c r="C41" s="24" t="s">
        <v>43</v>
      </c>
      <c r="D41" s="29" t="s">
        <v>39</v>
      </c>
      <c r="E41" s="84"/>
      <c r="F41" s="26"/>
      <c r="G41" s="27"/>
    </row>
    <row r="42" spans="2:7" ht="45" customHeight="1" x14ac:dyDescent="0.3">
      <c r="B42" s="69">
        <v>5.0999999999999996</v>
      </c>
      <c r="C42" s="24"/>
      <c r="D42" s="25" t="s">
        <v>297</v>
      </c>
      <c r="E42" s="84" t="s">
        <v>40</v>
      </c>
      <c r="F42" s="26" t="str">
        <f>VLOOKUP($D$7,'Source Data'!$A$2:$ED$22,33,FALSE)</f>
        <v>&lt; 5</v>
      </c>
      <c r="G42" s="27"/>
    </row>
    <row r="43" spans="2:7" ht="45" customHeight="1" x14ac:dyDescent="0.3">
      <c r="B43" s="69">
        <v>5.1999999999999993</v>
      </c>
      <c r="C43" s="24"/>
      <c r="D43" s="25" t="s">
        <v>298</v>
      </c>
      <c r="E43" s="84" t="s">
        <v>40</v>
      </c>
      <c r="F43" s="26" t="str">
        <f>VLOOKUP($D$7,'Source Data'!$A$2:$ED$22,34,FALSE)</f>
        <v xml:space="preserve">&lt; 5 </v>
      </c>
      <c r="G43" s="27"/>
    </row>
    <row r="44" spans="2:7" ht="45" customHeight="1" x14ac:dyDescent="0.3">
      <c r="B44" s="69">
        <v>5.3</v>
      </c>
      <c r="C44" s="24"/>
      <c r="D44" s="25" t="s">
        <v>41</v>
      </c>
      <c r="E44" s="84"/>
      <c r="F44" s="26" t="str">
        <f>VLOOKUP($D$7,'Source Data'!$A$2:$ED$22,35,FALSE)</f>
        <v>xxxxxxxxxxx</v>
      </c>
      <c r="G44" s="27"/>
    </row>
    <row r="45" spans="2:7" ht="45" customHeight="1" x14ac:dyDescent="0.3">
      <c r="B45" s="69">
        <v>5.3999999999999995</v>
      </c>
      <c r="C45" s="24"/>
      <c r="D45" s="25" t="s">
        <v>42</v>
      </c>
      <c r="E45" s="84"/>
      <c r="F45" s="26" t="str">
        <f>VLOOKUP($D$7,'Source Data'!$A$2:$ED$22,36,FALSE)</f>
        <v>xxxxxxxxxxx</v>
      </c>
      <c r="G45" s="27"/>
    </row>
    <row r="46" spans="2:7" ht="45" customHeight="1" x14ac:dyDescent="0.3">
      <c r="B46" s="70">
        <v>6</v>
      </c>
      <c r="C46" s="24" t="s">
        <v>62</v>
      </c>
      <c r="D46" s="29" t="s">
        <v>44</v>
      </c>
      <c r="E46" s="84"/>
      <c r="F46" s="26"/>
      <c r="G46" s="27"/>
    </row>
    <row r="47" spans="2:7" ht="45" customHeight="1" x14ac:dyDescent="0.3">
      <c r="B47" s="69">
        <v>6.1</v>
      </c>
      <c r="C47" s="24"/>
      <c r="D47" s="25" t="s">
        <v>45</v>
      </c>
      <c r="E47" s="84"/>
      <c r="F47" s="26" t="str">
        <f>VLOOKUP($D$7,'Source Data'!$A$2:$ED$22,39,FALSE)</f>
        <v>0, ±2.5, ±5</v>
      </c>
      <c r="G47" s="27"/>
    </row>
    <row r="48" spans="2:7" ht="45" customHeight="1" x14ac:dyDescent="0.3">
      <c r="B48" s="69">
        <v>6.2</v>
      </c>
      <c r="C48" s="24"/>
      <c r="D48" s="25" t="s">
        <v>46</v>
      </c>
      <c r="E48" s="84" t="s">
        <v>47</v>
      </c>
      <c r="F48" s="26" t="str">
        <f>VLOOKUP($D$7,'Source Data'!$A$2:$ED$22,38,FALSE)</f>
        <v>Switch</v>
      </c>
      <c r="G48" s="27"/>
    </row>
    <row r="49" spans="2:7" ht="45" customHeight="1" x14ac:dyDescent="0.3">
      <c r="B49" s="70">
        <v>7</v>
      </c>
      <c r="C49" s="24" t="s">
        <v>267</v>
      </c>
      <c r="D49" s="30" t="s">
        <v>48</v>
      </c>
      <c r="E49" s="84"/>
      <c r="F49" s="26"/>
      <c r="G49" s="27"/>
    </row>
    <row r="50" spans="2:7" ht="45" customHeight="1" x14ac:dyDescent="0.3">
      <c r="B50" s="69">
        <v>7.1</v>
      </c>
      <c r="C50" s="24"/>
      <c r="D50" s="31" t="s">
        <v>49</v>
      </c>
      <c r="E50" s="84"/>
      <c r="F50" s="26" t="str">
        <f>VLOOKUP($D$7,'Source Data'!$A$2:$ED$22,41,FALSE)</f>
        <v>Yes</v>
      </c>
      <c r="G50" s="27"/>
    </row>
    <row r="51" spans="2:7" ht="45" customHeight="1" x14ac:dyDescent="0.3">
      <c r="B51" s="69">
        <v>7.1999999999999993</v>
      </c>
      <c r="C51" s="24"/>
      <c r="D51" s="25" t="s">
        <v>50</v>
      </c>
      <c r="E51" s="84"/>
      <c r="F51" s="26" t="str">
        <f>VLOOKUP($D$7,'Source Data'!$A$2:$ED$22,42,FALSE)</f>
        <v>Yes</v>
      </c>
      <c r="G51" s="27"/>
    </row>
    <row r="52" spans="2:7" ht="45" customHeight="1" x14ac:dyDescent="0.3">
      <c r="B52" s="69">
        <v>7.3</v>
      </c>
      <c r="C52" s="24"/>
      <c r="D52" s="31" t="s">
        <v>51</v>
      </c>
      <c r="E52" s="84"/>
      <c r="F52" s="26" t="str">
        <f>VLOOKUP($D$7,'Source Data'!$A$2:$ED$22,43,FALSE)</f>
        <v>Type 4</v>
      </c>
      <c r="G52" s="27"/>
    </row>
    <row r="53" spans="2:7" ht="45" customHeight="1" x14ac:dyDescent="0.3">
      <c r="B53" s="69">
        <v>7.3999999999999995</v>
      </c>
      <c r="C53" s="26"/>
      <c r="D53" s="25" t="s">
        <v>52</v>
      </c>
      <c r="E53" s="84" t="s">
        <v>35</v>
      </c>
      <c r="F53" s="26">
        <f>VLOOKUP($D$7,'Source Data'!$A$2:$ED$22,44,FALSE)</f>
        <v>100</v>
      </c>
      <c r="G53" s="27"/>
    </row>
    <row r="54" spans="2:7" ht="45" customHeight="1" x14ac:dyDescent="0.3">
      <c r="B54" s="69">
        <v>7.5</v>
      </c>
      <c r="C54" s="24"/>
      <c r="D54" s="31" t="s">
        <v>53</v>
      </c>
      <c r="E54" s="86" t="s">
        <v>35</v>
      </c>
      <c r="F54" s="26">
        <f>VLOOKUP($D$7,'Source Data'!$A$2:$ED$22,45,FALSE)</f>
        <v>110</v>
      </c>
      <c r="G54" s="27"/>
    </row>
    <row r="55" spans="2:7" ht="45" customHeight="1" x14ac:dyDescent="0.3">
      <c r="B55" s="69">
        <v>7.6</v>
      </c>
      <c r="C55" s="24"/>
      <c r="D55" s="31" t="s">
        <v>54</v>
      </c>
      <c r="E55" s="87" t="s">
        <v>35</v>
      </c>
      <c r="F55" s="26" t="str">
        <f>VLOOKUP($D$7,'Source Data'!$A$2:$ED$22,46,FALSE)</f>
        <v>Min 135</v>
      </c>
      <c r="G55" s="27"/>
    </row>
    <row r="56" spans="2:7" ht="45" customHeight="1" x14ac:dyDescent="0.3">
      <c r="B56" s="69">
        <v>7.7</v>
      </c>
      <c r="C56" s="24"/>
      <c r="D56" s="32" t="s">
        <v>55</v>
      </c>
      <c r="E56" s="87" t="s">
        <v>35</v>
      </c>
      <c r="F56" s="26">
        <f>VLOOKUP($D$7,'Source Data'!$A$2:$ED$22,47,FALSE)</f>
        <v>90</v>
      </c>
      <c r="G56" s="27"/>
    </row>
    <row r="57" spans="2:7" ht="45" customHeight="1" x14ac:dyDescent="0.3">
      <c r="B57" s="69">
        <v>7.8</v>
      </c>
      <c r="C57" s="24"/>
      <c r="D57" s="25" t="s">
        <v>56</v>
      </c>
      <c r="E57" s="83" t="s">
        <v>35</v>
      </c>
      <c r="F57" s="26" t="str">
        <f>VLOOKUP($D$7,'Source Data'!$A$2:$ED$22,48,FALSE)</f>
        <v>50-75</v>
      </c>
      <c r="G57" s="27"/>
    </row>
    <row r="58" spans="2:7" ht="45" customHeight="1" x14ac:dyDescent="0.3">
      <c r="B58" s="69">
        <v>7.9</v>
      </c>
      <c r="C58" s="24"/>
      <c r="D58" s="25" t="s">
        <v>57</v>
      </c>
      <c r="E58" s="84" t="s">
        <v>35</v>
      </c>
      <c r="F58" s="26" t="str">
        <f>VLOOKUP($D$7,'Source Data'!$A$2:$ED$22,49,FALSE)</f>
        <v>&gt;= 350</v>
      </c>
      <c r="G58" s="27"/>
    </row>
    <row r="59" spans="2:7" ht="45" customHeight="1" x14ac:dyDescent="0.3">
      <c r="B59" s="69" t="s">
        <v>58</v>
      </c>
      <c r="C59" s="24"/>
      <c r="D59" s="25" t="s">
        <v>59</v>
      </c>
      <c r="E59" s="84"/>
      <c r="F59" s="26" t="str">
        <f>VLOOKUP($D$7,'Source Data'!$A$2:$ED$22,50,FALSE)</f>
        <v>Yes</v>
      </c>
      <c r="G59" s="27"/>
    </row>
    <row r="60" spans="2:7" ht="45" customHeight="1" x14ac:dyDescent="0.3">
      <c r="B60" s="69">
        <v>7.11</v>
      </c>
      <c r="C60" s="24"/>
      <c r="D60" s="25" t="s">
        <v>209</v>
      </c>
      <c r="E60" s="84" t="s">
        <v>35</v>
      </c>
      <c r="F60" s="26" t="str">
        <f>VLOOKUP($D$7,'Source Data'!$A$2:$ED$22,51,FALSE)</f>
        <v>Clearance "e" as per SANS 876</v>
      </c>
      <c r="G60" s="27"/>
    </row>
    <row r="61" spans="2:7" ht="45" customHeight="1" x14ac:dyDescent="0.3">
      <c r="B61" s="69">
        <v>7.12</v>
      </c>
      <c r="C61" s="24"/>
      <c r="D61" s="31" t="s">
        <v>207</v>
      </c>
      <c r="E61" s="84"/>
      <c r="F61" s="26" t="str">
        <f>VLOOKUP($D$7,'Source Data'!$A$2:$ED$22,52,FALSE)</f>
        <v>Rubber grommet or other offer</v>
      </c>
      <c r="G61" s="27"/>
    </row>
    <row r="62" spans="2:7" ht="45" customHeight="1" x14ac:dyDescent="0.3">
      <c r="B62" s="70">
        <v>8</v>
      </c>
      <c r="C62" s="24" t="s">
        <v>267</v>
      </c>
      <c r="D62" s="29" t="s">
        <v>63</v>
      </c>
      <c r="E62" s="84"/>
      <c r="F62" s="26"/>
      <c r="G62" s="27"/>
    </row>
    <row r="63" spans="2:7" ht="45" customHeight="1" x14ac:dyDescent="0.3">
      <c r="B63" s="69">
        <v>8.1</v>
      </c>
      <c r="C63" s="24"/>
      <c r="D63" s="25" t="s">
        <v>64</v>
      </c>
      <c r="E63" s="84"/>
      <c r="F63" s="26" t="str">
        <f>VLOOKUP($D$7,'Source Data'!$A$2:$ED$22,54,FALSE)</f>
        <v>xxxxxxxxxxx</v>
      </c>
      <c r="G63" s="27"/>
    </row>
    <row r="64" spans="2:7" ht="45" customHeight="1" x14ac:dyDescent="0.3">
      <c r="B64" s="69">
        <v>8.1999999999999993</v>
      </c>
      <c r="C64" s="24"/>
      <c r="D64" s="25" t="s">
        <v>65</v>
      </c>
      <c r="E64" s="84"/>
      <c r="F64" s="26" t="str">
        <f>VLOOKUP($D$7,'Source Data'!$A$2:$ED$22,55,FALSE)</f>
        <v>xxxxxxxxxxx</v>
      </c>
      <c r="G64" s="27"/>
    </row>
    <row r="65" spans="2:7" ht="45" customHeight="1" x14ac:dyDescent="0.3">
      <c r="B65" s="69">
        <v>8.3000000000000007</v>
      </c>
      <c r="C65" s="24"/>
      <c r="D65" s="28" t="s">
        <v>66</v>
      </c>
      <c r="E65" s="84"/>
      <c r="F65" s="26" t="str">
        <f>VLOOKUP($D$7,'Source Data'!$A$2:$ED$22,56,FALSE)</f>
        <v>xxxxxxxxxxx</v>
      </c>
      <c r="G65" s="27"/>
    </row>
    <row r="66" spans="2:7" ht="45" customHeight="1" x14ac:dyDescent="0.3">
      <c r="B66" s="69">
        <v>8.4</v>
      </c>
      <c r="C66" s="24"/>
      <c r="D66" s="28" t="s">
        <v>67</v>
      </c>
      <c r="E66" s="84"/>
      <c r="F66" s="26" t="str">
        <f>VLOOKUP($D$7,'Source Data'!$A$2:$ED$22,57,FALSE)</f>
        <v>M12</v>
      </c>
      <c r="G66" s="27"/>
    </row>
    <row r="67" spans="2:7" ht="45" customHeight="1" x14ac:dyDescent="0.3">
      <c r="B67" s="69">
        <v>8.5</v>
      </c>
      <c r="C67" s="24"/>
      <c r="D67" s="25" t="s">
        <v>211</v>
      </c>
      <c r="E67" s="84"/>
      <c r="F67" s="26" t="str">
        <f>VLOOKUP($D$7,'Source Data'!$A$2:$ED$22,58,FALSE)</f>
        <v>Yes</v>
      </c>
      <c r="G67" s="27"/>
    </row>
    <row r="68" spans="2:7" ht="45" customHeight="1" x14ac:dyDescent="0.3">
      <c r="B68" s="69">
        <v>8.6</v>
      </c>
      <c r="C68" s="24"/>
      <c r="D68" s="25" t="s">
        <v>49</v>
      </c>
      <c r="E68" s="84"/>
      <c r="F68" s="26" t="str">
        <f>VLOOKUP($D$7,'Source Data'!$A$2:$ED$22,59,FALSE)</f>
        <v>Yes</v>
      </c>
      <c r="G68" s="27"/>
    </row>
    <row r="69" spans="2:7" ht="45" customHeight="1" x14ac:dyDescent="0.3">
      <c r="B69" s="69">
        <v>8.6999999999999993</v>
      </c>
      <c r="C69" s="24"/>
      <c r="D69" s="25" t="s">
        <v>50</v>
      </c>
      <c r="E69" s="84"/>
      <c r="F69" s="26" t="str">
        <f>VLOOKUP($D$7,'Source Data'!$A$2:$ED$22,60,FALSE)</f>
        <v>Yes</v>
      </c>
      <c r="G69" s="27"/>
    </row>
    <row r="70" spans="2:7" ht="45" customHeight="1" x14ac:dyDescent="0.3">
      <c r="B70" s="69">
        <v>8.8000000000000007</v>
      </c>
      <c r="C70" s="24"/>
      <c r="D70" s="25" t="s">
        <v>69</v>
      </c>
      <c r="E70" s="84" t="s">
        <v>35</v>
      </c>
      <c r="F70" s="26">
        <f>VLOOKUP($D$7,'Source Data'!$A$2:$ED$22,61,FALSE)</f>
        <v>60</v>
      </c>
      <c r="G70" s="27"/>
    </row>
    <row r="71" spans="2:7" ht="45" customHeight="1" x14ac:dyDescent="0.3">
      <c r="B71" s="69">
        <v>8.9</v>
      </c>
      <c r="C71" s="24"/>
      <c r="D71" s="25" t="s">
        <v>212</v>
      </c>
      <c r="E71" s="84" t="s">
        <v>220</v>
      </c>
      <c r="F71" s="26" t="str">
        <f>VLOOKUP($D$7,'Source Data'!$A$2:$ED$22,62,FALSE)</f>
        <v>2.0 A/mm² or 1.6 A/mm²</v>
      </c>
      <c r="G71" s="27"/>
    </row>
    <row r="72" spans="2:7" ht="45" customHeight="1" x14ac:dyDescent="0.3">
      <c r="B72" s="69" t="s">
        <v>71</v>
      </c>
      <c r="C72" s="24"/>
      <c r="D72" s="25" t="s">
        <v>72</v>
      </c>
      <c r="E72" s="84"/>
      <c r="F72" s="26" t="str">
        <f>VLOOKUP($D$7,'Source Data'!$A$2:$ED$22,63,FALSE)</f>
        <v>Yes</v>
      </c>
      <c r="G72" s="27"/>
    </row>
    <row r="73" spans="2:7" ht="45" customHeight="1" x14ac:dyDescent="0.3">
      <c r="B73" s="69">
        <v>8.11</v>
      </c>
      <c r="C73" s="24"/>
      <c r="D73" s="31" t="s">
        <v>73</v>
      </c>
      <c r="E73" s="84"/>
      <c r="F73" s="26" t="str">
        <f>VLOOKUP($D$7,'Source Data'!$A$2:$ED$22,64,FALSE)</f>
        <v>Yes</v>
      </c>
      <c r="G73" s="27"/>
    </row>
    <row r="74" spans="2:7" ht="45" customHeight="1" x14ac:dyDescent="0.3">
      <c r="B74" s="69">
        <v>8.1199999999999992</v>
      </c>
      <c r="C74" s="24"/>
      <c r="D74" s="25" t="s">
        <v>213</v>
      </c>
      <c r="E74" s="84" t="s">
        <v>219</v>
      </c>
      <c r="F74" s="26">
        <f>VLOOKUP($D$7,'Source Data'!$A$2:$ED$22,65,FALSE)</f>
        <v>70</v>
      </c>
      <c r="G74" s="27"/>
    </row>
    <row r="75" spans="2:7" ht="45" customHeight="1" x14ac:dyDescent="0.3">
      <c r="B75" s="69">
        <v>8.1300000000000008</v>
      </c>
      <c r="C75" s="33" t="s">
        <v>214</v>
      </c>
      <c r="D75" s="31" t="s">
        <v>74</v>
      </c>
      <c r="E75" s="86"/>
      <c r="F75" s="26" t="str">
        <f>VLOOKUP($D$7,'Source Data'!$A$2:$ED$22,66,FALSE)</f>
        <v>7 (2 per
phase, 1 for
neutral)</v>
      </c>
      <c r="G75" s="27"/>
    </row>
    <row r="76" spans="2:7" ht="45" customHeight="1" x14ac:dyDescent="0.3">
      <c r="B76" s="69">
        <v>8.14</v>
      </c>
      <c r="C76" s="33" t="s">
        <v>214</v>
      </c>
      <c r="D76" s="31" t="s">
        <v>75</v>
      </c>
      <c r="E76" s="86" t="s">
        <v>35</v>
      </c>
      <c r="F76" s="26" t="str">
        <f>VLOOKUP($D$7,'Source Data'!$A$2:$ED$22,67,FALSE)</f>
        <v>∅ 50</v>
      </c>
      <c r="G76" s="27"/>
    </row>
    <row r="77" spans="2:7" ht="45" customHeight="1" x14ac:dyDescent="0.3">
      <c r="B77" s="69">
        <v>8.15</v>
      </c>
      <c r="C77" s="33" t="s">
        <v>214</v>
      </c>
      <c r="D77" s="31" t="s">
        <v>76</v>
      </c>
      <c r="E77" s="86" t="s">
        <v>35</v>
      </c>
      <c r="F77" s="26">
        <f>VLOOKUP($D$7,'Source Data'!$A$2:$ED$22,68,FALSE)</f>
        <v>85</v>
      </c>
      <c r="G77" s="27"/>
    </row>
    <row r="78" spans="2:7" ht="45" customHeight="1" x14ac:dyDescent="0.3">
      <c r="B78" s="69">
        <v>8.16</v>
      </c>
      <c r="C78" s="33" t="s">
        <v>214</v>
      </c>
      <c r="D78" s="31" t="s">
        <v>77</v>
      </c>
      <c r="E78" s="86"/>
      <c r="F78" s="26" t="str">
        <f>VLOOKUP($D$7,'Source Data'!$A$2:$ED$22,69,FALSE)</f>
        <v>Compression Type A2 No. 5</v>
      </c>
      <c r="G78" s="27"/>
    </row>
    <row r="79" spans="2:7" ht="45" customHeight="1" x14ac:dyDescent="0.3">
      <c r="B79" s="70">
        <v>10</v>
      </c>
      <c r="C79" s="24" t="s">
        <v>268</v>
      </c>
      <c r="D79" s="30" t="s">
        <v>78</v>
      </c>
      <c r="E79" s="88"/>
      <c r="F79" s="26"/>
      <c r="G79" s="27"/>
    </row>
    <row r="80" spans="2:7" ht="45" customHeight="1" x14ac:dyDescent="0.3">
      <c r="B80" s="69">
        <v>10.1</v>
      </c>
      <c r="C80" s="24"/>
      <c r="D80" s="28" t="s">
        <v>79</v>
      </c>
      <c r="E80" s="88"/>
      <c r="F80" s="26" t="str">
        <f>VLOOKUP($D$7,'Source Data'!$A$2:$ED$22,71,FALSE)</f>
        <v>Distribution</v>
      </c>
      <c r="G80" s="27" t="s">
        <v>10</v>
      </c>
    </row>
    <row r="81" spans="2:7" ht="45" customHeight="1" x14ac:dyDescent="0.3">
      <c r="B81" s="69">
        <v>10.199999999999999</v>
      </c>
      <c r="C81" s="24"/>
      <c r="D81" s="28" t="s">
        <v>81</v>
      </c>
      <c r="E81" s="88" t="s">
        <v>82</v>
      </c>
      <c r="F81" s="26">
        <f>VLOOKUP($D$7,'Source Data'!$A$2:$ED$22,72,FALSE)</f>
        <v>80500</v>
      </c>
      <c r="G81" s="27" t="s">
        <v>10</v>
      </c>
    </row>
    <row r="82" spans="2:7" ht="45" customHeight="1" x14ac:dyDescent="0.3">
      <c r="B82" s="69">
        <v>10.299999999999999</v>
      </c>
      <c r="C82" s="24"/>
      <c r="D82" s="28" t="s">
        <v>83</v>
      </c>
      <c r="E82" s="88" t="s">
        <v>82</v>
      </c>
      <c r="F82" s="26">
        <f>VLOOKUP($D$7,'Source Data'!$A$2:$ED$22,73,FALSE)</f>
        <v>17500</v>
      </c>
      <c r="G82" s="27" t="s">
        <v>10</v>
      </c>
    </row>
    <row r="83" spans="2:7" ht="45" customHeight="1" x14ac:dyDescent="0.3">
      <c r="B83" s="69">
        <v>10.4</v>
      </c>
      <c r="C83" s="24"/>
      <c r="D83" s="28" t="s">
        <v>84</v>
      </c>
      <c r="E83" s="88" t="s">
        <v>85</v>
      </c>
      <c r="F83" s="26" t="str">
        <f>VLOOKUP($D$7,'Source Data'!$A$2:$ED$22,74,FALSE)</f>
        <v>≤ 1 070</v>
      </c>
      <c r="G83" s="27"/>
    </row>
    <row r="84" spans="2:7" ht="45" customHeight="1" x14ac:dyDescent="0.3">
      <c r="B84" s="69">
        <v>10.5</v>
      </c>
      <c r="C84" s="24"/>
      <c r="D84" s="28" t="s">
        <v>224</v>
      </c>
      <c r="E84" s="88" t="s">
        <v>85</v>
      </c>
      <c r="F84" s="26" t="str">
        <f>VLOOKUP($D$7,'Source Data'!$A$2:$ED$22,75,FALSE)</f>
        <v>≤ 390</v>
      </c>
      <c r="G84" s="27"/>
    </row>
    <row r="85" spans="2:7" ht="45" customHeight="1" x14ac:dyDescent="0.3">
      <c r="B85" s="69">
        <v>10.6</v>
      </c>
      <c r="C85" s="24"/>
      <c r="D85" s="28" t="s">
        <v>86</v>
      </c>
      <c r="E85" s="88" t="s">
        <v>85</v>
      </c>
      <c r="F85" s="26" t="str">
        <f>VLOOKUP($D$7,'Source Data'!$A$2:$ED$22,76,FALSE)</f>
        <v>≤ 8900</v>
      </c>
      <c r="G85" s="27"/>
    </row>
    <row r="86" spans="2:7" ht="45" customHeight="1" x14ac:dyDescent="0.3">
      <c r="B86" s="70">
        <v>11</v>
      </c>
      <c r="C86" s="24" t="s">
        <v>268</v>
      </c>
      <c r="D86" s="34" t="s">
        <v>87</v>
      </c>
      <c r="E86" s="84"/>
      <c r="F86" s="26"/>
      <c r="G86" s="27"/>
    </row>
    <row r="87" spans="2:7" ht="45" customHeight="1" x14ac:dyDescent="0.3">
      <c r="B87" s="69">
        <v>11.1</v>
      </c>
      <c r="C87" s="26"/>
      <c r="D87" s="35" t="s">
        <v>296</v>
      </c>
      <c r="E87" s="84" t="s">
        <v>47</v>
      </c>
      <c r="F87" s="26" t="str">
        <f>VLOOKUP($D$7,'Source Data'!$A$2:$ED$22,78,FALSE)</f>
        <v>4,5 to 5,5</v>
      </c>
      <c r="G87" s="27"/>
    </row>
    <row r="88" spans="2:7" ht="45" customHeight="1" x14ac:dyDescent="0.3">
      <c r="B88" s="69">
        <v>11.2</v>
      </c>
      <c r="C88" s="24"/>
      <c r="D88" s="35" t="s">
        <v>88</v>
      </c>
      <c r="E88" s="84"/>
      <c r="F88" s="26" t="str">
        <f>VLOOKUP($D$7,'Source Data'!$A$2:$ED$22,79,FALSE)</f>
        <v>xxxxxxxxxx</v>
      </c>
      <c r="G88" s="27"/>
    </row>
    <row r="89" spans="2:7" ht="45" customHeight="1" x14ac:dyDescent="0.3">
      <c r="B89" s="70">
        <v>12</v>
      </c>
      <c r="C89" s="24"/>
      <c r="D89" s="29" t="s">
        <v>250</v>
      </c>
      <c r="E89" s="84"/>
      <c r="F89" s="26"/>
      <c r="G89" s="27"/>
    </row>
    <row r="90" spans="2:7" ht="45" customHeight="1" x14ac:dyDescent="0.3">
      <c r="B90" s="69">
        <v>12.1</v>
      </c>
      <c r="C90" s="24"/>
      <c r="D90" s="25" t="s">
        <v>90</v>
      </c>
      <c r="E90" s="84" t="s">
        <v>91</v>
      </c>
      <c r="F90" s="26" t="str">
        <f>VLOOKUP($D$7,'Source Data'!$A$2:$ED$22,81,FALSE)</f>
        <v xml:space="preserve">≤ 56 </v>
      </c>
      <c r="G90" s="27"/>
    </row>
    <row r="91" spans="2:7" ht="45" customHeight="1" x14ac:dyDescent="0.3">
      <c r="B91" s="70">
        <v>13</v>
      </c>
      <c r="C91" s="24"/>
      <c r="D91" s="29" t="s">
        <v>92</v>
      </c>
      <c r="E91" s="84"/>
      <c r="F91" s="26"/>
      <c r="G91" s="27"/>
    </row>
    <row r="92" spans="2:7" ht="45" customHeight="1" x14ac:dyDescent="0.3">
      <c r="B92" s="69">
        <v>13.1</v>
      </c>
      <c r="C92" s="24"/>
      <c r="D92" s="25" t="s">
        <v>93</v>
      </c>
      <c r="E92" s="84"/>
      <c r="F92" s="26" t="str">
        <f>VLOOKUP($D$7,'Source Data'!$A$2:$ED$22,83,FALSE)</f>
        <v>xxxxxxxxxxx</v>
      </c>
      <c r="G92" s="27"/>
    </row>
    <row r="93" spans="2:7" ht="45" customHeight="1" x14ac:dyDescent="0.3">
      <c r="B93" s="69">
        <v>13.2</v>
      </c>
      <c r="C93" s="24"/>
      <c r="D93" s="25" t="s">
        <v>94</v>
      </c>
      <c r="E93" s="84"/>
      <c r="F93" s="26" t="str">
        <f>VLOOKUP($D$7,'Source Data'!$A$2:$ED$22,84,FALSE)</f>
        <v>xxxxxxxxxxx</v>
      </c>
      <c r="G93" s="27"/>
    </row>
    <row r="94" spans="2:7" ht="45" customHeight="1" x14ac:dyDescent="0.3">
      <c r="B94" s="70">
        <v>14</v>
      </c>
      <c r="C94" s="24"/>
      <c r="D94" s="29" t="s">
        <v>95</v>
      </c>
      <c r="E94" s="84"/>
      <c r="F94" s="26"/>
      <c r="G94" s="27"/>
    </row>
    <row r="95" spans="2:7" ht="45" customHeight="1" x14ac:dyDescent="0.3">
      <c r="B95" s="69">
        <v>14.1</v>
      </c>
      <c r="C95" s="24"/>
      <c r="D95" s="25" t="s">
        <v>93</v>
      </c>
      <c r="E95" s="84"/>
      <c r="F95" s="26" t="str">
        <f>VLOOKUP($D$7,'Source Data'!$A$2:$ED$22,86,FALSE)</f>
        <v>xxxxxxxxxxx</v>
      </c>
      <c r="G95" s="27"/>
    </row>
    <row r="96" spans="2:7" ht="45" customHeight="1" x14ac:dyDescent="0.3">
      <c r="B96" s="69">
        <v>14.2</v>
      </c>
      <c r="C96" s="24"/>
      <c r="D96" s="25" t="s">
        <v>94</v>
      </c>
      <c r="E96" s="84"/>
      <c r="F96" s="26" t="str">
        <f>VLOOKUP($D$7,'Source Data'!$A$2:$ED$22,87,FALSE)</f>
        <v>xxxxxxxxxxx</v>
      </c>
      <c r="G96" s="27"/>
    </row>
    <row r="97" spans="2:7" ht="45" customHeight="1" x14ac:dyDescent="0.3">
      <c r="B97" s="70">
        <v>15</v>
      </c>
      <c r="C97" s="24"/>
      <c r="D97" s="29" t="s">
        <v>96</v>
      </c>
      <c r="E97" s="84"/>
      <c r="F97" s="26"/>
      <c r="G97" s="27"/>
    </row>
    <row r="98" spans="2:7" ht="45" customHeight="1" x14ac:dyDescent="0.3">
      <c r="B98" s="69">
        <v>15.1</v>
      </c>
      <c r="C98" s="24"/>
      <c r="D98" s="25" t="s">
        <v>97</v>
      </c>
      <c r="E98" s="84"/>
      <c r="F98" s="26" t="str">
        <f>VLOOKUP($D$7,'Source Data'!$A$2:$ED$22,89,FALSE)</f>
        <v>Steel or Amporphous</v>
      </c>
      <c r="G98" s="27"/>
    </row>
    <row r="99" spans="2:7" ht="45" customHeight="1" x14ac:dyDescent="0.3">
      <c r="B99" s="69">
        <v>15.2</v>
      </c>
      <c r="C99" s="24"/>
      <c r="D99" s="25" t="s">
        <v>98</v>
      </c>
      <c r="E99" s="84"/>
      <c r="F99" s="26" t="str">
        <f>VLOOKUP($D$7,'Source Data'!$A$2:$ED$22,90,FALSE)</f>
        <v>xxxxxxxxxxx</v>
      </c>
      <c r="G99" s="27"/>
    </row>
    <row r="100" spans="2:7" ht="45" customHeight="1" x14ac:dyDescent="0.3">
      <c r="B100" s="69">
        <v>15.3</v>
      </c>
      <c r="C100" s="24"/>
      <c r="D100" s="25" t="s">
        <v>99</v>
      </c>
      <c r="E100" s="84"/>
      <c r="F100" s="26" t="str">
        <f>VLOOKUP($D$7,'Source Data'!$A$2:$ED$22,91,FALSE)</f>
        <v>xxxxxxxxxxx</v>
      </c>
      <c r="G100" s="27"/>
    </row>
    <row r="101" spans="2:7" ht="45" customHeight="1" x14ac:dyDescent="0.3">
      <c r="B101" s="69">
        <v>15.4</v>
      </c>
      <c r="C101" s="24"/>
      <c r="D101" s="25" t="s">
        <v>100</v>
      </c>
      <c r="E101" s="84"/>
      <c r="F101" s="26" t="str">
        <f>VLOOKUP($D$7,'Source Data'!$A$2:$ED$22,92,FALSE)</f>
        <v>xxxxxxxxxxx</v>
      </c>
      <c r="G101" s="27"/>
    </row>
    <row r="102" spans="2:7" ht="45" customHeight="1" x14ac:dyDescent="0.3">
      <c r="B102" s="70">
        <v>16</v>
      </c>
      <c r="C102" s="24" t="s">
        <v>101</v>
      </c>
      <c r="D102" s="34" t="s">
        <v>102</v>
      </c>
      <c r="E102" s="84"/>
      <c r="F102" s="26"/>
      <c r="G102" s="27"/>
    </row>
    <row r="103" spans="2:7" ht="45" customHeight="1" x14ac:dyDescent="0.3">
      <c r="B103" s="69">
        <v>16.100000000000001</v>
      </c>
      <c r="C103" s="24"/>
      <c r="D103" s="25" t="s">
        <v>103</v>
      </c>
      <c r="E103" s="84"/>
      <c r="F103" s="26" t="str">
        <f>VLOOKUP($D$7,'Source Data'!$A$2:$ED$22,94,FALSE)</f>
        <v>Sealed</v>
      </c>
      <c r="G103" s="27"/>
    </row>
    <row r="104" spans="2:7" ht="45" customHeight="1" x14ac:dyDescent="0.3">
      <c r="B104" s="69">
        <v>16.2</v>
      </c>
      <c r="C104" s="24"/>
      <c r="D104" s="25" t="s">
        <v>253</v>
      </c>
      <c r="E104" s="84"/>
      <c r="F104" s="26" t="str">
        <f>VLOOKUP($D$7,'Source Data'!$A$2:$ED$22,95,FALSE)</f>
        <v>xxxxxxxxxx</v>
      </c>
      <c r="G104" s="27"/>
    </row>
    <row r="105" spans="2:7" ht="45" customHeight="1" x14ac:dyDescent="0.3">
      <c r="B105" s="70">
        <v>17</v>
      </c>
      <c r="C105" s="24" t="s">
        <v>104</v>
      </c>
      <c r="D105" s="29" t="s">
        <v>105</v>
      </c>
      <c r="E105" s="84"/>
      <c r="F105" s="26"/>
      <c r="G105" s="27"/>
    </row>
    <row r="106" spans="2:7" ht="45" customHeight="1" x14ac:dyDescent="0.3">
      <c r="B106" s="69">
        <v>17.100000000000001</v>
      </c>
      <c r="C106" s="24" t="s">
        <v>254</v>
      </c>
      <c r="D106" s="25" t="s">
        <v>106</v>
      </c>
      <c r="E106" s="84" t="s">
        <v>35</v>
      </c>
      <c r="F106" s="26" t="str">
        <f>VLOOKUP($D$7,'Source Data'!$A$2:$ED$22,97,FALSE)</f>
        <v>≤ 1 000</v>
      </c>
      <c r="G106" s="27"/>
    </row>
    <row r="107" spans="2:7" ht="45" customHeight="1" x14ac:dyDescent="0.3">
      <c r="B107" s="69">
        <v>17.2</v>
      </c>
      <c r="C107" s="24" t="s">
        <v>254</v>
      </c>
      <c r="D107" s="25" t="s">
        <v>107</v>
      </c>
      <c r="E107" s="84" t="s">
        <v>35</v>
      </c>
      <c r="F107" s="26" t="str">
        <f>VLOOKUP($D$7,'Source Data'!$A$2:$ED$22,98,FALSE)</f>
        <v xml:space="preserve">≤ 1 500 </v>
      </c>
      <c r="G107" s="27"/>
    </row>
    <row r="108" spans="2:7" ht="45" customHeight="1" x14ac:dyDescent="0.3">
      <c r="B108" s="69">
        <v>17.3</v>
      </c>
      <c r="C108" s="24" t="s">
        <v>254</v>
      </c>
      <c r="D108" s="25" t="s">
        <v>108</v>
      </c>
      <c r="E108" s="84" t="s">
        <v>35</v>
      </c>
      <c r="F108" s="26" t="str">
        <f>VLOOKUP($D$7,'Source Data'!$A$2:$ED$22,99,FALSE)</f>
        <v>xxxxxxxxxxx</v>
      </c>
      <c r="G108" s="27"/>
    </row>
    <row r="109" spans="2:7" ht="45" customHeight="1" x14ac:dyDescent="0.3">
      <c r="B109" s="69">
        <v>17.399999999999999</v>
      </c>
      <c r="C109" s="24" t="s">
        <v>254</v>
      </c>
      <c r="D109" s="25" t="s">
        <v>109</v>
      </c>
      <c r="E109" s="84" t="s">
        <v>110</v>
      </c>
      <c r="F109" s="26" t="str">
        <f>VLOOKUP($D$7,'Source Data'!$A$2:$ED$22,100,FALSE)</f>
        <v>xxxxxxxxxxx</v>
      </c>
      <c r="G109" s="27"/>
    </row>
    <row r="110" spans="2:7" ht="45" customHeight="1" x14ac:dyDescent="0.3">
      <c r="B110" s="69">
        <v>17.5</v>
      </c>
      <c r="C110" s="24"/>
      <c r="D110" s="25" t="s">
        <v>111</v>
      </c>
      <c r="E110" s="84" t="s">
        <v>112</v>
      </c>
      <c r="F110" s="26" t="str">
        <f>VLOOKUP($D$7,'Source Data'!$A$2:$ED$22,101,FALSE)</f>
        <v>xxxxxxxxxxx</v>
      </c>
      <c r="G110" s="27"/>
    </row>
    <row r="111" spans="2:7" ht="45" customHeight="1" x14ac:dyDescent="0.3">
      <c r="B111" s="70">
        <v>19</v>
      </c>
      <c r="C111" s="33" t="s">
        <v>113</v>
      </c>
      <c r="D111" s="29" t="s">
        <v>114</v>
      </c>
      <c r="E111" s="84"/>
      <c r="F111" s="26"/>
      <c r="G111" s="27"/>
    </row>
    <row r="112" spans="2:7" ht="45" customHeight="1" x14ac:dyDescent="0.3">
      <c r="B112" s="69">
        <v>19.100000000000001</v>
      </c>
      <c r="C112" s="24"/>
      <c r="D112" s="25" t="s">
        <v>256</v>
      </c>
      <c r="E112" s="84"/>
      <c r="F112" s="26" t="str">
        <f>VLOOKUP($D$7,'Source Data'!$A$2:$ED$22,103,FALSE)</f>
        <v>Yes</v>
      </c>
      <c r="G112" s="27"/>
    </row>
    <row r="113" spans="2:7" ht="45" customHeight="1" x14ac:dyDescent="0.3">
      <c r="B113" s="69">
        <v>19.2</v>
      </c>
      <c r="C113" s="24"/>
      <c r="D113" s="25" t="s">
        <v>115</v>
      </c>
      <c r="E113" s="84" t="s">
        <v>35</v>
      </c>
      <c r="F113" s="26">
        <f>VLOOKUP($D$7,'Source Data'!$A$2:$ED$22,104,FALSE)</f>
        <v>1000</v>
      </c>
      <c r="G113" s="27"/>
    </row>
    <row r="114" spans="2:7" ht="45" customHeight="1" x14ac:dyDescent="0.3">
      <c r="B114" s="69">
        <v>19.3</v>
      </c>
      <c r="C114" s="24"/>
      <c r="D114" s="25" t="s">
        <v>116</v>
      </c>
      <c r="E114" s="84" t="s">
        <v>35</v>
      </c>
      <c r="F114" s="26">
        <f>VLOOKUP($D$7,'Source Data'!$A$2:$ED$22,105,FALSE)</f>
        <v>1500</v>
      </c>
      <c r="G114" s="27"/>
    </row>
    <row r="115" spans="2:7" ht="45" customHeight="1" x14ac:dyDescent="0.3">
      <c r="B115" s="70">
        <v>20</v>
      </c>
      <c r="C115" s="24" t="s">
        <v>117</v>
      </c>
      <c r="D115" s="29" t="s">
        <v>118</v>
      </c>
      <c r="E115" s="84"/>
      <c r="F115" s="26"/>
      <c r="G115" s="27"/>
    </row>
    <row r="116" spans="2:7" ht="45" customHeight="1" x14ac:dyDescent="0.3">
      <c r="B116" s="69">
        <v>20.100000000000001</v>
      </c>
      <c r="C116" s="24"/>
      <c r="D116" s="25" t="s">
        <v>255</v>
      </c>
      <c r="E116" s="84"/>
      <c r="F116" s="26" t="str">
        <f>VLOOKUP($D$7,'Source Data'!$A$2:$ED$22,107,FALSE)</f>
        <v>Yes</v>
      </c>
      <c r="G116" s="27"/>
    </row>
    <row r="117" spans="2:7" ht="45" customHeight="1" x14ac:dyDescent="0.3">
      <c r="B117" s="69">
        <v>20.2</v>
      </c>
      <c r="C117" s="24"/>
      <c r="D117" s="25" t="s">
        <v>119</v>
      </c>
      <c r="E117" s="84" t="s">
        <v>35</v>
      </c>
      <c r="F117" s="26" t="str">
        <f>VLOOKUP($D$7,'Source Data'!$A$2:$ED$22,108,FALSE)</f>
        <v xml:space="preserve">≥ 30 </v>
      </c>
      <c r="G117" s="27"/>
    </row>
    <row r="118" spans="2:7" ht="45" customHeight="1" x14ac:dyDescent="0.3">
      <c r="B118" s="70">
        <v>21</v>
      </c>
      <c r="C118" s="24" t="s">
        <v>120</v>
      </c>
      <c r="D118" s="29" t="s">
        <v>121</v>
      </c>
      <c r="E118" s="84"/>
      <c r="F118" s="26"/>
      <c r="G118" s="27"/>
    </row>
    <row r="119" spans="2:7" ht="45" customHeight="1" x14ac:dyDescent="0.3">
      <c r="B119" s="69">
        <v>21.1</v>
      </c>
      <c r="C119" s="24"/>
      <c r="D119" s="25" t="s">
        <v>122</v>
      </c>
      <c r="E119" s="84"/>
      <c r="F119" s="26" t="str">
        <f>VLOOKUP($D$7,'Source Data'!$A$2:$ED$22,110,FALSE)</f>
        <v>316 Stainless Steel or Mild Steel</v>
      </c>
      <c r="G119" s="27"/>
    </row>
    <row r="120" spans="2:7" ht="45" customHeight="1" x14ac:dyDescent="0.3">
      <c r="B120" s="69">
        <v>21.2</v>
      </c>
      <c r="C120" s="24"/>
      <c r="D120" s="25" t="s">
        <v>123</v>
      </c>
      <c r="E120" s="84" t="s">
        <v>35</v>
      </c>
      <c r="F120" s="26" t="str">
        <f>VLOOKUP($D$7,'Source Data'!$A$2:$ED$22,111,FALSE)</f>
        <v>≥ 30</v>
      </c>
      <c r="G120" s="27"/>
    </row>
    <row r="121" spans="2:7" ht="45" customHeight="1" x14ac:dyDescent="0.3">
      <c r="B121" s="69">
        <v>21.3</v>
      </c>
      <c r="C121" s="24"/>
      <c r="D121" s="25" t="s">
        <v>124</v>
      </c>
      <c r="E121" s="84"/>
      <c r="F121" s="26" t="str">
        <f>VLOOKUP($D$7,'Source Data'!$A$2:$ED$22,112,FALSE)</f>
        <v>316 Stainless Steel or Mild Steel</v>
      </c>
      <c r="G121" s="27"/>
    </row>
    <row r="122" spans="2:7" ht="45" customHeight="1" x14ac:dyDescent="0.3">
      <c r="B122" s="69">
        <v>21.4</v>
      </c>
      <c r="C122" s="24"/>
      <c r="D122" s="25" t="s">
        <v>125</v>
      </c>
      <c r="E122" s="84" t="s">
        <v>35</v>
      </c>
      <c r="F122" s="26" t="str">
        <f>VLOOKUP($D$7,'Source Data'!$A$2:$ED$22,113,FALSE)</f>
        <v xml:space="preserve">M12 x 25 </v>
      </c>
      <c r="G122" s="27"/>
    </row>
    <row r="123" spans="2:7" ht="45" customHeight="1" x14ac:dyDescent="0.3">
      <c r="B123" s="69">
        <v>21.5</v>
      </c>
      <c r="C123" s="24"/>
      <c r="D123" s="25" t="s">
        <v>126</v>
      </c>
      <c r="E123" s="84"/>
      <c r="F123" s="26" t="str">
        <f>VLOOKUP($D$7,'Source Data'!$A$2:$ED$22,114,FALSE)</f>
        <v>Yes</v>
      </c>
      <c r="G123" s="27"/>
    </row>
    <row r="124" spans="2:7" ht="45" customHeight="1" x14ac:dyDescent="0.3">
      <c r="B124" s="70">
        <v>23</v>
      </c>
      <c r="C124" s="36">
        <v>3.4</v>
      </c>
      <c r="D124" s="37" t="s">
        <v>139</v>
      </c>
      <c r="E124" s="83"/>
      <c r="F124" s="26"/>
      <c r="G124" s="38"/>
    </row>
    <row r="125" spans="2:7" ht="45" customHeight="1" x14ac:dyDescent="0.3">
      <c r="B125" s="69">
        <v>23.1</v>
      </c>
      <c r="C125" s="24"/>
      <c r="D125" s="31" t="s">
        <v>261</v>
      </c>
      <c r="E125" s="84"/>
      <c r="F125" s="26" t="str">
        <f>VLOOKUP($D$7,'Source Data'!$A$2:$ED$22,128,FALSE)</f>
        <v>Indicate Coating System</v>
      </c>
      <c r="G125" s="27"/>
    </row>
    <row r="126" spans="2:7" ht="45" customHeight="1" x14ac:dyDescent="0.3">
      <c r="B126" s="69">
        <v>23.2</v>
      </c>
      <c r="C126" s="24"/>
      <c r="D126" s="31" t="s">
        <v>134</v>
      </c>
      <c r="E126" s="84"/>
      <c r="F126" s="26" t="str">
        <f>VLOOKUP($D$7,'Source Data'!$A$2:$ED$22,129,FALSE)</f>
        <v>xxxxxxxxxxx</v>
      </c>
      <c r="G126" s="27"/>
    </row>
    <row r="127" spans="2:7" ht="45" customHeight="1" x14ac:dyDescent="0.3">
      <c r="B127" s="69">
        <v>23.3</v>
      </c>
      <c r="C127" s="24"/>
      <c r="D127" s="31" t="s">
        <v>135</v>
      </c>
      <c r="E127" s="84"/>
      <c r="F127" s="26" t="str">
        <f>VLOOKUP($D$7,'Source Data'!$A$2:$ED$22,130,FALSE)</f>
        <v>xxxxxxxxxxx</v>
      </c>
      <c r="G127" s="27"/>
    </row>
    <row r="128" spans="2:7" ht="45" customHeight="1" x14ac:dyDescent="0.3">
      <c r="B128" s="69">
        <v>23.4</v>
      </c>
      <c r="C128" s="39"/>
      <c r="D128" s="31" t="s">
        <v>263</v>
      </c>
      <c r="E128" s="87"/>
      <c r="F128" s="26" t="str">
        <f>VLOOKUP($D$7,'Source Data'!$A$2:$ED$22,131,FALSE)</f>
        <v>xxxxxxxxxxx</v>
      </c>
      <c r="G128" s="40"/>
    </row>
    <row r="129" spans="2:7" ht="45" customHeight="1" x14ac:dyDescent="0.3">
      <c r="B129" s="69">
        <v>23.5</v>
      </c>
      <c r="C129" s="39"/>
      <c r="D129" s="31" t="s">
        <v>137</v>
      </c>
      <c r="E129" s="87"/>
      <c r="F129" s="26" t="str">
        <f>VLOOKUP($D$7,'Source Data'!$A$2:$ED$22,132,FALSE)</f>
        <v>Azure Blue</v>
      </c>
      <c r="G129" s="40"/>
    </row>
    <row r="130" spans="2:7" ht="132" x14ac:dyDescent="0.3">
      <c r="B130" s="79">
        <v>24</v>
      </c>
      <c r="C130" s="39">
        <v>4.2</v>
      </c>
      <c r="D130" s="37" t="s">
        <v>264</v>
      </c>
      <c r="E130" s="87"/>
      <c r="F130" s="26" t="str">
        <f>VLOOKUP($D$7,'Source Data'!$A$2:$ED$22,133,FALSE)</f>
        <v>Report Numbers</v>
      </c>
      <c r="G130" s="40"/>
    </row>
    <row r="131" spans="2:7" ht="211.8" thickBot="1" x14ac:dyDescent="0.35">
      <c r="B131" s="80">
        <v>25</v>
      </c>
      <c r="C131" s="41">
        <v>4.3</v>
      </c>
      <c r="D131" s="71" t="s">
        <v>266</v>
      </c>
      <c r="E131" s="89"/>
      <c r="F131" s="78" t="str">
        <f>VLOOKUP($D$7,'Source Data'!$A$2:$ED$22,134,FALSE)</f>
        <v>Report Numbers</v>
      </c>
      <c r="G131" s="42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Header>&amp;CThree-phase, 1000 kVA, 22 kV/420V (Coastal, Ester Oil Only)</oddHeader>
  </headerFooter>
  <rowBreaks count="4" manualBreakCount="4">
    <brk id="31" min="1" max="6" man="1"/>
    <brk id="78" min="1" max="6" man="1"/>
    <brk id="101" min="1" max="6" man="1"/>
    <brk id="123" min="1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D6B59A82F1FE4AAAD2516A376CAC38" ma:contentTypeVersion="4" ma:contentTypeDescription="Create a new document." ma:contentTypeScope="" ma:versionID="01db103bf66a21f15e20e35f0343d801">
  <xsd:schema xmlns:xsd="http://www.w3.org/2001/XMLSchema" xmlns:xs="http://www.w3.org/2001/XMLSchema" xmlns:p="http://schemas.microsoft.com/office/2006/metadata/properties" xmlns:ns2="fd29244e-e4c4-4552-aad9-7a5ad552f1d5" targetNamespace="http://schemas.microsoft.com/office/2006/metadata/properties" ma:root="true" ma:fieldsID="24c8ba474b3676e9fc03623e0039975a" ns2:_="">
    <xsd:import namespace="fd29244e-e4c4-4552-aad9-7a5ad552f1d5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Signed_x002d_off" minOccurs="0"/>
                <xsd:element ref="ns2:Comment_x0020_b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9244e-e4c4-4552-aad9-7a5ad552f1d5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Open" ma:description="Document collaboration status" ma:format="Dropdown" ma:internalName="Status">
      <xsd:simpleType>
        <xsd:restriction base="dms:Choice">
          <xsd:enumeration value="Open"/>
          <xsd:enumeration value="Closed"/>
        </xsd:restriction>
      </xsd:simpleType>
    </xsd:element>
    <xsd:element name="Signed_x002d_off" ma:index="9" nillable="true" ma:displayName="Signed-off" ma:default="0" ma:description="Document approval status" ma:internalName="Signed_x002d_off">
      <xsd:simpleType>
        <xsd:restriction base="dms:Boolean"/>
      </xsd:simpleType>
    </xsd:element>
    <xsd:element name="Comment_x0020_by" ma:index="10" ma:displayName="Comment by" ma:description="Document collaboration due date" ma:format="DateOnly" ma:internalName="Comment_x0020_by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29244e-e4c4-4552-aad9-7a5ad552f1d5">Closed</Status>
    <Signed_x002d_off xmlns="fd29244e-e4c4-4552-aad9-7a5ad552f1d5">false</Signed_x002d_off>
    <Comment_x0020_by xmlns="fd29244e-e4c4-4552-aad9-7a5ad552f1d5">2021-01-29T22:00:00+00:00</Comment_x0020_by>
  </documentManagement>
</p:properties>
</file>

<file path=customXml/itemProps1.xml><?xml version="1.0" encoding="utf-8"?>
<ds:datastoreItem xmlns:ds="http://schemas.openxmlformats.org/officeDocument/2006/customXml" ds:itemID="{3B5A1207-F385-437E-A0D3-0060EDF24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515396-12D9-4F5A-BF99-98F093BE2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29244e-e4c4-4552-aad9-7a5ad552f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E75968-29D5-49D4-AC6B-1F5DA6B384C6}">
  <ds:schemaRefs>
    <ds:schemaRef ds:uri="http://schemas.microsoft.com/office/2006/metadata/properties"/>
    <ds:schemaRef ds:uri="http://schemas.microsoft.com/office/infopath/2007/PartnerControls"/>
    <ds:schemaRef ds:uri="fd29244e-e4c4-4552-aad9-7a5ad552f1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List of Items &amp; Enquiry number</vt:lpstr>
      <vt:lpstr>Source Data</vt:lpstr>
      <vt:lpstr>Deviation Schedule</vt:lpstr>
      <vt:lpstr>GMT Schedule-DropDown Selector</vt:lpstr>
      <vt:lpstr>0182441</vt:lpstr>
      <vt:lpstr>0182443</vt:lpstr>
      <vt:lpstr>0180189</vt:lpstr>
      <vt:lpstr>0180191</vt:lpstr>
      <vt:lpstr>0180193</vt:lpstr>
      <vt:lpstr>0180195</vt:lpstr>
      <vt:lpstr>0180197</vt:lpstr>
      <vt:lpstr>0180199</vt:lpstr>
      <vt:lpstr>0182445</vt:lpstr>
      <vt:lpstr>0182447</vt:lpstr>
      <vt:lpstr>'0180189'!Print_Area</vt:lpstr>
      <vt:lpstr>'0180191'!Print_Area</vt:lpstr>
      <vt:lpstr>'0180193'!Print_Area</vt:lpstr>
      <vt:lpstr>'0180195'!Print_Area</vt:lpstr>
      <vt:lpstr>'0180197'!Print_Area</vt:lpstr>
      <vt:lpstr>'0180199'!Print_Area</vt:lpstr>
      <vt:lpstr>'0182441'!Print_Area</vt:lpstr>
      <vt:lpstr>'0182443'!Print_Area</vt:lpstr>
      <vt:lpstr>'0182445'!Print_Area</vt:lpstr>
      <vt:lpstr>'0182447'!Print_Area</vt:lpstr>
      <vt:lpstr>'Deviation Schedule'!Print_Area</vt:lpstr>
      <vt:lpstr>'GMT Schedule-DropDown Selector'!Print_Area</vt:lpstr>
      <vt:lpstr>'Source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2024-03-05T07:18:57Z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0x010100E2D6B59A82F1FE4AAAD2516A376CAC38</vt:lpwstr>
  </property>
</Properties>
</file>