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tshidiso\Documents\202223BID NOTICE\WATER PROJECTS TOR\"/>
    </mc:Choice>
  </mc:AlternateContent>
  <bookViews>
    <workbookView xWindow="0" yWindow="0" windowWidth="24000" windowHeight="10290" tabRatio="620" firstSheet="12" activeTab="16"/>
  </bookViews>
  <sheets>
    <sheet name="Fixed P&amp;Gs" sheetId="32" r:id="rId1"/>
    <sheet name="Time Related" sheetId="34" r:id="rId2"/>
    <sheet name="Prov Sums" sheetId="36" r:id="rId3"/>
    <sheet name="PC Items" sheetId="37" r:id="rId4"/>
    <sheet name="Dayworks" sheetId="38" r:id="rId5"/>
    <sheet name="Temp Works" sheetId="39" r:id="rId6"/>
    <sheet name="Earthworks_Trench" sheetId="40" r:id="rId7"/>
    <sheet name="Earthworks_Trench2" sheetId="41" r:id="rId8"/>
    <sheet name="Bedding" sheetId="42" r:id="rId9"/>
    <sheet name="Pipelines1" sheetId="43" r:id="rId10"/>
    <sheet name="Pipelines2" sheetId="44" r:id="rId11"/>
    <sheet name="Pipelines3" sheetId="45" r:id="rId12"/>
    <sheet name="Pipelines4" sheetId="46" r:id="rId13"/>
    <sheet name="Pipelines5" sheetId="55" r:id="rId14"/>
    <sheet name="Ancillaries 1" sheetId="56" r:id="rId15"/>
    <sheet name="Ancillaries 2" sheetId="58" r:id="rId16"/>
    <sheet name="SUM" sheetId="57" r:id="rId17"/>
  </sheets>
  <definedNames>
    <definedName name="_SEC1200" localSheetId="15">#REF!</definedName>
    <definedName name="_SEC1200">#REF!</definedName>
    <definedName name="Items_01" localSheetId="14">#REF!</definedName>
    <definedName name="Items_01" localSheetId="15">#REF!</definedName>
    <definedName name="Items_01" localSheetId="13">#REF!</definedName>
    <definedName name="Items_01" localSheetId="16">#REF!</definedName>
    <definedName name="Items_01">#REF!</definedName>
    <definedName name="MAAAAAAAAAAAAAAAA">'Prov Sums'!$J$28</definedName>
    <definedName name="_xlnm.Print_Area" localSheetId="14">'Ancillaries 1'!$A$1:$H$32</definedName>
    <definedName name="_xlnm.Print_Area" localSheetId="15">'Ancillaries 2'!$A$1:$H$28</definedName>
    <definedName name="_xlnm.Print_Area" localSheetId="8">Bedding!$A$1:$J$28</definedName>
    <definedName name="_xlnm.Print_Area" localSheetId="4">Dayworks!$A$1:$I$44</definedName>
    <definedName name="_xlnm.Print_Area" localSheetId="6">Earthworks_Trench!$A$1:$J$34</definedName>
    <definedName name="_xlnm.Print_Area" localSheetId="7">Earthworks_Trench2!$A$1:$I$36</definedName>
    <definedName name="_xlnm.Print_Area" localSheetId="0">'Fixed P&amp;Gs'!$A$1:$I$44</definedName>
    <definedName name="_xlnm.Print_Area" localSheetId="3">'PC Items'!$A$1:$I$29</definedName>
    <definedName name="_xlnm.Print_Area" localSheetId="9">Pipelines1!$A$1:$I$42</definedName>
    <definedName name="_xlnm.Print_Area" localSheetId="10">Pipelines2!$A$1:$I$44</definedName>
    <definedName name="_xlnm.Print_Area" localSheetId="11">Pipelines3!$A$1:$I$48</definedName>
    <definedName name="_xlnm.Print_Area" localSheetId="12">Pipelines4!$A$1:$I$40</definedName>
    <definedName name="_xlnm.Print_Area" localSheetId="13">Pipelines5!$A$1:$J$29</definedName>
    <definedName name="_xlnm.Print_Area" localSheetId="2">'Prov Sums'!$A$1:$H$42</definedName>
    <definedName name="_xlnm.Print_Area" localSheetId="16">SUM!$A$1:$H$31</definedName>
    <definedName name="_xlnm.Print_Area" localSheetId="5">'Temp Works'!$A$1:$J$26</definedName>
    <definedName name="_xlnm.Print_Area" localSheetId="1">'Time Related'!$A$1:$H$44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2" i="34" l="1"/>
  <c r="H42" i="32"/>
  <c r="B2" i="40"/>
  <c r="I2" i="40"/>
  <c r="B3" i="40"/>
  <c r="B4" i="40"/>
  <c r="G4" i="40"/>
  <c r="G13" i="40"/>
  <c r="G15" i="40" s="1"/>
  <c r="G19" i="40" l="1"/>
  <c r="G14" i="40"/>
  <c r="G16" i="40"/>
  <c r="G24" i="40"/>
  <c r="G27" i="40"/>
  <c r="B28" i="58"/>
  <c r="H20" i="58"/>
  <c r="G18" i="58"/>
  <c r="H18" i="58" s="1"/>
  <c r="H14" i="58"/>
  <c r="H13" i="58"/>
  <c r="H12" i="58"/>
  <c r="F4" i="58"/>
  <c r="B4" i="58"/>
  <c r="B3" i="58"/>
  <c r="H2" i="58"/>
  <c r="B2" i="58"/>
  <c r="G22" i="40" l="1"/>
  <c r="G20" i="40"/>
  <c r="G28" i="40" s="1"/>
  <c r="G21" i="40"/>
  <c r="G29" i="40" s="1"/>
  <c r="G23" i="40"/>
  <c r="G30" i="40" s="1"/>
  <c r="F19" i="58"/>
  <c r="H19" i="58" s="1"/>
  <c r="F15" i="58"/>
  <c r="H15" i="58" s="1"/>
  <c r="F21" i="58"/>
  <c r="H21" i="58" s="1"/>
  <c r="F13" i="36" l="1"/>
  <c r="G4" i="42" l="1"/>
  <c r="F4" i="56"/>
  <c r="G4" i="55"/>
  <c r="G4" i="46"/>
  <c r="G4" i="45"/>
  <c r="G4" i="44"/>
  <c r="G4" i="43"/>
  <c r="G4" i="41"/>
  <c r="G37" i="36" l="1"/>
  <c r="G33" i="36"/>
  <c r="G17" i="36"/>
  <c r="H37" i="36" l="1"/>
  <c r="F38" i="36" l="1"/>
  <c r="I44" i="43"/>
  <c r="H1" i="57" l="1"/>
  <c r="H2" i="56"/>
  <c r="I2" i="55"/>
  <c r="I2" i="46"/>
  <c r="I2" i="45"/>
  <c r="I2" i="44"/>
  <c r="I2" i="43"/>
  <c r="I2" i="42"/>
  <c r="I2" i="41"/>
  <c r="I2" i="39"/>
  <c r="H2" i="38"/>
  <c r="H1" i="37"/>
  <c r="H1" i="36"/>
  <c r="H1" i="34"/>
  <c r="H22" i="56"/>
  <c r="I31" i="46"/>
  <c r="I20" i="41"/>
  <c r="I16" i="39"/>
  <c r="I13" i="39"/>
  <c r="H28" i="56"/>
  <c r="I31" i="41"/>
  <c r="I30" i="41"/>
  <c r="H13" i="37"/>
  <c r="H27" i="56"/>
  <c r="H20" i="38"/>
  <c r="F21" i="38" s="1"/>
  <c r="H33" i="36"/>
  <c r="F34" i="36" s="1"/>
  <c r="H29" i="36"/>
  <c r="H25" i="36"/>
  <c r="F26" i="36" s="1"/>
  <c r="H21" i="36"/>
  <c r="H17" i="36"/>
  <c r="F18" i="36" s="1"/>
  <c r="H13" i="36"/>
  <c r="F14" i="36" s="1"/>
  <c r="F41" i="34"/>
  <c r="F40" i="34"/>
  <c r="F39" i="34"/>
  <c r="F38" i="34"/>
  <c r="F37" i="34"/>
  <c r="F36" i="34"/>
  <c r="F35" i="34"/>
  <c r="F34" i="34"/>
  <c r="F33" i="34"/>
  <c r="F32" i="34"/>
  <c r="F31" i="34"/>
  <c r="F30" i="34"/>
  <c r="F29" i="34"/>
  <c r="F28" i="34"/>
  <c r="F27" i="34"/>
  <c r="F26" i="34"/>
  <c r="F25" i="34"/>
  <c r="F24" i="34"/>
  <c r="F23" i="34"/>
  <c r="F22" i="34"/>
  <c r="F21" i="34"/>
  <c r="F20" i="34"/>
  <c r="F19" i="34"/>
  <c r="F18" i="34"/>
  <c r="F17" i="34"/>
  <c r="F16" i="34"/>
  <c r="G15" i="41"/>
  <c r="B1" i="57"/>
  <c r="B2" i="56"/>
  <c r="B3" i="56"/>
  <c r="B2" i="55"/>
  <c r="B3" i="55"/>
  <c r="B2" i="46"/>
  <c r="B3" i="46"/>
  <c r="B2" i="45"/>
  <c r="B3" i="45"/>
  <c r="B2" i="44"/>
  <c r="B3" i="44"/>
  <c r="B2" i="43"/>
  <c r="B3" i="43"/>
  <c r="B2" i="42"/>
  <c r="B3" i="42"/>
  <c r="B2" i="41"/>
  <c r="B3" i="41"/>
  <c r="B2" i="39"/>
  <c r="B3" i="39"/>
  <c r="B2" i="38"/>
  <c r="B3" i="38"/>
  <c r="B2" i="37"/>
  <c r="B3" i="37"/>
  <c r="B2" i="36"/>
  <c r="B3" i="36"/>
  <c r="B2" i="34"/>
  <c r="B3" i="34"/>
  <c r="B31" i="57"/>
  <c r="B32" i="56"/>
  <c r="B29" i="55"/>
  <c r="B40" i="46"/>
  <c r="B48" i="45"/>
  <c r="B44" i="44"/>
  <c r="B42" i="43"/>
  <c r="B28" i="42"/>
  <c r="B36" i="41"/>
  <c r="B34" i="40"/>
  <c r="B26" i="39"/>
  <c r="B44" i="38"/>
  <c r="B29" i="37"/>
  <c r="B44" i="34"/>
  <c r="B42" i="36"/>
  <c r="H41" i="38"/>
  <c r="H40" i="38"/>
  <c r="H39" i="38"/>
  <c r="H38" i="38"/>
  <c r="H37" i="38"/>
  <c r="H36" i="38"/>
  <c r="H35" i="38"/>
  <c r="H34" i="38"/>
  <c r="H33" i="38"/>
  <c r="H32" i="38"/>
  <c r="H31" i="38"/>
  <c r="H30" i="38"/>
  <c r="H29" i="38"/>
  <c r="H28" i="38"/>
  <c r="H27" i="38"/>
  <c r="H26" i="38"/>
  <c r="H25" i="38"/>
  <c r="H24" i="38"/>
  <c r="H23" i="38"/>
  <c r="H22" i="38"/>
  <c r="H19" i="38"/>
  <c r="H18" i="38"/>
  <c r="H17" i="38"/>
  <c r="H16" i="38"/>
  <c r="H15" i="38"/>
  <c r="H14" i="38"/>
  <c r="H13" i="38"/>
  <c r="H12" i="38"/>
  <c r="H11" i="38"/>
  <c r="H10" i="38"/>
  <c r="H9" i="38"/>
  <c r="I23" i="39"/>
  <c r="I22" i="39"/>
  <c r="I21" i="39"/>
  <c r="I20" i="39"/>
  <c r="I19" i="39"/>
  <c r="I18" i="39"/>
  <c r="I17" i="39"/>
  <c r="I12" i="39"/>
  <c r="I11" i="39"/>
  <c r="I10" i="39"/>
  <c r="I9" i="39"/>
  <c r="F3" i="57"/>
  <c r="B3" i="57"/>
  <c r="G30" i="46"/>
  <c r="G36" i="46" s="1"/>
  <c r="G28" i="46"/>
  <c r="G34" i="46" s="1"/>
  <c r="G21" i="46"/>
  <c r="G17" i="46"/>
  <c r="G18" i="46" s="1"/>
  <c r="H35" i="36"/>
  <c r="H12" i="34"/>
  <c r="H11" i="34"/>
  <c r="H10" i="34"/>
  <c r="H9" i="34"/>
  <c r="H12" i="32"/>
  <c r="H11" i="32"/>
  <c r="H10" i="32"/>
  <c r="B4" i="34"/>
  <c r="H31" i="36"/>
  <c r="F4" i="36"/>
  <c r="B4" i="36"/>
  <c r="F4" i="37"/>
  <c r="B4" i="37"/>
  <c r="H23" i="37"/>
  <c r="H25" i="37"/>
  <c r="F4" i="38"/>
  <c r="G4" i="39" s="1"/>
  <c r="B4" i="38"/>
  <c r="B4" i="39"/>
  <c r="B4" i="41"/>
  <c r="B4" i="42"/>
  <c r="B4" i="43"/>
  <c r="B4" i="44"/>
  <c r="B4" i="45"/>
  <c r="B4" i="46"/>
  <c r="B4" i="55"/>
  <c r="B4" i="56"/>
  <c r="G37" i="46"/>
  <c r="F15" i="56"/>
  <c r="G14" i="46"/>
  <c r="G25" i="46"/>
  <c r="G19" i="55" l="1"/>
  <c r="F14" i="37"/>
  <c r="F30" i="36"/>
  <c r="G21" i="55"/>
  <c r="G28" i="41"/>
  <c r="G14" i="55"/>
  <c r="G14" i="41"/>
  <c r="G32" i="41"/>
  <c r="I24" i="39"/>
  <c r="I37" i="46"/>
  <c r="F22" i="36"/>
  <c r="G20" i="55" l="1"/>
  <c r="G19" i="41"/>
  <c r="G18" i="41"/>
  <c r="G14" i="42"/>
  <c r="G21" i="41"/>
  <c r="I9" i="44"/>
  <c r="G16" i="55"/>
  <c r="G15" i="55"/>
  <c r="G15" i="57" l="1"/>
  <c r="G22" i="57" s="1"/>
  <c r="I9" i="46"/>
  <c r="I38" i="46" s="1"/>
  <c r="I9" i="55" s="1"/>
  <c r="I27" i="55" s="1"/>
  <c r="G22" i="41"/>
  <c r="G15" i="42"/>
  <c r="G19" i="42"/>
  <c r="G25" i="41"/>
  <c r="G20" i="42" l="1"/>
  <c r="I9" i="41" l="1"/>
  <c r="I34" i="41" s="1"/>
  <c r="G20" i="57" l="1"/>
  <c r="G23" i="57" s="1"/>
  <c r="G24" i="57" s="1"/>
  <c r="G25" i="57" s="1"/>
  <c r="G27" i="57" l="1"/>
  <c r="G28" i="57" s="1"/>
  <c r="G29" i="57" l="1"/>
</calcChain>
</file>

<file path=xl/sharedStrings.xml><?xml version="1.0" encoding="utf-8"?>
<sst xmlns="http://schemas.openxmlformats.org/spreadsheetml/2006/main" count="1118" uniqueCount="597">
  <si>
    <t>Sum</t>
  </si>
  <si>
    <t>DESCRIPTION</t>
  </si>
  <si>
    <t>UNIT</t>
  </si>
  <si>
    <t>QUANTITY</t>
  </si>
  <si>
    <t>RATE</t>
  </si>
  <si>
    <t>AMOUNT</t>
  </si>
  <si>
    <t>8.3.1</t>
  </si>
  <si>
    <t>Facilities for Engineer:</t>
  </si>
  <si>
    <t>1.2.1</t>
  </si>
  <si>
    <t>1.2.2</t>
  </si>
  <si>
    <t>8.3.2.1 a</t>
  </si>
  <si>
    <t>8.3.2.1 c</t>
  </si>
  <si>
    <t>Workshops</t>
  </si>
  <si>
    <t>Laboratories</t>
  </si>
  <si>
    <t>(As specified in SABS 1200 A and the Project Specifications.)</t>
  </si>
  <si>
    <t>Access</t>
  </si>
  <si>
    <t>Plant</t>
  </si>
  <si>
    <t>1.2.3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</si>
  <si>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</si>
  <si>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</si>
  <si>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</si>
  <si>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</si>
  <si>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</si>
  <si>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</si>
  <si>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</si>
  <si>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</si>
  <si>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</si>
  <si>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</si>
  <si>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8.3.2.2 a</t>
  </si>
  <si>
    <t>8.3.2.2 b</t>
  </si>
  <si>
    <t>8.3.2.2 c</t>
  </si>
  <si>
    <t>8.3.2.2 d</t>
  </si>
  <si>
    <t>8.3.2.2 e</t>
  </si>
  <si>
    <t>8.3.2.2 f</t>
  </si>
  <si>
    <t>8.3.2.2 g</t>
  </si>
  <si>
    <t>8.3.2.2 h</t>
  </si>
  <si>
    <t>8.3.2.2 i</t>
  </si>
  <si>
    <t>8.3.2.2 j</t>
  </si>
  <si>
    <t>Other Fixed Charge Obligations:</t>
  </si>
  <si>
    <t>Contractual Requirements:</t>
  </si>
  <si>
    <t>Removal of Site Establishment:</t>
  </si>
  <si>
    <t>8.3.3</t>
  </si>
  <si>
    <t>8.3.4</t>
  </si>
  <si>
    <t>Facilities for Contractor:</t>
  </si>
  <si>
    <t>SECTION 1: PRELIMINARY AND GENERAL - FIXED CHARGE AND VALUE RELATED OBLIGATIONS</t>
  </si>
  <si>
    <t>SECTION 2: PRELIMINARY AND GENERAL - TIME RELATED OBLIGATIONS</t>
  </si>
  <si>
    <t>FIXED CHARGE AND VALUE RELATED ITEMS:</t>
  </si>
  <si>
    <t>1.1.1</t>
  </si>
  <si>
    <t>1.1.2</t>
  </si>
  <si>
    <t>TIME RELATED ITEMS:</t>
  </si>
  <si>
    <t>A.1</t>
  </si>
  <si>
    <t>A.2</t>
  </si>
  <si>
    <t>B.1</t>
  </si>
  <si>
    <t>8.4.1</t>
  </si>
  <si>
    <t>2.1.1</t>
  </si>
  <si>
    <t>2.2.1</t>
  </si>
  <si>
    <t>2.2.2</t>
  </si>
  <si>
    <t>2.2.3</t>
  </si>
  <si>
    <t>Overhead Costs for the Duration of the Contract:</t>
  </si>
  <si>
    <t>Supervision for Duration of the Contract:</t>
  </si>
  <si>
    <t>8.4.5</t>
  </si>
  <si>
    <t>8.4.3</t>
  </si>
  <si>
    <t>8.4.4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</si>
  <si>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</si>
  <si>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</si>
  <si>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</si>
  <si>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</si>
  <si>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</si>
  <si>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</si>
  <si>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</si>
  <si>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</si>
  <si>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</si>
  <si>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</si>
  <si>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Other Time Related Obligations:</t>
  </si>
  <si>
    <t>TOTAL SCHEDULE A - SECTION 2 CARRIED TO SUMMARY:</t>
  </si>
  <si>
    <t>A.3</t>
  </si>
  <si>
    <t>SECTION 4: PRELIMINARY AND GENERAL - PRIME COST SUMS</t>
  </si>
  <si>
    <t>PRIME COST ITEMS:</t>
  </si>
  <si>
    <t>A.4</t>
  </si>
  <si>
    <t>A.5</t>
  </si>
  <si>
    <t>DAYWORK:</t>
  </si>
  <si>
    <t>(As specified in SABS 1200 A, SABS 1200 AB and the Project Specifications.)</t>
  </si>
  <si>
    <t>5.1.1</t>
  </si>
  <si>
    <t>5.1.2</t>
  </si>
  <si>
    <t>5.1.3</t>
  </si>
  <si>
    <t>Skilled Labour (Artisan).</t>
  </si>
  <si>
    <t>Semi-skilled Labour.</t>
  </si>
  <si>
    <t>Unskilled Labour.</t>
  </si>
  <si>
    <t>Allowance for Materials used under Dayworks.</t>
  </si>
  <si>
    <t>Excavator - TLB.</t>
  </si>
  <si>
    <t>Excavator - Size Cat 225.</t>
  </si>
  <si>
    <t>5.3.1</t>
  </si>
  <si>
    <t>5.3.2</t>
  </si>
  <si>
    <t>Materials: [Provisional]</t>
  </si>
  <si>
    <t>SECTION 6: PRELIMINARY AND GENERAL - TEMPORARY WORKS</t>
  </si>
  <si>
    <t>TEMPORARY WORKS:</t>
  </si>
  <si>
    <t>EARTHWORKS:</t>
  </si>
  <si>
    <t>(As specified in SABS 1200 DB and the Project Specifications.)</t>
  </si>
  <si>
    <t>A.6</t>
  </si>
  <si>
    <t>Site Clearance:</t>
  </si>
  <si>
    <t>Excavation Ancillaries;</t>
  </si>
  <si>
    <t>Excavation using Plant:</t>
  </si>
  <si>
    <t>Excavation using Labour Intensive Methods:</t>
  </si>
  <si>
    <t>Excavate and dispose of unsuitable material from trench bottom.</t>
  </si>
  <si>
    <t>Spoil unsuitable backfill material.</t>
  </si>
  <si>
    <t>m</t>
  </si>
  <si>
    <r>
      <t>m</t>
    </r>
    <r>
      <rPr>
        <vertAlign val="superscript"/>
        <sz val="8"/>
        <rFont val="Arial"/>
        <family val="2"/>
      </rPr>
      <t>3</t>
    </r>
  </si>
  <si>
    <t>Demolish existing concrete.</t>
  </si>
  <si>
    <t>Backfill and Compaction:</t>
  </si>
  <si>
    <t>Backfill and compact trenches using labour intensive methods.</t>
  </si>
  <si>
    <t>Make up deficiency in backfill material  from other excavations.</t>
  </si>
  <si>
    <t>Make up deficiency in backfill material  from borrow pits. Free-haul is 5.0 km.</t>
  </si>
  <si>
    <t>Opening and closing designated borrow pits.</t>
  </si>
  <si>
    <t>Compaction within road reserve to 98 % of Modified AASHTO density, as per clause 5.7.2.</t>
  </si>
  <si>
    <t>Compaction within road reserve to 90 % of Modified AASHTO density clause 5.7.1.</t>
  </si>
  <si>
    <t>Overhaul:</t>
  </si>
  <si>
    <t>Overhaul in excess of the free-haul of 5.0 km.</t>
  </si>
  <si>
    <t>Existing Services:</t>
  </si>
  <si>
    <r>
      <t>m</t>
    </r>
    <r>
      <rPr>
        <vertAlign val="superscript"/>
        <sz val="8"/>
        <rFont val="Arial"/>
        <family val="2"/>
      </rPr>
      <t>2</t>
    </r>
  </si>
  <si>
    <t>Finishing:</t>
  </si>
  <si>
    <t>Reinstate road surfaces using 40 mm asphalt.</t>
  </si>
  <si>
    <t>(As specified in SABS 1200 LB and the Project Specifications.)</t>
  </si>
  <si>
    <t>BEDDING:</t>
  </si>
  <si>
    <t>Bedding from Trench Excavations:</t>
  </si>
  <si>
    <t>Provision of bedding from pipe trench excavation within 1.0 km, using selected granular material.</t>
  </si>
  <si>
    <t>Provision of bedding from pipe trench excavation within 1.0 km, using selected fill material.</t>
  </si>
  <si>
    <t>Imported Bedding Material:</t>
  </si>
  <si>
    <t>Provision of bedding imported from designated borrow pit using selected granular material.</t>
  </si>
  <si>
    <t>Provision of bedding imported from designated borrow pit using selected fill material.</t>
  </si>
  <si>
    <r>
      <t>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-km</t>
    </r>
  </si>
  <si>
    <t>8.2.1</t>
  </si>
  <si>
    <t>(As specified in SABS 1200 L, SABS 1200 GA and the Project Specifications.)</t>
  </si>
  <si>
    <t>MEDIUM PRESSURE PIPES:</t>
  </si>
  <si>
    <t>Supply, Lay and Bed uPVC Pipes Complete:</t>
  </si>
  <si>
    <t>(The rates shall include disinfecting of pipes after completion of hydraulic pipe test.)</t>
  </si>
  <si>
    <t>1.3.11</t>
  </si>
  <si>
    <t>1.3.12</t>
  </si>
  <si>
    <t>TOTAL SCHEDULE A - SECTION 1 CARRIED TO SUMMARY:</t>
  </si>
  <si>
    <t>Month</t>
  </si>
  <si>
    <t>Workshops.</t>
  </si>
  <si>
    <t>Laboratories.</t>
  </si>
  <si>
    <t>Access.</t>
  </si>
  <si>
    <t>Plant.</t>
  </si>
  <si>
    <t>Accommodation of traffic.</t>
  </si>
  <si>
    <t>8.4.2.1 a</t>
  </si>
  <si>
    <t>8.4.2.1 c</t>
  </si>
  <si>
    <t>8.4.2.1 d</t>
  </si>
  <si>
    <t>8.4.2.2 a</t>
  </si>
  <si>
    <t>8.4.2.2 b</t>
  </si>
  <si>
    <t>8.4.2.2 c</t>
  </si>
  <si>
    <t>8.4.2.2 d</t>
  </si>
  <si>
    <t>8.4.2.2 e</t>
  </si>
  <si>
    <t>8.4.2.2 f</t>
  </si>
  <si>
    <t>8.4.2.2 g</t>
  </si>
  <si>
    <t>8.4.2.2 h</t>
  </si>
  <si>
    <t>8.4.2.2 i</t>
  </si>
  <si>
    <t>8.4.2.2 j</t>
  </si>
  <si>
    <t>Furnished office - 1 No.</t>
  </si>
  <si>
    <t>Name boards - 2 No.</t>
  </si>
  <si>
    <t>Survey assistants and material.</t>
  </si>
  <si>
    <t>Time related contractual requirements.</t>
  </si>
  <si>
    <t>Offices and storage sheds</t>
  </si>
  <si>
    <t>Living accommodation</t>
  </si>
  <si>
    <t>Ablution and latrine facilities</t>
  </si>
  <si>
    <t>Tools and equipment</t>
  </si>
  <si>
    <t>Water supplies, electric power and communications</t>
  </si>
  <si>
    <t>Dealing with water</t>
  </si>
  <si>
    <t>Fixed charge contractual requirements.</t>
  </si>
  <si>
    <t>Value related contractual requirements.</t>
  </si>
  <si>
    <t>Provision of survey equipment.</t>
  </si>
  <si>
    <t>Offices and storage sheds.</t>
  </si>
  <si>
    <t>Living accommodation.</t>
  </si>
  <si>
    <t>Ablution and latrine facilities.</t>
  </si>
  <si>
    <t>Tools and equipment.</t>
  </si>
  <si>
    <t>Water supplies, electric power and communications.</t>
  </si>
  <si>
    <t>Dealing with water.</t>
  </si>
  <si>
    <t>Materials on site storage and protection.</t>
  </si>
  <si>
    <t>Provision for the employment of CLO.</t>
  </si>
  <si>
    <t>3.1.1</t>
  </si>
  <si>
    <t>3.1.2</t>
  </si>
  <si>
    <t>3.1.3</t>
  </si>
  <si>
    <t>Prov. Sum</t>
  </si>
  <si>
    <t>%</t>
  </si>
  <si>
    <t>Overheads, charges and profit on item 3.1.1.</t>
  </si>
  <si>
    <t>PSC Attendance at Site Meeting:</t>
  </si>
  <si>
    <t>Provision for the attendance of PSC members.</t>
  </si>
  <si>
    <t>3.2.1</t>
  </si>
  <si>
    <t>3.3.1</t>
  </si>
  <si>
    <t>3.3.2</t>
  </si>
  <si>
    <t>Overheads, charges and profit on item 3.3.1.</t>
  </si>
  <si>
    <t>Environmental Management:</t>
  </si>
  <si>
    <t>Community Liaison Officer:</t>
  </si>
  <si>
    <t>Labour intensive activity training.</t>
  </si>
  <si>
    <t>Relocation/Protection of Existing Services:</t>
  </si>
  <si>
    <t>Occupational Health and Safety Audits:</t>
  </si>
  <si>
    <t>3.4.1</t>
  </si>
  <si>
    <t>3.4.2</t>
  </si>
  <si>
    <t>3.5.1</t>
  </si>
  <si>
    <t>3.5.2</t>
  </si>
  <si>
    <t>3.6.1</t>
  </si>
  <si>
    <t>3.6.2</t>
  </si>
  <si>
    <t>3.7.1</t>
  </si>
  <si>
    <t>3.7.2</t>
  </si>
  <si>
    <t>Overheads, charges and profit on item 3.4.1.</t>
  </si>
  <si>
    <t>Overheads, charges and profit on item 3.5.1.</t>
  </si>
  <si>
    <t>Overheads, charges and profit on item 3.6.1.</t>
  </si>
  <si>
    <t>TOTAL SCHEDULE A - SECTION 3 CARRIED TO SUMMARY:</t>
  </si>
  <si>
    <t>SECTION 3: PRELIMINARY AND GENERAL - PROVISIONAL SUMS</t>
  </si>
  <si>
    <t>PC Sum</t>
  </si>
  <si>
    <t>4.1.1</t>
  </si>
  <si>
    <t>4.1.2</t>
  </si>
  <si>
    <t>Overheads, charges and profit on item 4.1.1.</t>
  </si>
  <si>
    <t>TOTAL SCHEDULE A - SECTION 4 CARRIED TO SUMMARY:</t>
  </si>
  <si>
    <t>Grader 140G or similar.</t>
  </si>
  <si>
    <t>(Plant shall not be more than 3 years old or have more than 3000 hrs logged. Operator to be qualified and competency certified.)</t>
  </si>
  <si>
    <t>Foreman.</t>
  </si>
  <si>
    <t>5.1.4</t>
  </si>
  <si>
    <t>Labour - Normal Working Hours: [Provisional]</t>
  </si>
  <si>
    <r>
      <t>Front end loader - bucket capacity ≤ 1.5 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.</t>
    </r>
  </si>
  <si>
    <r>
      <t>Tip truck - 5 m</t>
    </r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capacity.</t>
    </r>
  </si>
  <si>
    <r>
      <t>Tip truck - 10 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capacity.</t>
    </r>
  </si>
  <si>
    <t>Vibratory compaction roller - 13.5 ton.</t>
  </si>
  <si>
    <t>Pedestrian roller - BW90 or similar.</t>
  </si>
  <si>
    <t>Vibratory plate compactor.</t>
  </si>
  <si>
    <t>Vibratory rammer.</t>
  </si>
  <si>
    <t>5.4.1</t>
  </si>
  <si>
    <t>5.4.2</t>
  </si>
  <si>
    <t>5.4.3</t>
  </si>
  <si>
    <t>5.4.4</t>
  </si>
  <si>
    <t>hr</t>
  </si>
  <si>
    <t>5.1.5</t>
  </si>
  <si>
    <t>SCHEDULE A: PRELIMINARY AND GENERAL OBLIGATIONS</t>
  </si>
  <si>
    <t>TOTAL SCHEDULE A - SECTION 5 CARRIED TO SUMMARY:</t>
  </si>
  <si>
    <t>Extra-over rate for items 5.1.1 to 5.1.4 for work during non working hours.</t>
  </si>
  <si>
    <t>Overheads, charges and profit on item 3.2.1.</t>
  </si>
  <si>
    <t>1.3.13</t>
  </si>
  <si>
    <t>1.2.4</t>
  </si>
  <si>
    <t>PAYMENT CLAUSE</t>
  </si>
  <si>
    <t>ITEM NUMBER</t>
  </si>
  <si>
    <t>SECTION 1: EARTHWORKS FOR PIPE TRENCHES</t>
  </si>
  <si>
    <t>8.5 b</t>
  </si>
  <si>
    <t>Plant - Heavy Equipment: [Provisional]</t>
  </si>
  <si>
    <t>Plant - Small Equipment: [Provisional]</t>
  </si>
  <si>
    <t>Safety Measures at Excavations:</t>
  </si>
  <si>
    <t xml:space="preserve">Provision of all safety measures required to fully protect all excavations against public access, injury or any other possible accident. </t>
  </si>
  <si>
    <t>6.1.1</t>
  </si>
  <si>
    <t>TOTAL SCHEDULE A - SECTION 6 CARRIED TO SUMMARY:</t>
  </si>
  <si>
    <t>1.1.3</t>
  </si>
  <si>
    <t>1.1.4</t>
  </si>
  <si>
    <t>Clear trees of girth over 1.0 m.</t>
  </si>
  <si>
    <t>TOTAL SCHEDULE B - SECTION 1 CARRIED TO SUMMARY:</t>
  </si>
  <si>
    <t>1.2.5</t>
  </si>
  <si>
    <t>1.2.6</t>
  </si>
  <si>
    <t>1.4.1</t>
  </si>
  <si>
    <t>1.4.2</t>
  </si>
  <si>
    <t>No.</t>
  </si>
  <si>
    <t>8.3.1 a</t>
  </si>
  <si>
    <t>8.3.1 b</t>
  </si>
  <si>
    <t>8.3.1 c</t>
  </si>
  <si>
    <t>Extra-over Item 1.2.1 for excavation in soft material using labour intensive methods.</t>
  </si>
  <si>
    <t>Extra-over Item 1.2.2 for excavation in soft material using labour intensive methods.</t>
  </si>
  <si>
    <t>8.3.3.1 a</t>
  </si>
  <si>
    <t>8.3.3.1 b</t>
  </si>
  <si>
    <t>8.3.3.2</t>
  </si>
  <si>
    <t>8.3.3.3</t>
  </si>
  <si>
    <t>1.5.1</t>
  </si>
  <si>
    <t>1.5.2</t>
  </si>
  <si>
    <t>1.5.4</t>
  </si>
  <si>
    <t>1.5.5</t>
  </si>
  <si>
    <t>1.5.6</t>
  </si>
  <si>
    <t>1.6.1</t>
  </si>
  <si>
    <t>1.7.1</t>
  </si>
  <si>
    <t>1.8.1</t>
  </si>
  <si>
    <t>1.8.2</t>
  </si>
  <si>
    <t>8.3.3.4</t>
  </si>
  <si>
    <t>8.3.5 a</t>
  </si>
  <si>
    <t>SUB-TOTAL SCHEDULE B - SECTION 1 CARRIED FORWARD:</t>
  </si>
  <si>
    <t>SUB-TOTAL SCHEDULE B - SECTION 1 BROUGHT FORWARD:</t>
  </si>
  <si>
    <t>Topsoil trenches. (Provisional)</t>
  </si>
  <si>
    <t>8.3.6.1 c</t>
  </si>
  <si>
    <t>Services that intersect a trench.</t>
  </si>
  <si>
    <t>EARTHWORKS: (Continues)</t>
  </si>
  <si>
    <t>SECTION 2: PIPE BEDDING</t>
  </si>
  <si>
    <t>B.2</t>
  </si>
  <si>
    <t>2.1.2</t>
  </si>
  <si>
    <t>TOTAL SCHEDULE B - SECTION 2 CARRIED TO SUMMARY:</t>
  </si>
  <si>
    <t>SECTION 3: MEDIUM PRESSURE PIPELINES AND ANCILLARIES</t>
  </si>
  <si>
    <t>B.3</t>
  </si>
  <si>
    <t>3.2.2</t>
  </si>
  <si>
    <t>3.2.1.1</t>
  </si>
  <si>
    <t>3.2.1.2</t>
  </si>
  <si>
    <t>3.2.1.3</t>
  </si>
  <si>
    <t>3.1.4</t>
  </si>
  <si>
    <t>3.2.2.1</t>
  </si>
  <si>
    <t>3.2.2.2</t>
  </si>
  <si>
    <t>3.2.2.3</t>
  </si>
  <si>
    <t>Specials and Fittings - Cast Iron Equal Tees:</t>
  </si>
  <si>
    <t>75 mm dia.</t>
  </si>
  <si>
    <t>(Bitumen dipped and LYNG sockets on all sides all to SABS 546 and SABS 966.)</t>
  </si>
  <si>
    <t>Specials and Fittings - Cast Iron End Caps:</t>
  </si>
  <si>
    <t>Specials and Fittings - Cast Iron Reducers:</t>
  </si>
  <si>
    <t>Specials and Fittings - Saddles:</t>
  </si>
  <si>
    <t>3.8.1</t>
  </si>
  <si>
    <t>3.8.2</t>
  </si>
  <si>
    <t>Valve Chambers:</t>
  </si>
  <si>
    <t>8.2.2</t>
  </si>
  <si>
    <t>(Flanged RSV isolating valves. Valves to be non-rising spindles with cap top.)</t>
  </si>
  <si>
    <t>Construction Management Administration:</t>
  </si>
  <si>
    <t>PSA 14.4 a</t>
  </si>
  <si>
    <t>PSA 14.3 b</t>
  </si>
  <si>
    <t>PSA 14.1 a</t>
  </si>
  <si>
    <t>PSA 14.2 a</t>
  </si>
  <si>
    <t>PSA 14.2 b</t>
  </si>
  <si>
    <t>PSA 14.2 c</t>
  </si>
  <si>
    <t>PSA 14.3 a</t>
  </si>
  <si>
    <t>PSA 14.5 a</t>
  </si>
  <si>
    <t>PSA 14.5 b</t>
  </si>
  <si>
    <t>PSA 14.5 c</t>
  </si>
  <si>
    <t>PSA 14.5 d</t>
  </si>
  <si>
    <t>PSA 14.5 e</t>
  </si>
  <si>
    <t>PSA 14.5 f</t>
  </si>
  <si>
    <t>PSA 14.5 g</t>
  </si>
  <si>
    <t>PSA 14.5 h</t>
  </si>
  <si>
    <t>PSA 14.5 i</t>
  </si>
  <si>
    <t>PSA 14.5 j</t>
  </si>
  <si>
    <t>PSA 14.5 k</t>
  </si>
  <si>
    <t>PSA 14.5 l</t>
  </si>
  <si>
    <t>PSA 14.6 k</t>
  </si>
  <si>
    <t>PSA 14.6 l</t>
  </si>
  <si>
    <t>Provision of pipe specials, valves and fittings for reservoir connections.</t>
  </si>
  <si>
    <t>Provision for basic skills and construction site safety training.</t>
  </si>
  <si>
    <t>Provision for relocation/protection of existing services.</t>
  </si>
  <si>
    <t>5.2.1</t>
  </si>
  <si>
    <t>5.2.2</t>
  </si>
  <si>
    <t>Overheads, Handling and all Charges on Item 5.2.1.</t>
  </si>
  <si>
    <t>5.3.3</t>
  </si>
  <si>
    <t>5.3.4</t>
  </si>
  <si>
    <t>5.3.5</t>
  </si>
  <si>
    <t>5.3.6</t>
  </si>
  <si>
    <t>5.3.7</t>
  </si>
  <si>
    <t>5.3.8</t>
  </si>
  <si>
    <t>5.3.9</t>
  </si>
  <si>
    <t xml:space="preserve">Transport cost per any unit of plant to deliver to site and remove from site for items 5.4.1 to 5.4.3. </t>
  </si>
  <si>
    <t>Transport cost per any unit of plant to deliver to site and remove from site for items 5.3.1 to 5.3.8</t>
  </si>
  <si>
    <t>Provision for Occupational Health and Safety audits on site.</t>
  </si>
  <si>
    <t>Provision and maintenance of construction access to sites, camp or pipeline routes as required by the contractor.</t>
  </si>
  <si>
    <t>PSA 14.7 a</t>
  </si>
  <si>
    <t>PSA 14.7 b</t>
  </si>
  <si>
    <t>(Bitumen dipped and LYNG sockets to SABS 546 and SABS 966 with flange drilled to SABS 1123, Table 16.)</t>
  </si>
  <si>
    <t>Specials and Fittings - Cast Iron Scour Tees:</t>
  </si>
  <si>
    <t>80 mm dia. Class 16</t>
  </si>
  <si>
    <t>(Socket ends RSV isolating valves. Valves to be non-rising spindles with cap top.)</t>
  </si>
  <si>
    <t>Specials and Fittings - Air Valve:</t>
  </si>
  <si>
    <t>(Vent O' Mat SERIES RBX  with screwed BSP male inlet, or similar. Complete with flange, barrel nipple, and 50 mm gate valve)</t>
  </si>
  <si>
    <t xml:space="preserve">50 mm Air Valve </t>
  </si>
  <si>
    <t>(Kent or similar approved, flanged and drilled to SABS 1123, Table 16)</t>
  </si>
  <si>
    <t>80 mm dia.  In-Line Bulk Water Meter.</t>
  </si>
  <si>
    <t>Specials and Fittings - Stand Pipes</t>
  </si>
  <si>
    <t>Standpipes:</t>
  </si>
  <si>
    <t>Hydraulic Pipe Testing:</t>
  </si>
  <si>
    <t>Disinfecting Pipe Works.</t>
  </si>
  <si>
    <t>Thrust Blocks:</t>
  </si>
  <si>
    <t>3.1.5</t>
  </si>
  <si>
    <t>SUB-TOTAL SCHEDULE B - SECTION 3 CARRIED FORWARD:</t>
  </si>
  <si>
    <t>SUB-TOTAL SCHEDULE B - SECTION 3 BROUGHT FORWARD:</t>
  </si>
  <si>
    <t>3.8.3</t>
  </si>
  <si>
    <t>3.9.1</t>
  </si>
  <si>
    <t>3.9.2</t>
  </si>
  <si>
    <t>3.10</t>
  </si>
  <si>
    <t>3.10.1</t>
  </si>
  <si>
    <t>3.10.2</t>
  </si>
  <si>
    <t>PSDB 1.1</t>
  </si>
  <si>
    <t>PSDB 1.2</t>
  </si>
  <si>
    <t>3.11.1</t>
  </si>
  <si>
    <t>3.12.1</t>
  </si>
  <si>
    <t>3.13.1</t>
  </si>
  <si>
    <t>3.13.2</t>
  </si>
  <si>
    <t>3.14.1</t>
  </si>
  <si>
    <t>3.15.1</t>
  </si>
  <si>
    <t>3.15.2</t>
  </si>
  <si>
    <t>Extra-over Item 3.15.1 for depth increments of 250 mm.</t>
  </si>
  <si>
    <t>8.2.13</t>
  </si>
  <si>
    <t>8.2.3</t>
  </si>
  <si>
    <t>TOTAL SCHEDULE B - SECTION 3 CARRIED TO SUMMARY:</t>
  </si>
  <si>
    <t>3.16.1</t>
  </si>
  <si>
    <t>3.17.1</t>
  </si>
  <si>
    <t>3.18.1</t>
  </si>
  <si>
    <t>3.18.2</t>
  </si>
  <si>
    <t>3.18.3</t>
  </si>
  <si>
    <t>3.19.1</t>
  </si>
  <si>
    <t>3.19.2</t>
  </si>
  <si>
    <t>3.20.1</t>
  </si>
  <si>
    <t>Excavation.</t>
  </si>
  <si>
    <t>Formwork.</t>
  </si>
  <si>
    <t>8.2.11</t>
  </si>
  <si>
    <t>6.2.1</t>
  </si>
  <si>
    <t xml:space="preserve">CAPRICORN DISTRICT MUNICIPALITY - LIMPOPO PROVINCE </t>
  </si>
  <si>
    <t>PROVISIONAL SUMS:</t>
  </si>
  <si>
    <t>Basic Skills and Construction Training:</t>
  </si>
  <si>
    <t>Pipe Specials:</t>
  </si>
  <si>
    <t>Access Roads to the Works.</t>
  </si>
  <si>
    <t>Excavate in all materials for trench depths exceeding 1000 mm up to 1500 mm, 800 mm wide.</t>
  </si>
  <si>
    <t>(Bedding to be Class C for flexible pipes as indicated in the contract drawings)</t>
  </si>
  <si>
    <t>uPVC bends less than 25 degree angle.</t>
  </si>
  <si>
    <t>uPVC bends with 45 degree angle.</t>
  </si>
  <si>
    <t>uPVC bends with 90 degree angle.</t>
  </si>
  <si>
    <t>3.2.3</t>
  </si>
  <si>
    <t>3.2.3.1</t>
  </si>
  <si>
    <t>3.2.3.2</t>
  </si>
  <si>
    <t>3.2.3.3</t>
  </si>
  <si>
    <t>Fittings and Specials - uPVC Lyng Bends:</t>
  </si>
  <si>
    <t>Specials and Fittings - Hydrant Tees:</t>
  </si>
  <si>
    <t>(Cast iron hydrant tees, Bitumen dipped and LYNG sockets to SABS 546 and SABS 966 with flanged branch, 80 mm dia, drilled to SABS 1123, Table 16.)</t>
  </si>
  <si>
    <t>(Cast iron scour tee, Bitumen dipped and LYNG sockets to SABS 546 and SABS 966 with flanged branch, 100 mm dia, drilled to SABS 1123, Table 16.)</t>
  </si>
  <si>
    <t>(Bitumen dipped, spigot and socket and socketed cast iron reducers all to SABS 546 and SABS 966.)</t>
  </si>
  <si>
    <t>Specials and Fittings - Flang Adaptors:</t>
  </si>
  <si>
    <t>(Cast iron, bitumen dipped saddle to be 25 mm BSP drilling and tapping.)</t>
  </si>
  <si>
    <t>Specials and Fittings - Isolating Valves:</t>
  </si>
  <si>
    <t>Specials and Fittings - Socketed Valves:</t>
  </si>
  <si>
    <t>3.7.3</t>
  </si>
  <si>
    <t>Stand pipe fittings complete, excluding saddles, including all labour, plant and incidentals as per DWAF details.</t>
  </si>
  <si>
    <t>Specials and Fittings - Bulk Water Meter:</t>
  </si>
  <si>
    <t>Pipe Specials - Galvanised:</t>
  </si>
  <si>
    <t>150 mm dia air valve chamber vent as per details.</t>
  </si>
  <si>
    <t>80 mm dia. x 300 mm long GMS pipe, flanged both ends, drilled to SABS 1123 Table 16.</t>
  </si>
  <si>
    <t>SCHEDULE B: BULK SUPPLY AND NETWORK DISTRIBUTION WORKS</t>
  </si>
  <si>
    <t>Valve chamber - 1200 mm x 1400 mm x 1000 mm depth, complete including excavation, materials, plant, labour and incidentals, as per detail drawings.</t>
  </si>
  <si>
    <t>Pipe Works Ancillaries:</t>
  </si>
  <si>
    <t>3.16.2</t>
  </si>
  <si>
    <t>Pipe specials and fittings for testing.</t>
  </si>
  <si>
    <t>3.20.2</t>
  </si>
  <si>
    <t>3.20.3</t>
  </si>
  <si>
    <t>3.21.1</t>
  </si>
  <si>
    <t>Concrete. [Class 20/19 MPa]</t>
  </si>
  <si>
    <t>Stand pipe complete, excluding specials and fittings, including all labour, plant, materials and incidentals, as per detail drawings.</t>
  </si>
  <si>
    <t>550 mm x 550 mm Fabricated manhole cover with frame, galvanised.</t>
  </si>
  <si>
    <t>Access ladder - 304 SS, galvanised.</t>
  </si>
  <si>
    <t>B.4</t>
  </si>
  <si>
    <t>(As specified in the Project Specifications.)</t>
  </si>
  <si>
    <t>ANCILLARY WORKS:</t>
  </si>
  <si>
    <t>SECTION 4: ANCILLARY WATER SUPPLY WORKS</t>
  </si>
  <si>
    <t>Backfill road crosings using a commercial type G4 material compacted to 98% Mod. AASHTO density.</t>
  </si>
  <si>
    <t>TOTAL SCHEDULE B - SECTION 4 CARRIED TO SUMMARY:</t>
  </si>
  <si>
    <t>SECTION 5: PRELIMINARY AND GENERAL - DAYWORKS</t>
  </si>
  <si>
    <t>Clear vegetation, 800 mm wide. (Provisional)</t>
  </si>
  <si>
    <t>Remove 150 mm topsoil, 800 mm wide.</t>
  </si>
  <si>
    <t>Excavate in all materials for trench depths up to 1000 mm, 800 mm wide.</t>
  </si>
  <si>
    <t>PSH 4.1</t>
  </si>
  <si>
    <t>3.21.2</t>
  </si>
  <si>
    <t>3.21.3</t>
  </si>
  <si>
    <t>Concrete pipe line markers as per details.</t>
  </si>
  <si>
    <t>Name board</t>
  </si>
  <si>
    <t>160 mm uPVC medium pressure pipes - Class 12.</t>
  </si>
  <si>
    <t>3.3.3</t>
  </si>
  <si>
    <t>3.4.3</t>
  </si>
  <si>
    <t>Elevated Pressed Steel Reservoir:</t>
  </si>
  <si>
    <t>3.10.3</t>
  </si>
  <si>
    <t>3.11.2</t>
  </si>
  <si>
    <t>3.11.3</t>
  </si>
  <si>
    <t>75 mm dia. Class 16</t>
  </si>
  <si>
    <t>3.13.3</t>
  </si>
  <si>
    <t>75 mm dia. Pipes</t>
  </si>
  <si>
    <t>3.18.4</t>
  </si>
  <si>
    <t>110 mm dia. Pipes</t>
  </si>
  <si>
    <t>3.19.3</t>
  </si>
  <si>
    <t>3.19.4</t>
  </si>
  <si>
    <t>Borehole Development:</t>
  </si>
  <si>
    <t xml:space="preserve">TOTAL AMOUNT -  SCHEDULE A: </t>
  </si>
  <si>
    <t xml:space="preserve">TOTAL AMOUNT – SCHEDULE B: </t>
  </si>
  <si>
    <t>TENDER SUM:</t>
  </si>
  <si>
    <t>SUB-TOTAL:</t>
  </si>
  <si>
    <t>TENDER PRICE:</t>
  </si>
  <si>
    <t>CALCULATION OF TENDER SUM</t>
  </si>
  <si>
    <t>SCHEDULE</t>
  </si>
  <si>
    <t>SECTION</t>
  </si>
  <si>
    <t>SECTION DESCRIPTION</t>
  </si>
  <si>
    <t>A</t>
  </si>
  <si>
    <t>PRELIMINARY AND GENERAL:</t>
  </si>
  <si>
    <t>FIXED CHARGE AND VALUE RELATED OBLIGATIONS</t>
  </si>
  <si>
    <t>TIME RELATED OBLIGATIONS</t>
  </si>
  <si>
    <t>PROVISIONAL SUMS</t>
  </si>
  <si>
    <t>PRIME COST SUMS</t>
  </si>
  <si>
    <t>DAYWORKS</t>
  </si>
  <si>
    <t>TEMPORARY WORKS</t>
  </si>
  <si>
    <t>TOTAL SCHEDULE A:</t>
  </si>
  <si>
    <t>B</t>
  </si>
  <si>
    <t>BULK SUPPLY AND NETWORK DISTRIBUTION WORKS:</t>
  </si>
  <si>
    <t>EARTHWORKS FOR PIPE TRENCHES</t>
  </si>
  <si>
    <t>PIPE BEDDING</t>
  </si>
  <si>
    <t>ANCILLARY WATER SUPPLY WORKS</t>
  </si>
  <si>
    <t>TOTAL SCHEDULE B:</t>
  </si>
  <si>
    <t xml:space="preserve">  </t>
  </si>
  <si>
    <t>Prov.Sum</t>
  </si>
  <si>
    <t>CONTINGENCIES [10.00%]:</t>
  </si>
  <si>
    <t>3.14.2</t>
  </si>
  <si>
    <t>110 mm uPVC medium pressure pipes - Class 16.</t>
  </si>
  <si>
    <t>Extra-over items 1.2.1 and 1.2.2 for excavation in intermediate material.</t>
  </si>
  <si>
    <t>Extra-over items 1.2.1 and 1.2.2 for excavation in hard material. (Provisional)</t>
  </si>
  <si>
    <t>Extra-over Item 1.2.3 for excavation in intermediate material using labour intensive methods.</t>
  </si>
  <si>
    <t>Extra-over Item 1.2.5 for excavate and dispose of unsuitable materisl using labour intensive methods.</t>
  </si>
  <si>
    <t>(Extra-over rate to Items 3.1)</t>
  </si>
  <si>
    <t>Provision for extension of the existing tank stand</t>
  </si>
  <si>
    <t>4.1.3</t>
  </si>
  <si>
    <t>t</t>
  </si>
  <si>
    <t>4.1.4</t>
  </si>
  <si>
    <t>Supply and placement of reinforced concrete. [Class 25/19 MPa] for the tank footings.</t>
  </si>
  <si>
    <t>Supply and placement of blinding layer concrete. [Class 15/10 MPa] for the tank footings.</t>
  </si>
  <si>
    <t>Vertical formwork to provide Class F1 surface finish to the tank footings.</t>
  </si>
  <si>
    <t>Supply, bend and fixing of Mild stress steel reinforcement for the tank footings.</t>
  </si>
  <si>
    <t>Supply, bend and fixing of High yield stress steel reinforcement for the tank footings.</t>
  </si>
  <si>
    <t>Excavating in soft material for maximum depth of 2.0m for the tank footings.</t>
  </si>
  <si>
    <t>Supply and install Ø24mm x 700mm long holding bolts to be casted in the tank footings.</t>
  </si>
  <si>
    <t>4.1.5</t>
  </si>
  <si>
    <t>4.1.6</t>
  </si>
  <si>
    <t>4.1.7</t>
  </si>
  <si>
    <t>4.1.8</t>
  </si>
  <si>
    <t>4.1.9</t>
  </si>
  <si>
    <t>(Reservoir shall be a Braithwaite type, or similar,pressed steel. All manufacturing to SABS standards with hot dip galvaising to SANS 121(ISO 1461), Installation to be performed by the supplier)</t>
  </si>
  <si>
    <t>Additional Tests required by Engineer:</t>
  </si>
  <si>
    <t>Provision for additional tests.</t>
  </si>
  <si>
    <t>Extra over subitem 4.1.3 for excavation in hard material, irrespective of depth.</t>
  </si>
  <si>
    <t>4.2.1</t>
  </si>
  <si>
    <t>4.2.2</t>
  </si>
  <si>
    <t>4.2.3</t>
  </si>
  <si>
    <t>4.2.4</t>
  </si>
  <si>
    <t>4.2.5</t>
  </si>
  <si>
    <t>4.2.6</t>
  </si>
  <si>
    <t>4.2.7</t>
  </si>
  <si>
    <t>160 mm dia.</t>
  </si>
  <si>
    <t>4.3.1</t>
  </si>
  <si>
    <t>TENDERED AMOUNT</t>
  </si>
  <si>
    <t>75 mm uPVC medium pressure pipes - Class 9.</t>
  </si>
  <si>
    <t>75 mm Upvc class 16:</t>
  </si>
  <si>
    <t>160 mm uPVC class 16:</t>
  </si>
  <si>
    <t>200 mm uPVC class 16:</t>
  </si>
  <si>
    <t xml:space="preserve">SCHEDULE OF QUANTITIES: </t>
  </si>
  <si>
    <t>SUMMARY SCHEDULE OF QUANTITIES</t>
  </si>
  <si>
    <t>200 mm dia</t>
  </si>
  <si>
    <t>200 mm dia.</t>
  </si>
  <si>
    <t>3.5.3</t>
  </si>
  <si>
    <t>91 mm dia.</t>
  </si>
  <si>
    <t>75 mm x 160 mm dia. [S]</t>
  </si>
  <si>
    <t>75 mm x 200 mm dia. [S]</t>
  </si>
  <si>
    <t>160 mm x 200 mm dia. [S]</t>
  </si>
  <si>
    <t>3.8.4</t>
  </si>
  <si>
    <t>Rate Only</t>
  </si>
  <si>
    <t>160 mm dia. Class 16</t>
  </si>
  <si>
    <t>161 mm dia. Class 16</t>
  </si>
  <si>
    <t>3.10.4</t>
  </si>
  <si>
    <t>200 mm dia. Class 16</t>
  </si>
  <si>
    <t>200 mm dia.  In-Line Bulk Water Meter.</t>
  </si>
  <si>
    <t>150 mm dia.  In-Line Bulk Water Meter.</t>
  </si>
  <si>
    <t>Supply and Installation of 15mm Kent Water meter brass type for household connections all complete as per project specifications</t>
  </si>
  <si>
    <t>160 mm dia. Pipes</t>
  </si>
  <si>
    <t>4.3.2</t>
  </si>
  <si>
    <t>Socail Facilitation</t>
  </si>
  <si>
    <t>Provision for Social Facilitation by a Client Appointed Service Provider .</t>
  </si>
  <si>
    <r>
      <t>Front end loader - bucket capacity &gt;1.5 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.</t>
    </r>
  </si>
  <si>
    <t>VAT [15.00%]:</t>
  </si>
  <si>
    <t>Supply and install precast concrete pump house as per DWS specifications, complete with heavy duty lockable steel access door for boreholes above.</t>
  </si>
  <si>
    <t xml:space="preserve">Re-drilling and Equipping  Boreholes </t>
  </si>
  <si>
    <t>25 mm HDPE PN 20</t>
  </si>
  <si>
    <t xml:space="preserve">Re-drilling and or rehabilitation of Borehole H11-2768 including yield test and chemical analysis reporting. Borehole depth up to 120m </t>
  </si>
  <si>
    <t>NAILANA VILLAGE WATER SUPPLY</t>
  </si>
  <si>
    <t xml:space="preserve">NAILANA WS BoQ </t>
  </si>
  <si>
    <t>Supply and erect 140 kl capacity elevated pressed steel reservoir with base 15m above natural ground level.</t>
  </si>
  <si>
    <t>Water Package Plant in Nailana Village:</t>
  </si>
  <si>
    <t>4.3.3</t>
  </si>
  <si>
    <t>Provision for ESKOM Connection for items 4.2.2, 4.2.3 &amp; 4.3.1</t>
  </si>
  <si>
    <t>Allow a Provisional Sum for removing, cleaning and handing over to the Engineer existing Boreholes H11- 2768 &amp; 1372 pump equipment.</t>
  </si>
  <si>
    <t>75 mm uPVC medium pressure pipes - Class 12.</t>
  </si>
  <si>
    <t>25 mm dia. Pipes</t>
  </si>
  <si>
    <t>Prov Sum</t>
  </si>
  <si>
    <t>LI</t>
  </si>
  <si>
    <t>ORB.NAIL.2021</t>
  </si>
  <si>
    <t>Overheads, charges and profit on item 4.2.1,42.4 &amp; 4.3.1</t>
  </si>
  <si>
    <t>Palisade Fencing</t>
  </si>
  <si>
    <t>4.4.1</t>
  </si>
  <si>
    <t>Supply, delivery and installation of 2.4 m high concrete palisade fence with 4.5m wide steel sliding gate, all inclusive of area clearance, civil foundations and all details as per drawing  NAIL-STD-09 &amp;10</t>
  </si>
  <si>
    <t>Flow Control Valves</t>
  </si>
  <si>
    <t>(Bermad or similar approved, flanged and drilled to SABS 1123, Table 16)</t>
  </si>
  <si>
    <t>Provisional Sum for the supply of 150 mm dia.  In-Line Flow Control Valves.</t>
  </si>
  <si>
    <t>Overheads, charges and profit on item 4.2.4 &amp; 4.2.6</t>
  </si>
  <si>
    <t>4.3.4</t>
  </si>
  <si>
    <t>Overheads, charges and profit on item 4.3.3</t>
  </si>
  <si>
    <t>Allow for formation of a reed bed for effluent discharge in 4.3.1 above</t>
  </si>
  <si>
    <t>CONTRACT No:INF-W06/2022/2023</t>
  </si>
  <si>
    <t>Installation of 140 KL/day Water Treatment Package Plant for Reverse Osmosis.</t>
  </si>
  <si>
    <t>Supply and equip Borehole H11-2768 with a suitably sized 3 phase electric motor capable of delivering 1.0l/s at 100m head.  Unit complete with starter panel, cabling, valves, flow meter and delivery pipework as per drawing No. NAIL-STD-12</t>
  </si>
  <si>
    <t>Supply and equip Borehole H11-1372 with a suitably sized 3 phase electric motor capable of delivering 4.0l/s at 100m head.  Unit complete with starter panel, cabling, valves, flow meter and delivery pipework as per drawing No. NAIL-STD-12</t>
  </si>
  <si>
    <t>CONTRACT PRICE ADJUSTMENT(CPA)(2.5%):</t>
  </si>
  <si>
    <t>SUB-TOTAL SCHEDULE B - SECTION 4 CARRIED FORWARD:</t>
  </si>
  <si>
    <r>
      <t>m</t>
    </r>
    <r>
      <rPr>
        <vertAlign val="superscript"/>
        <sz val="10"/>
        <rFont val="Arial"/>
        <family val="2"/>
      </rPr>
      <t>3</t>
    </r>
  </si>
  <si>
    <r>
      <t>m</t>
    </r>
    <r>
      <rPr>
        <vertAlign val="superscript"/>
        <sz val="10"/>
        <rFont val="Arial"/>
        <family val="2"/>
      </rPr>
      <t>2</t>
    </r>
  </si>
  <si>
    <t>4.1.10</t>
  </si>
  <si>
    <t>SUB-TOTAL SCHEDULE B - SECTION 4 BROUGHT FORWARD: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</si>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</sst>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R&quot;\ #,##0.00"/>
    <numFmt numFmtId="167" formatCode="#,##0.0"/>
    <numFmt numFmtId="168" formatCode="#,##0.000"/>
    <numFmt numFmtId="169" formatCode="&quot;R&quot;#,##0.00"/>
    <numFmt numFmtId="170" formatCode="_ [$R-1C09]\ * #,##0.00_ ;_ [$R-1C09]\ * \-#,##0.00_ ;_ [$R-1C09]\ * &quot;-&quot;??_ ;_ @_ "/>
  </numFmts>
  <fonts count="43" x14ac:knownFonts="1">
    <font>
      <sz val="10"/>
      <name val="MS Sans Serif"/>
    </font>
    <font>
      <sz val="10"/>
      <name val="Arial"/>
      <family val="2"/>
    </font>
    <font>
      <sz val="8"/>
      <name val="Arial"/>
      <family val="2"/>
    </font>
    <font>
      <sz val="8"/>
      <name val="MS Sans Serif"/>
      <family val="2"/>
    </font>
    <font>
      <sz val="9"/>
      <name val="Arial"/>
      <family val="2"/>
    </font>
    <font>
      <sz val="9"/>
      <name val="MS Sans Serif"/>
      <family val="2"/>
    </font>
    <font>
      <b/>
      <sz val="9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b/>
      <sz val="10"/>
      <name val="Arial Narrow"/>
      <family val="2"/>
    </font>
    <font>
      <sz val="10"/>
      <name val="MS Sans Serif"/>
      <family val="2"/>
    </font>
    <font>
      <sz val="7"/>
      <name val="Arial"/>
      <family val="2"/>
    </font>
    <font>
      <b/>
      <sz val="10"/>
      <name val="MS Sans Serif"/>
      <family val="2"/>
    </font>
    <font>
      <b/>
      <sz val="9"/>
      <name val="MS Sans Serif"/>
      <family val="2"/>
    </font>
    <font>
      <sz val="1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Times New Roman"/>
      <family val="1"/>
    </font>
    <font>
      <i/>
      <u/>
      <sz val="10"/>
      <name val="Times New Roman"/>
      <family val="1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10"/>
      <color rgb="FFFF0000"/>
      <name val="MS Sans Serif"/>
      <family val="2"/>
    </font>
    <font>
      <sz val="10"/>
      <name val="MS Sans Serif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11"/>
      <name val="MS Sans Serif"/>
    </font>
    <font>
      <i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Arial Narrow"/>
      <family val="2"/>
    </font>
    <font>
      <b/>
      <sz val="11"/>
      <name val="MS Sans Serif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666666"/>
      </top>
      <bottom/>
      <diagonal/>
    </border>
  </borders>
  <cellStyleXfs count="21">
    <xf numFmtId="0" fontId="0" fillId="0" borderId="0"/>
    <xf numFmtId="165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7" fontId="1" fillId="0" borderId="1" applyProtection="0"/>
    <xf numFmtId="4" fontId="21" fillId="0" borderId="1" applyProtection="0"/>
    <xf numFmtId="168" fontId="1" fillId="0" borderId="1" applyProtection="0"/>
    <xf numFmtId="164" fontId="1" fillId="0" borderId="0" applyFont="0" applyFill="0" applyBorder="0" applyAlignment="0" applyProtection="0"/>
    <xf numFmtId="0" fontId="22" fillId="0" borderId="0" applyProtection="0"/>
    <xf numFmtId="2" fontId="22" fillId="0" borderId="0" applyProtection="0"/>
    <xf numFmtId="0" fontId="21" fillId="0" borderId="0" applyNumberFormat="0" applyFont="0" applyFill="0" applyBorder="0" applyAlignment="0" applyProtection="0">
      <protection locked="0"/>
    </xf>
    <xf numFmtId="0" fontId="23" fillId="0" borderId="0" applyProtection="0"/>
    <xf numFmtId="0" fontId="1" fillId="0" borderId="0"/>
    <xf numFmtId="0" fontId="26" fillId="0" borderId="0"/>
    <xf numFmtId="0" fontId="17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4" fillId="0" borderId="0"/>
    <xf numFmtId="0" fontId="25" fillId="0" borderId="2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30" fillId="0" borderId="0" applyFont="0" applyFill="0" applyBorder="0" applyAlignment="0" applyProtection="0"/>
  </cellStyleXfs>
  <cellXfs count="305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7" fillId="0" borderId="5" xfId="14" applyFont="1" applyBorder="1" applyAlignment="1">
      <alignment vertical="center"/>
    </xf>
    <xf numFmtId="0" fontId="2" fillId="0" borderId="5" xfId="14" applyFont="1" applyBorder="1" applyAlignment="1">
      <alignment vertical="center"/>
    </xf>
    <xf numFmtId="0" fontId="2" fillId="0" borderId="5" xfId="14" applyFont="1" applyFill="1" applyBorder="1" applyAlignment="1">
      <alignment vertical="center"/>
    </xf>
    <xf numFmtId="0" fontId="9" fillId="0" borderId="5" xfId="14" applyFont="1" applyBorder="1" applyAlignment="1">
      <alignment vertical="center" wrapText="1"/>
    </xf>
    <xf numFmtId="0" fontId="2" fillId="0" borderId="5" xfId="14" applyFont="1" applyBorder="1" applyAlignment="1">
      <alignment vertical="center" wrapText="1"/>
    </xf>
    <xf numFmtId="0" fontId="2" fillId="0" borderId="5" xfId="14" applyFont="1" applyFill="1" applyBorder="1" applyAlignment="1">
      <alignment vertical="center" wrapText="1"/>
    </xf>
    <xf numFmtId="0" fontId="8" fillId="0" borderId="5" xfId="14" applyFont="1" applyBorder="1" applyAlignment="1">
      <alignment vertic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5" xfId="15" applyFont="1" applyFill="1" applyBorder="1"/>
    <xf numFmtId="0" fontId="2" fillId="0" borderId="5" xfId="15" applyFont="1" applyFill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 applyProtection="1">
      <alignment vertical="center" wrapText="1"/>
    </xf>
    <xf numFmtId="0" fontId="13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right" vertical="center"/>
    </xf>
    <xf numFmtId="0" fontId="4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2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0" xfId="0" applyFont="1" applyBorder="1"/>
    <xf numFmtId="0" fontId="0" fillId="0" borderId="10" xfId="0" applyBorder="1"/>
    <xf numFmtId="0" fontId="0" fillId="0" borderId="11" xfId="0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/>
    </xf>
    <xf numFmtId="49" fontId="2" fillId="0" borderId="0" xfId="0" applyNumberFormat="1" applyFont="1" applyAlignment="1">
      <alignment vertical="top" wrapText="1"/>
    </xf>
    <xf numFmtId="2" fontId="7" fillId="0" borderId="5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center" wrapText="1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vertical="center"/>
    </xf>
    <xf numFmtId="4" fontId="2" fillId="0" borderId="5" xfId="0" applyNumberFormat="1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horizontal="left" vertical="center" wrapText="1"/>
    </xf>
    <xf numFmtId="0" fontId="2" fillId="0" borderId="5" xfId="0" quotePrefix="1" applyFont="1" applyBorder="1" applyAlignment="1" applyProtection="1">
      <alignment vertical="center" wrapText="1"/>
    </xf>
    <xf numFmtId="0" fontId="7" fillId="0" borderId="5" xfId="0" applyFont="1" applyBorder="1" applyAlignment="1" applyProtection="1">
      <alignment vertical="center" wrapText="1"/>
    </xf>
    <xf numFmtId="0" fontId="2" fillId="0" borderId="5" xfId="0" applyFont="1" applyFill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vertical="center" wrapText="1"/>
    </xf>
    <xf numFmtId="0" fontId="2" fillId="0" borderId="5" xfId="0" applyFont="1" applyFill="1" applyBorder="1" applyAlignment="1" applyProtection="1">
      <alignment vertical="center" wrapText="1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left" vertical="center"/>
    </xf>
    <xf numFmtId="0" fontId="1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7" fillId="0" borderId="0" xfId="0" applyFont="1"/>
    <xf numFmtId="0" fontId="14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7" fillId="0" borderId="3" xfId="0" applyFont="1" applyFill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/>
      <protection locked="0"/>
    </xf>
    <xf numFmtId="4" fontId="2" fillId="0" borderId="5" xfId="0" applyNumberFormat="1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7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vertical="center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/>
    </xf>
    <xf numFmtId="0" fontId="7" fillId="0" borderId="5" xfId="0" applyFont="1" applyBorder="1" applyAlignment="1" applyProtection="1">
      <alignment horizontal="center" vertical="center"/>
    </xf>
    <xf numFmtId="4" fontId="2" fillId="0" borderId="5" xfId="0" applyNumberFormat="1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vertical="center"/>
    </xf>
    <xf numFmtId="0" fontId="0" fillId="0" borderId="4" xfId="0" applyBorder="1" applyAlignment="1" applyProtection="1">
      <alignment vertical="center"/>
      <protection locked="0"/>
    </xf>
    <xf numFmtId="166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166" fontId="0" fillId="0" borderId="7" xfId="0" applyNumberFormat="1" applyBorder="1"/>
    <xf numFmtId="166" fontId="0" fillId="0" borderId="10" xfId="0" applyNumberFormat="1" applyBorder="1"/>
    <xf numFmtId="166" fontId="0" fillId="0" borderId="0" xfId="0" applyNumberFormat="1"/>
    <xf numFmtId="166" fontId="15" fillId="2" borderId="3" xfId="0" applyNumberFormat="1" applyFont="1" applyFill="1" applyBorder="1" applyAlignment="1">
      <alignment horizontal="center" vertical="center"/>
    </xf>
    <xf numFmtId="166" fontId="7" fillId="0" borderId="3" xfId="0" applyNumberFormat="1" applyFont="1" applyFill="1" applyBorder="1" applyAlignment="1" applyProtection="1">
      <alignment vertical="center"/>
      <protection locked="0"/>
    </xf>
    <xf numFmtId="166" fontId="2" fillId="0" borderId="5" xfId="0" applyNumberFormat="1" applyFont="1" applyBorder="1" applyAlignment="1" applyProtection="1">
      <alignment vertical="center" wrapText="1"/>
      <protection locked="0"/>
    </xf>
    <xf numFmtId="166" fontId="2" fillId="0" borderId="5" xfId="0" applyNumberFormat="1" applyFont="1" applyBorder="1" applyAlignment="1" applyProtection="1">
      <alignment vertical="center"/>
      <protection locked="0"/>
    </xf>
    <xf numFmtId="166" fontId="14" fillId="0" borderId="0" xfId="0" applyNumberFormat="1" applyFont="1" applyBorder="1" applyAlignment="1">
      <alignment vertical="center"/>
    </xf>
    <xf numFmtId="2" fontId="6" fillId="0" borderId="16" xfId="0" applyNumberFormat="1" applyFont="1" applyBorder="1" applyAlignment="1">
      <alignment horizontal="right" vertical="center"/>
    </xf>
    <xf numFmtId="166" fontId="2" fillId="0" borderId="3" xfId="0" applyNumberFormat="1" applyFont="1" applyFill="1" applyBorder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vertical="center" wrapText="1"/>
    </xf>
    <xf numFmtId="0" fontId="29" fillId="0" borderId="0" xfId="0" applyFont="1"/>
    <xf numFmtId="166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166" fontId="2" fillId="0" borderId="8" xfId="0" applyNumberFormat="1" applyFont="1" applyBorder="1" applyAlignment="1">
      <alignment horizontal="right" vertical="center"/>
    </xf>
    <xf numFmtId="166" fontId="0" fillId="0" borderId="11" xfId="0" applyNumberFormat="1" applyBorder="1"/>
    <xf numFmtId="0" fontId="7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0" xfId="0" applyFont="1" applyFill="1"/>
    <xf numFmtId="169" fontId="0" fillId="0" borderId="0" xfId="0" applyNumberFormat="1"/>
    <xf numFmtId="16" fontId="0" fillId="0" borderId="0" xfId="0" applyNumberFormat="1"/>
    <xf numFmtId="4" fontId="32" fillId="0" borderId="5" xfId="0" applyNumberFormat="1" applyFont="1" applyFill="1" applyBorder="1" applyAlignment="1" applyProtection="1">
      <alignment horizontal="right" vertical="center"/>
    </xf>
    <xf numFmtId="0" fontId="32" fillId="0" borderId="5" xfId="0" applyFont="1" applyBorder="1" applyAlignment="1">
      <alignment horizontal="center" vertical="center"/>
    </xf>
    <xf numFmtId="4" fontId="32" fillId="0" borderId="5" xfId="0" applyNumberFormat="1" applyFont="1" applyBorder="1" applyAlignment="1" applyProtection="1">
      <alignment vertical="center"/>
    </xf>
    <xf numFmtId="166" fontId="4" fillId="0" borderId="0" xfId="0" applyNumberFormat="1" applyFont="1"/>
    <xf numFmtId="0" fontId="4" fillId="0" borderId="7" xfId="0" applyFont="1" applyBorder="1" applyAlignment="1">
      <alignment vertical="center"/>
    </xf>
    <xf numFmtId="0" fontId="0" fillId="0" borderId="7" xfId="0" applyFont="1" applyBorder="1"/>
    <xf numFmtId="0" fontId="0" fillId="0" borderId="10" xfId="0" applyFont="1" applyBorder="1"/>
    <xf numFmtId="0" fontId="0" fillId="0" borderId="0" xfId="0" applyFont="1"/>
    <xf numFmtId="0" fontId="0" fillId="0" borderId="4" xfId="0" applyFont="1" applyBorder="1" applyAlignment="1">
      <alignment vertical="center"/>
    </xf>
    <xf numFmtId="165" fontId="2" fillId="0" borderId="3" xfId="20" applyFont="1" applyFill="1" applyBorder="1" applyAlignment="1">
      <alignment horizontal="right" vertical="center"/>
    </xf>
    <xf numFmtId="0" fontId="31" fillId="2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3" fillId="0" borderId="0" xfId="0" applyFont="1"/>
    <xf numFmtId="0" fontId="1" fillId="0" borderId="5" xfId="0" applyFont="1" applyBorder="1" applyAlignment="1">
      <alignment horizontal="center" vertical="center" wrapText="1"/>
    </xf>
    <xf numFmtId="0" fontId="34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top"/>
    </xf>
    <xf numFmtId="0" fontId="35" fillId="0" borderId="5" xfId="15" applyFont="1" applyFill="1" applyBorder="1" applyAlignment="1">
      <alignment vertical="center" wrapText="1"/>
    </xf>
    <xf numFmtId="0" fontId="35" fillId="0" borderId="5" xfId="0" applyFont="1" applyBorder="1" applyAlignment="1" applyProtection="1">
      <alignment horizontal="center" vertical="center"/>
    </xf>
    <xf numFmtId="4" fontId="35" fillId="0" borderId="5" xfId="0" applyNumberFormat="1" applyFont="1" applyFill="1" applyBorder="1" applyAlignment="1" applyProtection="1">
      <alignment horizontal="right" vertical="center"/>
    </xf>
    <xf numFmtId="0" fontId="1" fillId="0" borderId="5" xfId="15" applyFont="1" applyFill="1" applyBorder="1" applyAlignment="1">
      <alignment vertical="center" wrapText="1"/>
    </xf>
    <xf numFmtId="4" fontId="1" fillId="0" borderId="5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38" fillId="0" borderId="5" xfId="0" applyFont="1" applyBorder="1" applyAlignment="1">
      <alignment vertical="center" wrapText="1"/>
    </xf>
    <xf numFmtId="0" fontId="39" fillId="0" borderId="5" xfId="0" applyFont="1" applyBorder="1" applyAlignment="1">
      <alignment vertical="center"/>
    </xf>
    <xf numFmtId="4" fontId="39" fillId="0" borderId="5" xfId="0" applyNumberFormat="1" applyFont="1" applyFill="1" applyBorder="1" applyAlignment="1" applyProtection="1">
      <alignment horizontal="right" vertical="center"/>
    </xf>
    <xf numFmtId="0" fontId="39" fillId="0" borderId="0" xfId="0" applyFont="1"/>
    <xf numFmtId="170" fontId="33" fillId="0" borderId="0" xfId="0" applyNumberFormat="1" applyFont="1"/>
    <xf numFmtId="0" fontId="40" fillId="2" borderId="3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/>
    </xf>
    <xf numFmtId="0" fontId="41" fillId="0" borderId="0" xfId="0" applyFont="1"/>
    <xf numFmtId="0" fontId="38" fillId="0" borderId="3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vertical="center"/>
    </xf>
    <xf numFmtId="0" fontId="38" fillId="0" borderId="3" xfId="0" applyFont="1" applyFill="1" applyBorder="1" applyAlignment="1">
      <alignment horizontal="right" vertical="center"/>
    </xf>
    <xf numFmtId="0" fontId="39" fillId="0" borderId="5" xfId="0" applyFont="1" applyBorder="1" applyAlignment="1">
      <alignment horizontal="right" vertical="center"/>
    </xf>
    <xf numFmtId="0" fontId="38" fillId="0" borderId="12" xfId="0" applyFont="1" applyBorder="1" applyAlignment="1">
      <alignment vertical="center"/>
    </xf>
    <xf numFmtId="0" fontId="1" fillId="0" borderId="5" xfId="14" applyFont="1" applyFill="1" applyBorder="1" applyAlignment="1">
      <alignment vertical="center" wrapText="1"/>
    </xf>
    <xf numFmtId="169" fontId="1" fillId="0" borderId="0" xfId="0" applyNumberFormat="1" applyFont="1"/>
    <xf numFmtId="4" fontId="1" fillId="0" borderId="5" xfId="0" applyNumberFormat="1" applyFont="1" applyBorder="1" applyAlignment="1">
      <alignment horizontal="right" vertical="center"/>
    </xf>
    <xf numFmtId="0" fontId="1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right" vertical="center"/>
    </xf>
    <xf numFmtId="0" fontId="42" fillId="0" borderId="5" xfId="14" applyFont="1" applyFill="1" applyBorder="1" applyAlignment="1">
      <alignment vertical="center" wrapText="1"/>
    </xf>
    <xf numFmtId="4" fontId="39" fillId="0" borderId="5" xfId="0" applyNumberFormat="1" applyFont="1" applyBorder="1" applyAlignment="1">
      <alignment horizontal="right" vertical="center"/>
    </xf>
    <xf numFmtId="0" fontId="38" fillId="0" borderId="5" xfId="14" applyFont="1" applyFill="1" applyBorder="1" applyAlignment="1">
      <alignment vertical="center" wrapText="1"/>
    </xf>
    <xf numFmtId="0" fontId="4" fillId="0" borderId="0" xfId="0" applyFont="1" applyAlignment="1" applyProtection="1">
      <alignment vertical="center" wrapText="1"/>
    </xf>
    <xf numFmtId="0" fontId="0" fillId="0" borderId="4" xfId="0" applyBorder="1" applyAlignment="1" applyProtection="1">
      <alignment vertical="center"/>
    </xf>
    <xf numFmtId="166" fontId="2" fillId="0" borderId="5" xfId="0" applyNumberFormat="1" applyFont="1" applyBorder="1" applyAlignment="1" applyProtection="1">
      <alignment horizontal="right" vertical="center"/>
      <protection locked="0"/>
    </xf>
    <xf numFmtId="166" fontId="27" fillId="0" borderId="5" xfId="0" applyNumberFormat="1" applyFont="1" applyBorder="1" applyAlignment="1" applyProtection="1">
      <alignment horizontal="right" vertical="center"/>
      <protection locked="0"/>
    </xf>
    <xf numFmtId="166" fontId="0" fillId="0" borderId="4" xfId="0" applyNumberFormat="1" applyBorder="1" applyAlignment="1" applyProtection="1">
      <alignment vertical="center"/>
      <protection locked="0"/>
    </xf>
    <xf numFmtId="166" fontId="2" fillId="0" borderId="5" xfId="0" applyNumberFormat="1" applyFont="1" applyFill="1" applyBorder="1" applyAlignment="1" applyProtection="1">
      <alignment horizontal="right" vertical="center"/>
      <protection locked="0"/>
    </xf>
    <xf numFmtId="166" fontId="9" fillId="0" borderId="5" xfId="0" applyNumberFormat="1" applyFont="1" applyFill="1" applyBorder="1" applyAlignment="1" applyProtection="1">
      <alignment horizontal="right" vertical="center"/>
      <protection locked="0"/>
    </xf>
    <xf numFmtId="166" fontId="27" fillId="0" borderId="5" xfId="0" applyNumberFormat="1" applyFont="1" applyFill="1" applyBorder="1" applyAlignment="1" applyProtection="1">
      <alignment horizontal="right" vertical="center"/>
      <protection locked="0"/>
    </xf>
    <xf numFmtId="166" fontId="2" fillId="0" borderId="5" xfId="0" applyNumberFormat="1" applyFont="1" applyFill="1" applyBorder="1" applyAlignment="1" applyProtection="1">
      <alignment vertical="center"/>
      <protection locked="0"/>
    </xf>
    <xf numFmtId="166" fontId="27" fillId="0" borderId="5" xfId="0" applyNumberFormat="1" applyFont="1" applyFill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right" vertical="center"/>
    </xf>
    <xf numFmtId="0" fontId="13" fillId="0" borderId="5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left" vertical="center" wrapText="1"/>
    </xf>
    <xf numFmtId="166" fontId="2" fillId="0" borderId="5" xfId="0" applyNumberFormat="1" applyFont="1" applyBorder="1" applyAlignment="1" applyProtection="1">
      <alignment horizontal="center" vertical="center"/>
      <protection locked="0"/>
    </xf>
    <xf numFmtId="166" fontId="7" fillId="0" borderId="5" xfId="0" applyNumberFormat="1" applyFont="1" applyBorder="1" applyAlignment="1" applyProtection="1">
      <alignment horizontal="right" vertical="center"/>
      <protection locked="0"/>
    </xf>
    <xf numFmtId="9" fontId="2" fillId="0" borderId="5" xfId="18" applyFont="1" applyBorder="1" applyAlignment="1" applyProtection="1">
      <alignment vertical="center"/>
      <protection locked="0"/>
    </xf>
    <xf numFmtId="2" fontId="2" fillId="0" borderId="5" xfId="0" applyNumberFormat="1" applyFont="1" applyBorder="1" applyAlignment="1" applyProtection="1">
      <alignment vertical="center"/>
      <protection locked="0"/>
    </xf>
    <xf numFmtId="166" fontId="2" fillId="3" borderId="5" xfId="0" applyNumberFormat="1" applyFont="1" applyFill="1" applyBorder="1" applyAlignment="1" applyProtection="1">
      <alignment vertical="center"/>
      <protection locked="0"/>
    </xf>
    <xf numFmtId="10" fontId="2" fillId="0" borderId="5" xfId="0" applyNumberFormat="1" applyFont="1" applyBorder="1" applyAlignment="1" applyProtection="1">
      <alignment vertical="center"/>
      <protection locked="0"/>
    </xf>
    <xf numFmtId="166" fontId="3" fillId="0" borderId="5" xfId="0" applyNumberFormat="1" applyFont="1" applyBorder="1" applyAlignment="1" applyProtection="1">
      <alignment vertical="center"/>
      <protection locked="0"/>
    </xf>
    <xf numFmtId="0" fontId="0" fillId="0" borderId="4" xfId="0" applyFont="1" applyBorder="1" applyAlignment="1" applyProtection="1">
      <alignment vertical="center"/>
      <protection locked="0"/>
    </xf>
    <xf numFmtId="4" fontId="2" fillId="0" borderId="5" xfId="0" applyNumberFormat="1" applyFont="1" applyBorder="1" applyAlignment="1" applyProtection="1">
      <alignment horizontal="right" vertical="center" wrapText="1"/>
      <protection locked="0"/>
    </xf>
    <xf numFmtId="4" fontId="2" fillId="0" borderId="5" xfId="0" applyNumberFormat="1" applyFont="1" applyBorder="1" applyAlignment="1" applyProtection="1">
      <alignment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3" fillId="0" borderId="5" xfId="0" applyNumberFormat="1" applyFont="1" applyBorder="1" applyAlignment="1" applyProtection="1">
      <alignment vertical="center"/>
      <protection locked="0"/>
    </xf>
    <xf numFmtId="4" fontId="2" fillId="0" borderId="5" xfId="0" applyNumberFormat="1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left" vertical="center" wrapText="1"/>
    </xf>
    <xf numFmtId="0" fontId="7" fillId="0" borderId="3" xfId="0" applyFont="1" applyFill="1" applyBorder="1" applyAlignment="1" applyProtection="1">
      <alignment horizontal="right" vertical="center"/>
      <protection locked="0"/>
    </xf>
    <xf numFmtId="0" fontId="2" fillId="0" borderId="5" xfId="0" applyFont="1" applyBorder="1" applyAlignment="1" applyProtection="1">
      <alignment horizontal="right" vertical="center" wrapText="1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166" fontId="3" fillId="0" borderId="5" xfId="0" applyNumberFormat="1" applyFon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7" fillId="0" borderId="5" xfId="14" applyFont="1" applyBorder="1" applyAlignment="1" applyProtection="1">
      <alignment vertical="center"/>
    </xf>
    <xf numFmtId="0" fontId="2" fillId="0" borderId="5" xfId="14" applyFont="1" applyBorder="1" applyAlignment="1" applyProtection="1">
      <alignment vertical="center"/>
    </xf>
    <xf numFmtId="0" fontId="2" fillId="0" borderId="5" xfId="14" applyFont="1" applyBorder="1" applyAlignment="1" applyProtection="1">
      <alignment vertical="center" wrapText="1"/>
    </xf>
    <xf numFmtId="0" fontId="2" fillId="0" borderId="5" xfId="14" applyFont="1" applyFill="1" applyBorder="1" applyAlignment="1" applyProtection="1">
      <alignment vertical="center"/>
    </xf>
    <xf numFmtId="0" fontId="9" fillId="0" borderId="5" xfId="14" applyFont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165" fontId="2" fillId="0" borderId="5" xfId="20" applyFont="1" applyBorder="1" applyAlignment="1" applyProtection="1">
      <alignment horizontal="right" vertical="center"/>
      <protection locked="0"/>
    </xf>
    <xf numFmtId="166" fontId="32" fillId="0" borderId="5" xfId="0" applyNumberFormat="1" applyFont="1" applyFill="1" applyBorder="1" applyAlignment="1" applyProtection="1">
      <alignment vertical="center"/>
      <protection locked="0"/>
    </xf>
    <xf numFmtId="166" fontId="32" fillId="0" borderId="5" xfId="0" applyNumberFormat="1" applyFont="1" applyBorder="1" applyAlignment="1" applyProtection="1">
      <alignment horizontal="right" vertical="center"/>
      <protection locked="0"/>
    </xf>
    <xf numFmtId="4" fontId="2" fillId="0" borderId="5" xfId="0" applyNumberFormat="1" applyFont="1" applyFill="1" applyBorder="1" applyAlignment="1" applyProtection="1">
      <alignment vertical="center"/>
      <protection locked="0"/>
    </xf>
    <xf numFmtId="166" fontId="7" fillId="0" borderId="3" xfId="0" applyNumberFormat="1" applyFont="1" applyFill="1" applyBorder="1" applyAlignment="1" applyProtection="1">
      <alignment horizontal="right" vertical="center"/>
      <protection locked="0"/>
    </xf>
    <xf numFmtId="166" fontId="2" fillId="0" borderId="5" xfId="0" applyNumberFormat="1" applyFont="1" applyBorder="1" applyAlignment="1" applyProtection="1">
      <alignment horizontal="right" vertical="center" wrapText="1"/>
      <protection locked="0"/>
    </xf>
    <xf numFmtId="165" fontId="2" fillId="0" borderId="5" xfId="20" applyFont="1" applyBorder="1" applyAlignment="1" applyProtection="1">
      <alignment horizontal="right" vertical="center" wrapText="1"/>
      <protection locked="0"/>
    </xf>
    <xf numFmtId="166" fontId="32" fillId="0" borderId="5" xfId="0" applyNumberFormat="1" applyFont="1" applyFill="1" applyBorder="1" applyAlignment="1" applyProtection="1">
      <alignment horizontal="right" vertical="center"/>
      <protection locked="0"/>
    </xf>
    <xf numFmtId="166" fontId="27" fillId="0" borderId="5" xfId="0" applyNumberFormat="1" applyFont="1" applyBorder="1" applyAlignment="1" applyProtection="1">
      <alignment vertical="center"/>
      <protection locked="0"/>
    </xf>
    <xf numFmtId="166" fontId="32" fillId="0" borderId="5" xfId="0" applyNumberFormat="1" applyFont="1" applyBorder="1" applyAlignment="1" applyProtection="1">
      <alignment vertical="center"/>
      <protection locked="0"/>
    </xf>
    <xf numFmtId="166" fontId="38" fillId="0" borderId="3" xfId="0" applyNumberFormat="1" applyFont="1" applyFill="1" applyBorder="1" applyAlignment="1" applyProtection="1">
      <alignment horizontal="right" vertical="center"/>
      <protection locked="0"/>
    </xf>
    <xf numFmtId="166" fontId="1" fillId="0" borderId="5" xfId="0" applyNumberFormat="1" applyFont="1" applyBorder="1" applyAlignment="1" applyProtection="1">
      <alignment horizontal="right" vertical="center" wrapText="1"/>
      <protection locked="0"/>
    </xf>
    <xf numFmtId="166" fontId="39" fillId="0" borderId="5" xfId="0" applyNumberFormat="1" applyFont="1" applyBorder="1" applyAlignment="1" applyProtection="1">
      <alignment horizontal="right" vertical="center"/>
      <protection locked="0"/>
    </xf>
    <xf numFmtId="166" fontId="1" fillId="0" borderId="5" xfId="0" applyNumberFormat="1" applyFont="1" applyBorder="1" applyAlignment="1" applyProtection="1">
      <alignment horizontal="right" vertical="center"/>
      <protection locked="0"/>
    </xf>
    <xf numFmtId="166" fontId="36" fillId="0" borderId="5" xfId="0" applyNumberFormat="1" applyFont="1" applyFill="1" applyBorder="1" applyAlignment="1" applyProtection="1">
      <alignment horizontal="right" vertical="center"/>
      <protection locked="0"/>
    </xf>
    <xf numFmtId="166" fontId="35" fillId="0" borderId="5" xfId="0" applyNumberFormat="1" applyFont="1" applyBorder="1" applyAlignment="1" applyProtection="1">
      <alignment horizontal="right" vertical="center"/>
      <protection locked="0"/>
    </xf>
    <xf numFmtId="166" fontId="1" fillId="0" borderId="5" xfId="0" applyNumberFormat="1" applyFont="1" applyFill="1" applyBorder="1" applyAlignment="1" applyProtection="1">
      <alignment horizontal="right" vertical="center"/>
      <protection locked="0"/>
    </xf>
    <xf numFmtId="166" fontId="39" fillId="0" borderId="5" xfId="0" applyNumberFormat="1" applyFont="1" applyFill="1" applyBorder="1" applyAlignment="1" applyProtection="1">
      <alignment horizontal="right" vertical="center"/>
      <protection locked="0"/>
    </xf>
    <xf numFmtId="165" fontId="1" fillId="0" borderId="5" xfId="20" applyFont="1" applyFill="1" applyBorder="1" applyAlignment="1" applyProtection="1">
      <alignment horizontal="right" vertical="center"/>
      <protection locked="0"/>
    </xf>
    <xf numFmtId="165" fontId="1" fillId="0" borderId="5" xfId="20" applyFont="1" applyBorder="1" applyAlignment="1" applyProtection="1">
      <alignment horizontal="right" vertical="center"/>
      <protection locked="0"/>
    </xf>
    <xf numFmtId="166" fontId="14" fillId="0" borderId="3" xfId="0" applyNumberFormat="1" applyFont="1" applyFill="1" applyBorder="1" applyAlignment="1" applyProtection="1">
      <alignment horizontal="right" vertical="center"/>
      <protection locked="0"/>
    </xf>
    <xf numFmtId="166" fontId="14" fillId="0" borderId="5" xfId="0" applyNumberFormat="1" applyFont="1" applyBorder="1" applyAlignment="1" applyProtection="1">
      <alignment horizontal="right" vertical="center"/>
      <protection locked="0"/>
    </xf>
    <xf numFmtId="10" fontId="1" fillId="0" borderId="5" xfId="0" applyNumberFormat="1" applyFont="1" applyBorder="1" applyAlignment="1" applyProtection="1">
      <alignment horizontal="right" vertical="center"/>
      <protection locked="0"/>
    </xf>
    <xf numFmtId="166" fontId="38" fillId="0" borderId="5" xfId="0" applyNumberFormat="1" applyFont="1" applyBorder="1" applyAlignment="1" applyProtection="1">
      <alignment horizontal="right" vertical="center"/>
      <protection locked="0"/>
    </xf>
    <xf numFmtId="165" fontId="39" fillId="0" borderId="5" xfId="20" applyFont="1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165" fontId="1" fillId="0" borderId="14" xfId="20" applyFont="1" applyBorder="1" applyAlignment="1" applyProtection="1">
      <alignment horizontal="center" vertical="center" wrapText="1"/>
      <protection locked="0"/>
    </xf>
    <xf numFmtId="165" fontId="1" fillId="0" borderId="13" xfId="2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2" xfId="0" applyFont="1" applyBorder="1" applyAlignment="1" applyProtection="1">
      <alignment vertical="center"/>
      <protection locked="0"/>
    </xf>
    <xf numFmtId="166" fontId="16" fillId="0" borderId="12" xfId="0" applyNumberFormat="1" applyFont="1" applyBorder="1" applyAlignment="1" applyProtection="1">
      <alignment horizontal="right" vertical="center"/>
      <protection locked="0"/>
    </xf>
    <xf numFmtId="4" fontId="16" fillId="0" borderId="12" xfId="0" applyNumberFormat="1" applyFont="1" applyBorder="1" applyAlignment="1" applyProtection="1">
      <alignment horizontal="right" vertical="center"/>
      <protection locked="0"/>
    </xf>
    <xf numFmtId="0" fontId="2" fillId="0" borderId="5" xfId="0" applyNumberFormat="1" applyFont="1" applyFill="1" applyBorder="1" applyAlignment="1" applyProtection="1">
      <alignment horizontal="right" vertical="center"/>
      <protection locked="0"/>
    </xf>
    <xf numFmtId="4" fontId="2" fillId="0" borderId="5" xfId="0" applyNumberFormat="1" applyFont="1" applyFill="1" applyBorder="1" applyAlignment="1" applyProtection="1">
      <alignment horizontal="right" vertical="center"/>
      <protection locked="0"/>
    </xf>
    <xf numFmtId="165" fontId="16" fillId="0" borderId="12" xfId="2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vertical="center"/>
      <protection locked="0"/>
    </xf>
    <xf numFmtId="0" fontId="38" fillId="0" borderId="14" xfId="0" applyFont="1" applyBorder="1" applyAlignment="1">
      <alignment vertical="center"/>
    </xf>
    <xf numFmtId="0" fontId="38" fillId="0" borderId="15" xfId="0" applyFont="1" applyBorder="1" applyAlignment="1">
      <alignment vertical="center"/>
    </xf>
    <xf numFmtId="0" fontId="38" fillId="0" borderId="13" xfId="0" applyFont="1" applyBorder="1" applyAlignment="1">
      <alignment vertical="center"/>
    </xf>
    <xf numFmtId="0" fontId="38" fillId="0" borderId="12" xfId="0" applyFont="1" applyBorder="1" applyAlignment="1" applyProtection="1">
      <alignment vertical="center"/>
      <protection locked="0"/>
    </xf>
    <xf numFmtId="166" fontId="40" fillId="0" borderId="12" xfId="0" applyNumberFormat="1" applyFont="1" applyBorder="1" applyAlignment="1" applyProtection="1">
      <alignment horizontal="right" vertical="center"/>
      <protection locked="0"/>
    </xf>
    <xf numFmtId="0" fontId="18" fillId="0" borderId="1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38" fillId="0" borderId="14" xfId="0" applyFont="1" applyBorder="1" applyAlignment="1">
      <alignment horizontal="left" vertical="center"/>
    </xf>
    <xf numFmtId="0" fontId="38" fillId="0" borderId="15" xfId="0" applyFont="1" applyBorder="1" applyAlignment="1">
      <alignment horizontal="left" vertical="center"/>
    </xf>
    <xf numFmtId="0" fontId="38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0" fillId="0" borderId="12" xfId="0" applyBorder="1" applyAlignment="1" applyProtection="1">
      <alignment horizontal="center"/>
      <protection locked="0"/>
    </xf>
    <xf numFmtId="165" fontId="0" fillId="0" borderId="12" xfId="20" applyFont="1" applyBorder="1" applyAlignment="1" applyProtection="1">
      <alignment horizontal="center" vertical="center"/>
      <protection locked="0"/>
    </xf>
    <xf numFmtId="166" fontId="0" fillId="0" borderId="12" xfId="0" applyNumberFormat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165" fontId="19" fillId="0" borderId="14" xfId="20" applyFont="1" applyBorder="1" applyAlignment="1" applyProtection="1">
      <alignment horizontal="center" vertical="center"/>
      <protection locked="0"/>
    </xf>
    <xf numFmtId="165" fontId="19" fillId="0" borderId="13" xfId="20" applyFont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>
      <alignment horizontal="right" vertical="center" wrapText="1"/>
    </xf>
    <xf numFmtId="0" fontId="14" fillId="0" borderId="15" xfId="0" applyFont="1" applyFill="1" applyBorder="1" applyAlignment="1">
      <alignment horizontal="right" vertical="center" wrapText="1"/>
    </xf>
    <xf numFmtId="0" fontId="14" fillId="0" borderId="13" xfId="0" applyFont="1" applyFill="1" applyBorder="1" applyAlignment="1">
      <alignment horizontal="right" vertical="center" wrapText="1"/>
    </xf>
    <xf numFmtId="166" fontId="0" fillId="0" borderId="12" xfId="0" applyNumberFormat="1" applyBorder="1" applyAlignment="1" applyProtection="1">
      <alignment horizontal="center"/>
      <protection locked="0"/>
    </xf>
    <xf numFmtId="165" fontId="14" fillId="0" borderId="14" xfId="20" applyFont="1" applyBorder="1" applyAlignment="1" applyProtection="1">
      <alignment horizontal="center" vertical="center" wrapText="1"/>
      <protection locked="0"/>
    </xf>
    <xf numFmtId="165" fontId="14" fillId="0" borderId="13" xfId="20" applyFont="1" applyBorder="1" applyAlignment="1" applyProtection="1">
      <alignment horizontal="center" vertical="center" wrapText="1"/>
      <protection locked="0"/>
    </xf>
    <xf numFmtId="165" fontId="1" fillId="0" borderId="14" xfId="20" applyFont="1" applyBorder="1" applyAlignment="1" applyProtection="1">
      <alignment horizontal="center" vertical="center" wrapText="1"/>
      <protection locked="0"/>
    </xf>
    <xf numFmtId="165" fontId="1" fillId="0" borderId="13" xfId="2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</cellXfs>
  <cellStyles count="21">
    <cellStyle name="Comma" xfId="20" builtinId="3"/>
    <cellStyle name="Comma 2" xfId="1"/>
    <cellStyle name="Comma0" xfId="2"/>
    <cellStyle name="Comma1" xfId="3"/>
    <cellStyle name="Comma2" xfId="4"/>
    <cellStyle name="Comma3" xfId="5"/>
    <cellStyle name="Currency 2" xfId="6"/>
    <cellStyle name="Date" xfId="7"/>
    <cellStyle name="Fixed" xfId="8"/>
    <cellStyle name="HEADING1" xfId="9"/>
    <cellStyle name="HEADING2" xfId="10"/>
    <cellStyle name="Normal" xfId="0" builtinId="0"/>
    <cellStyle name="Normal 2" xfId="11"/>
    <cellStyle name="Normal 2 2" xfId="12"/>
    <cellStyle name="Normal 3" xfId="13"/>
    <cellStyle name="normal_S1" xfId="14"/>
    <cellStyle name="normal_S10" xfId="15"/>
    <cellStyle name="OPSKRIF" xfId="16"/>
    <cellStyle name="or" xfId="17"/>
    <cellStyle name="Percent" xfId="18" builtinId="5"/>
    <cellStyle name="Percent 2" xfId="1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2E6B4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DDDDDD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B1:J60"/>
  <sheetViews>
    <sheetView view="pageBreakPreview" topLeftCell="A12" zoomScale="96" zoomScaleNormal="100" zoomScaleSheetLayoutView="96" workbookViewId="0">
      <selection activeCell="H42" sqref="H42"/>
    </sheetView>
  </sheetViews>
  <sheetFormatPr defaultRowHeight="12.75" x14ac:dyDescent="0.2"/>
  <cols>
    <col min="1" max="1" width="1.7109375" customWidth="1"/>
    <col min="2" max="3" width="8.7109375" customWidth="1"/>
    <col min="4" max="4" width="35.5703125" customWidth="1"/>
    <col min="5" max="6" width="8.7109375" customWidth="1"/>
    <col min="7" max="7" width="10.7109375" style="101" customWidth="1"/>
    <col min="8" max="8" width="12.7109375" style="101" customWidth="1"/>
    <col min="9" max="9" width="1.7109375" customWidth="1"/>
    <col min="11" max="11" width="10.140625" bestFit="1" customWidth="1"/>
  </cols>
  <sheetData>
    <row r="1" spans="2:9" ht="15" customHeight="1" x14ac:dyDescent="0.2">
      <c r="B1" s="72"/>
      <c r="C1" s="72"/>
      <c r="D1" s="72"/>
      <c r="E1" s="72"/>
      <c r="F1" s="72"/>
      <c r="G1" s="97"/>
      <c r="H1" s="98" t="s">
        <v>574</v>
      </c>
      <c r="I1" s="75"/>
    </row>
    <row r="2" spans="2:9" ht="18" customHeight="1" x14ac:dyDescent="0.2">
      <c r="B2" s="260" t="s">
        <v>396</v>
      </c>
      <c r="C2" s="260"/>
      <c r="D2" s="260"/>
      <c r="E2" s="260"/>
      <c r="F2" s="260"/>
      <c r="G2" s="260"/>
      <c r="H2" s="260"/>
    </row>
    <row r="3" spans="2:9" ht="18" customHeight="1" x14ac:dyDescent="0.2">
      <c r="B3" s="261" t="s">
        <v>535</v>
      </c>
      <c r="C3" s="261"/>
      <c r="D3" s="261"/>
      <c r="E3" s="261"/>
      <c r="F3" s="261"/>
      <c r="G3" s="261"/>
      <c r="H3" s="261"/>
    </row>
    <row r="4" spans="2:9" ht="18" customHeight="1" x14ac:dyDescent="0.2">
      <c r="B4" s="260" t="s">
        <v>563</v>
      </c>
      <c r="C4" s="260"/>
      <c r="D4" s="260"/>
      <c r="E4" s="260"/>
      <c r="F4" s="262" t="s">
        <v>586</v>
      </c>
      <c r="G4" s="262"/>
      <c r="H4" s="262"/>
    </row>
    <row r="5" spans="2:9" ht="18" customHeight="1" x14ac:dyDescent="0.2">
      <c r="B5" s="41" t="s">
        <v>231</v>
      </c>
      <c r="C5" s="42"/>
      <c r="D5" s="43"/>
      <c r="E5" s="44"/>
      <c r="F5" s="44"/>
      <c r="G5" s="99"/>
      <c r="H5" s="114"/>
    </row>
    <row r="6" spans="2:9" ht="18" customHeight="1" x14ac:dyDescent="0.2">
      <c r="B6" s="46" t="s">
        <v>44</v>
      </c>
      <c r="C6" s="47"/>
      <c r="D6" s="48"/>
      <c r="E6" s="47"/>
      <c r="F6" s="49"/>
      <c r="G6" s="100"/>
      <c r="H6" s="115"/>
    </row>
    <row r="7" spans="2:9" ht="4.9000000000000004" customHeight="1" x14ac:dyDescent="0.2">
      <c r="B7" s="1"/>
      <c r="C7" s="1"/>
    </row>
    <row r="8" spans="2:9" ht="25.15" customHeight="1" x14ac:dyDescent="0.2">
      <c r="B8" s="51" t="s">
        <v>238</v>
      </c>
      <c r="C8" s="51" t="s">
        <v>237</v>
      </c>
      <c r="D8" s="52" t="s">
        <v>1</v>
      </c>
      <c r="E8" s="52" t="s">
        <v>2</v>
      </c>
      <c r="F8" s="52" t="s">
        <v>3</v>
      </c>
      <c r="G8" s="102" t="s">
        <v>4</v>
      </c>
      <c r="H8" s="102" t="s">
        <v>5</v>
      </c>
    </row>
    <row r="9" spans="2:9" ht="18" customHeight="1" x14ac:dyDescent="0.2">
      <c r="B9" s="88" t="s">
        <v>50</v>
      </c>
      <c r="C9" s="89"/>
      <c r="D9" s="90" t="s">
        <v>46</v>
      </c>
      <c r="E9" s="90"/>
      <c r="F9" s="90"/>
      <c r="G9" s="103"/>
      <c r="H9" s="103"/>
    </row>
    <row r="10" spans="2:9" s="7" customFormat="1" ht="25.15" customHeight="1" x14ac:dyDescent="0.2">
      <c r="B10" s="91"/>
      <c r="C10" s="91"/>
      <c r="D10" s="70" t="s">
        <v>81</v>
      </c>
      <c r="E10" s="36"/>
      <c r="F10" s="177"/>
      <c r="G10" s="104"/>
      <c r="H10" s="104" t="str">
        <f>IF(E11="",IF(G10="","","Rate Only"),E11*G10)</f>
        <v/>
      </c>
    </row>
    <row r="11" spans="2:9" s="2" customFormat="1" ht="15" customHeight="1" x14ac:dyDescent="0.2">
      <c r="B11" s="39"/>
      <c r="C11" s="39"/>
      <c r="D11" s="68"/>
      <c r="E11" s="36"/>
      <c r="F11" s="40"/>
      <c r="G11" s="105"/>
      <c r="H11" s="105" t="str">
        <f>IF(F11="",IF(G11="","","Rate Only"),F11*G11)</f>
        <v/>
      </c>
    </row>
    <row r="12" spans="2:9" s="2" customFormat="1" ht="18" customHeight="1" x14ac:dyDescent="0.2">
      <c r="B12" s="93">
        <v>1.1000000000000001</v>
      </c>
      <c r="C12" s="39"/>
      <c r="D12" s="68" t="s">
        <v>39</v>
      </c>
      <c r="E12" s="39"/>
      <c r="F12" s="94"/>
      <c r="G12" s="105"/>
      <c r="H12" s="179" t="str">
        <f>IF(F12="",IF(G12="","","Rate Only"),F12*G12)</f>
        <v/>
      </c>
    </row>
    <row r="13" spans="2:9" s="2" customFormat="1" ht="18" customHeight="1" x14ac:dyDescent="0.2">
      <c r="B13" s="39" t="s">
        <v>47</v>
      </c>
      <c r="C13" s="39" t="s">
        <v>6</v>
      </c>
      <c r="D13" s="64" t="s">
        <v>167</v>
      </c>
      <c r="E13" s="39" t="s">
        <v>0</v>
      </c>
      <c r="F13" s="94">
        <v>1</v>
      </c>
      <c r="G13" s="105"/>
      <c r="H13" s="180"/>
    </row>
    <row r="14" spans="2:9" s="2" customFormat="1" ht="18" customHeight="1" x14ac:dyDescent="0.2">
      <c r="B14" s="39" t="s">
        <v>48</v>
      </c>
      <c r="C14" s="39" t="s">
        <v>6</v>
      </c>
      <c r="D14" s="64" t="s">
        <v>168</v>
      </c>
      <c r="E14" s="39" t="s">
        <v>0</v>
      </c>
      <c r="F14" s="94">
        <v>1</v>
      </c>
      <c r="G14" s="105"/>
      <c r="H14" s="180"/>
    </row>
    <row r="15" spans="2:9" s="2" customFormat="1" ht="15" customHeight="1" x14ac:dyDescent="0.2">
      <c r="B15" s="39"/>
      <c r="C15" s="39"/>
      <c r="D15" s="36"/>
      <c r="E15" s="92"/>
      <c r="F15" s="94"/>
      <c r="G15" s="105"/>
      <c r="H15" s="180"/>
    </row>
    <row r="16" spans="2:9" s="2" customFormat="1" ht="18" customHeight="1" x14ac:dyDescent="0.2">
      <c r="B16" s="93">
        <v>1.2</v>
      </c>
      <c r="C16" s="39"/>
      <c r="D16" s="65" t="s">
        <v>7</v>
      </c>
      <c r="E16" s="39"/>
      <c r="F16" s="94"/>
      <c r="G16" s="105"/>
      <c r="H16" s="180"/>
    </row>
    <row r="17" spans="2:10" s="2" customFormat="1" ht="18" customHeight="1" x14ac:dyDescent="0.2">
      <c r="B17" s="39" t="s">
        <v>8</v>
      </c>
      <c r="C17" s="39" t="s">
        <v>10</v>
      </c>
      <c r="D17" s="64" t="s">
        <v>157</v>
      </c>
      <c r="E17" s="39" t="s">
        <v>0</v>
      </c>
      <c r="F17" s="94">
        <v>1</v>
      </c>
      <c r="G17" s="105"/>
      <c r="H17" s="180"/>
    </row>
    <row r="18" spans="2:10" s="2" customFormat="1" ht="18" customHeight="1" x14ac:dyDescent="0.2">
      <c r="B18" s="39" t="s">
        <v>9</v>
      </c>
      <c r="C18" s="39" t="s">
        <v>11</v>
      </c>
      <c r="D18" s="36" t="s">
        <v>451</v>
      </c>
      <c r="E18" s="39" t="s">
        <v>0</v>
      </c>
      <c r="F18" s="94">
        <v>2</v>
      </c>
      <c r="G18" s="105"/>
      <c r="H18" s="179"/>
    </row>
    <row r="19" spans="2:10" s="2" customFormat="1" ht="18" customHeight="1" x14ac:dyDescent="0.2">
      <c r="B19" s="39" t="s">
        <v>17</v>
      </c>
      <c r="C19" s="39" t="s">
        <v>310</v>
      </c>
      <c r="D19" s="64" t="s">
        <v>169</v>
      </c>
      <c r="E19" s="39" t="s">
        <v>0</v>
      </c>
      <c r="F19" s="94">
        <v>1</v>
      </c>
      <c r="G19" s="105"/>
      <c r="H19" s="180"/>
    </row>
    <row r="20" spans="2:10" s="2" customFormat="1" ht="15" customHeight="1" x14ac:dyDescent="0.2">
      <c r="B20" s="39"/>
      <c r="C20" s="39"/>
      <c r="D20" s="64"/>
      <c r="E20" s="39"/>
      <c r="F20" s="94"/>
      <c r="G20" s="105"/>
      <c r="H20" s="179"/>
    </row>
    <row r="21" spans="2:10" s="2" customFormat="1" ht="18" customHeight="1" x14ac:dyDescent="0.2">
      <c r="B21" s="93">
        <v>1.3</v>
      </c>
      <c r="C21" s="39"/>
      <c r="D21" s="65" t="s">
        <v>43</v>
      </c>
      <c r="E21" s="39"/>
      <c r="F21" s="94"/>
      <c r="G21" s="105"/>
      <c r="H21" s="179"/>
    </row>
    <row r="22" spans="2:10" s="2" customFormat="1" ht="18" customHeight="1" x14ac:dyDescent="0.2">
      <c r="B22" s="39" t="s">
        <v>18</v>
      </c>
      <c r="C22" s="39" t="s">
        <v>28</v>
      </c>
      <c r="D22" s="36" t="s">
        <v>161</v>
      </c>
      <c r="E22" s="39" t="s">
        <v>0</v>
      </c>
      <c r="F22" s="94">
        <v>1</v>
      </c>
      <c r="G22" s="105"/>
      <c r="H22" s="180"/>
    </row>
    <row r="23" spans="2:10" s="2" customFormat="1" ht="18" customHeight="1" x14ac:dyDescent="0.2">
      <c r="B23" s="39" t="s">
        <v>19</v>
      </c>
      <c r="C23" s="39" t="s">
        <v>29</v>
      </c>
      <c r="D23" s="36" t="s">
        <v>12</v>
      </c>
      <c r="E23" s="39" t="s">
        <v>0</v>
      </c>
      <c r="F23" s="94">
        <v>1</v>
      </c>
      <c r="G23" s="105"/>
      <c r="H23" s="180"/>
    </row>
    <row r="24" spans="2:10" s="2" customFormat="1" ht="18" customHeight="1" x14ac:dyDescent="0.2">
      <c r="B24" s="39" t="s">
        <v>20</v>
      </c>
      <c r="C24" s="39" t="s">
        <v>30</v>
      </c>
      <c r="D24" s="36" t="s">
        <v>13</v>
      </c>
      <c r="E24" s="39" t="s">
        <v>0</v>
      </c>
      <c r="F24" s="94">
        <v>1</v>
      </c>
      <c r="G24" s="105"/>
      <c r="H24" s="180"/>
    </row>
    <row r="25" spans="2:10" s="2" customFormat="1" ht="18" customHeight="1" x14ac:dyDescent="0.2">
      <c r="B25" s="39" t="s">
        <v>21</v>
      </c>
      <c r="C25" s="39" t="s">
        <v>31</v>
      </c>
      <c r="D25" s="36" t="s">
        <v>162</v>
      </c>
      <c r="E25" s="39" t="s">
        <v>0</v>
      </c>
      <c r="F25" s="94">
        <v>1</v>
      </c>
      <c r="G25" s="105"/>
      <c r="H25" s="180"/>
    </row>
    <row r="26" spans="2:10" s="2" customFormat="1" ht="18" customHeight="1" x14ac:dyDescent="0.2">
      <c r="B26" s="39" t="s">
        <v>22</v>
      </c>
      <c r="C26" s="39" t="s">
        <v>32</v>
      </c>
      <c r="D26" s="36" t="s">
        <v>163</v>
      </c>
      <c r="E26" s="39" t="s">
        <v>0</v>
      </c>
      <c r="F26" s="94">
        <v>1</v>
      </c>
      <c r="G26" s="105"/>
      <c r="H26" s="180"/>
    </row>
    <row r="27" spans="2:10" s="2" customFormat="1" ht="18" customHeight="1" x14ac:dyDescent="0.2">
      <c r="B27" s="39" t="s">
        <v>23</v>
      </c>
      <c r="C27" s="39" t="s">
        <v>33</v>
      </c>
      <c r="D27" s="36" t="s">
        <v>164</v>
      </c>
      <c r="E27" s="39" t="s">
        <v>0</v>
      </c>
      <c r="F27" s="94">
        <v>1</v>
      </c>
      <c r="G27" s="105"/>
      <c r="H27" s="180"/>
    </row>
    <row r="28" spans="2:10" s="2" customFormat="1" ht="25.15" customHeight="1" x14ac:dyDescent="0.2">
      <c r="B28" s="39" t="s">
        <v>24</v>
      </c>
      <c r="C28" s="39" t="s">
        <v>34</v>
      </c>
      <c r="D28" s="36" t="s">
        <v>165</v>
      </c>
      <c r="E28" s="39" t="s">
        <v>0</v>
      </c>
      <c r="F28" s="94">
        <v>1</v>
      </c>
      <c r="G28" s="105"/>
      <c r="H28" s="180"/>
    </row>
    <row r="29" spans="2:10" ht="18" customHeight="1" x14ac:dyDescent="0.2">
      <c r="B29" s="39" t="s">
        <v>25</v>
      </c>
      <c r="C29" s="39" t="s">
        <v>35</v>
      </c>
      <c r="D29" s="36" t="s">
        <v>166</v>
      </c>
      <c r="E29" s="39" t="s">
        <v>0</v>
      </c>
      <c r="F29" s="94">
        <v>1</v>
      </c>
      <c r="G29" s="105"/>
      <c r="H29" s="180"/>
      <c r="J29" s="3"/>
    </row>
    <row r="30" spans="2:10" ht="18" customHeight="1" x14ac:dyDescent="0.2">
      <c r="B30" s="39" t="s">
        <v>26</v>
      </c>
      <c r="C30" s="39" t="s">
        <v>36</v>
      </c>
      <c r="D30" s="36" t="s">
        <v>15</v>
      </c>
      <c r="E30" s="39" t="s">
        <v>0</v>
      </c>
      <c r="F30" s="94">
        <v>1</v>
      </c>
      <c r="G30" s="105"/>
      <c r="H30" s="180"/>
      <c r="J30" s="3"/>
    </row>
    <row r="31" spans="2:10" ht="18" customHeight="1" x14ac:dyDescent="0.2">
      <c r="B31" s="39" t="s">
        <v>27</v>
      </c>
      <c r="C31" s="39" t="s">
        <v>37</v>
      </c>
      <c r="D31" s="36" t="s">
        <v>16</v>
      </c>
      <c r="E31" s="39" t="s">
        <v>0</v>
      </c>
      <c r="F31" s="94">
        <v>1</v>
      </c>
      <c r="G31" s="105"/>
      <c r="H31" s="180"/>
      <c r="J31" s="3"/>
    </row>
    <row r="32" spans="2:10" ht="18" customHeight="1" x14ac:dyDescent="0.2">
      <c r="B32" s="39" t="s">
        <v>135</v>
      </c>
      <c r="C32" s="39" t="s">
        <v>311</v>
      </c>
      <c r="D32" s="36" t="s">
        <v>176</v>
      </c>
      <c r="E32" s="39" t="s">
        <v>0</v>
      </c>
      <c r="F32" s="94">
        <v>1</v>
      </c>
      <c r="G32" s="105"/>
      <c r="H32" s="180"/>
      <c r="J32" s="3"/>
    </row>
    <row r="33" spans="2:10" ht="18" customHeight="1" x14ac:dyDescent="0.2">
      <c r="B33" s="39" t="s">
        <v>136</v>
      </c>
      <c r="C33" s="39" t="s">
        <v>312</v>
      </c>
      <c r="D33" s="36" t="s">
        <v>143</v>
      </c>
      <c r="E33" s="39" t="s">
        <v>0</v>
      </c>
      <c r="F33" s="94">
        <v>1</v>
      </c>
      <c r="G33" s="105"/>
      <c r="H33" s="180"/>
      <c r="J33" s="3"/>
    </row>
    <row r="34" spans="2:10" ht="18" customHeight="1" x14ac:dyDescent="0.2">
      <c r="B34" s="39" t="s">
        <v>235</v>
      </c>
      <c r="C34" s="39" t="s">
        <v>313</v>
      </c>
      <c r="D34" s="36" t="s">
        <v>192</v>
      </c>
      <c r="E34" s="39" t="s">
        <v>0</v>
      </c>
      <c r="F34" s="94">
        <v>1</v>
      </c>
      <c r="G34" s="105"/>
      <c r="H34" s="180"/>
      <c r="J34" s="3"/>
    </row>
    <row r="35" spans="2:10" ht="15" customHeight="1" x14ac:dyDescent="0.2">
      <c r="B35" s="39"/>
      <c r="C35" s="39"/>
      <c r="D35" s="36"/>
      <c r="E35" s="39"/>
      <c r="F35" s="94"/>
      <c r="G35" s="105"/>
      <c r="H35" s="179"/>
      <c r="J35" s="3"/>
    </row>
    <row r="36" spans="2:10" ht="18" customHeight="1" x14ac:dyDescent="0.2">
      <c r="B36" s="93">
        <v>1.4</v>
      </c>
      <c r="C36" s="39" t="s">
        <v>41</v>
      </c>
      <c r="D36" s="65" t="s">
        <v>38</v>
      </c>
      <c r="E36" s="39" t="s">
        <v>0</v>
      </c>
      <c r="F36" s="94">
        <v>1</v>
      </c>
      <c r="G36" s="105"/>
      <c r="H36" s="180"/>
    </row>
    <row r="37" spans="2:10" ht="15" customHeight="1" x14ac:dyDescent="0.2">
      <c r="B37" s="93"/>
      <c r="C37" s="39"/>
      <c r="D37" s="65"/>
      <c r="E37" s="39"/>
      <c r="F37" s="94"/>
      <c r="G37" s="105"/>
      <c r="H37" s="179"/>
    </row>
    <row r="38" spans="2:10" ht="18" customHeight="1" x14ac:dyDescent="0.2">
      <c r="B38" s="93">
        <v>1.5</v>
      </c>
      <c r="C38" s="39" t="s">
        <v>42</v>
      </c>
      <c r="D38" s="65" t="s">
        <v>40</v>
      </c>
      <c r="E38" s="39" t="s">
        <v>0</v>
      </c>
      <c r="F38" s="94">
        <v>1</v>
      </c>
      <c r="G38" s="105"/>
      <c r="H38" s="179"/>
    </row>
    <row r="39" spans="2:10" ht="15" customHeight="1" x14ac:dyDescent="0.2">
      <c r="B39" s="95"/>
      <c r="C39" s="95"/>
      <c r="D39" s="95"/>
      <c r="E39" s="39"/>
      <c r="F39" s="94"/>
      <c r="G39" s="105"/>
      <c r="H39" s="179"/>
    </row>
    <row r="40" spans="2:10" ht="18" customHeight="1" x14ac:dyDescent="0.2">
      <c r="B40" s="93">
        <v>1.6</v>
      </c>
      <c r="C40" s="39" t="s">
        <v>314</v>
      </c>
      <c r="D40" s="65" t="s">
        <v>190</v>
      </c>
      <c r="E40" s="39" t="s">
        <v>0</v>
      </c>
      <c r="F40" s="94">
        <v>1</v>
      </c>
      <c r="G40" s="105"/>
      <c r="H40" s="180"/>
    </row>
    <row r="41" spans="2:10" ht="18" customHeight="1" x14ac:dyDescent="0.2">
      <c r="B41" s="178"/>
      <c r="C41" s="178"/>
      <c r="D41" s="178"/>
      <c r="E41" s="178"/>
      <c r="F41" s="178"/>
      <c r="G41" s="181"/>
      <c r="H41" s="181"/>
    </row>
    <row r="42" spans="2:10" ht="20.100000000000001" customHeight="1" x14ac:dyDescent="0.2">
      <c r="B42" s="243" t="s">
        <v>137</v>
      </c>
      <c r="C42" s="244"/>
      <c r="D42" s="245"/>
      <c r="E42" s="245"/>
      <c r="F42" s="246"/>
      <c r="G42" s="247"/>
      <c r="H42" s="248">
        <f>SUM(H13:H40)</f>
        <v>0</v>
      </c>
    </row>
    <row r="43" spans="2:10" ht="17.100000000000001" customHeight="1" x14ac:dyDescent="0.2"/>
    <row r="44" spans="2:10" ht="17.100000000000001" customHeight="1" x14ac:dyDescent="0.2">
      <c r="B44" s="259" t="s">
        <v>564</v>
      </c>
      <c r="C44" s="259"/>
      <c r="D44" s="259"/>
      <c r="E44" s="259"/>
      <c r="F44" s="259"/>
      <c r="G44" s="259"/>
      <c r="H44" s="107"/>
    </row>
    <row r="45" spans="2:10" ht="17.100000000000001" customHeight="1" x14ac:dyDescent="0.2"/>
    <row r="60" ht="11.25" customHeight="1" x14ac:dyDescent="0.2"/>
  </sheetData>
  <sheetProtection algorithmName="SHA-512" hashValue="3+ox94Ci62aX4z4o12dUgM2kiYsX42FQ/lrObQkaPj3HkbmXnZ30dsnH1aqG6sjh4sKkBrqw8DOrMViOn68cIA==" saltValue="c9opxrzrqQM0dLi89gvgpA==" spinCount="100000" sheet="1" objects="1" scenarios="1" selectLockedCells="1"/>
  <mergeCells count="5">
    <mergeCell ref="B44:G44"/>
    <mergeCell ref="B2:H2"/>
    <mergeCell ref="B3:H3"/>
    <mergeCell ref="F4:H4"/>
    <mergeCell ref="B4:E4"/>
  </mergeCells>
  <phoneticPr fontId="3" type="noConversion"/>
  <pageMargins left="0.25" right="0.25" top="0.75" bottom="0.75" header="0.3" footer="0.3"/>
  <pageSetup paperSize="9" scale="97" orientation="portrait" r:id="rId1"/>
  <headerFooter alignWithMargins="0">
    <oddHeader>&amp;CBoQ &amp;P of &amp;[17]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B1:J44"/>
  <sheetViews>
    <sheetView view="pageBreakPreview" topLeftCell="A12" zoomScale="96" zoomScaleNormal="100" zoomScaleSheetLayoutView="96" workbookViewId="0">
      <selection activeCell="H37" sqref="H37:H38"/>
    </sheetView>
  </sheetViews>
  <sheetFormatPr defaultRowHeight="12.75" x14ac:dyDescent="0.2"/>
  <cols>
    <col min="1" max="1" width="1.7109375" customWidth="1"/>
    <col min="2" max="2" width="9.28515625" customWidth="1"/>
    <col min="3" max="3" width="8.7109375" customWidth="1"/>
    <col min="4" max="4" width="35.5703125" customWidth="1"/>
    <col min="5" max="6" width="8.7109375" customWidth="1"/>
    <col min="7" max="7" width="10.7109375" style="101" customWidth="1"/>
    <col min="8" max="8" width="12.7109375" style="101" customWidth="1"/>
    <col min="9" max="9" width="1.7109375" customWidth="1"/>
    <col min="11" max="11" width="10.140625" bestFit="1" customWidth="1"/>
  </cols>
  <sheetData>
    <row r="1" spans="2:9" ht="15" customHeight="1" x14ac:dyDescent="0.2">
      <c r="B1" s="72"/>
      <c r="C1" s="72"/>
      <c r="D1" s="72"/>
      <c r="E1" s="72"/>
      <c r="F1" s="72"/>
      <c r="G1" s="97"/>
      <c r="H1" s="98" t="str">
        <f>'Fixed P&amp;Gs'!H1</f>
        <v>ORB.NAIL.2021</v>
      </c>
      <c r="I1" s="74"/>
    </row>
    <row r="2" spans="2:9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80"/>
      <c r="G2" s="106"/>
      <c r="H2" s="106"/>
    </row>
    <row r="3" spans="2:9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80"/>
      <c r="G3" s="106"/>
      <c r="H3" s="106"/>
    </row>
    <row r="4" spans="2:9" ht="18" customHeight="1" x14ac:dyDescent="0.2">
      <c r="B4" s="260" t="str">
        <f>'Fixed P&amp;Gs'!B4</f>
        <v>NAILANA VILLAGE WATER SUPPLY</v>
      </c>
      <c r="C4" s="260"/>
      <c r="D4" s="260"/>
      <c r="E4" s="260"/>
      <c r="F4" s="262" t="s">
        <v>596</v>
      </c>
      <c r="G4" s="262"/>
      <c r="H4" s="262"/>
    </row>
    <row r="5" spans="2:9" ht="18" customHeight="1" x14ac:dyDescent="0.2">
      <c r="B5" s="41" t="s">
        <v>231</v>
      </c>
      <c r="C5" s="42"/>
      <c r="D5" s="43"/>
      <c r="E5" s="44"/>
      <c r="F5" s="44"/>
      <c r="G5" s="99"/>
      <c r="H5" s="114"/>
    </row>
    <row r="6" spans="2:9" ht="18" customHeight="1" x14ac:dyDescent="0.2">
      <c r="B6" s="46" t="s">
        <v>45</v>
      </c>
      <c r="C6" s="47"/>
      <c r="D6" s="48"/>
      <c r="E6" s="47"/>
      <c r="F6" s="49"/>
      <c r="G6" s="100"/>
      <c r="H6" s="115"/>
    </row>
    <row r="7" spans="2:9" ht="4.9000000000000004" customHeight="1" x14ac:dyDescent="0.2">
      <c r="B7" s="1"/>
      <c r="C7" s="1"/>
    </row>
    <row r="8" spans="2:9" ht="25.15" customHeight="1" x14ac:dyDescent="0.2">
      <c r="B8" s="51" t="s">
        <v>238</v>
      </c>
      <c r="C8" s="51" t="s">
        <v>237</v>
      </c>
      <c r="D8" s="52" t="s">
        <v>1</v>
      </c>
      <c r="E8" s="52" t="s">
        <v>2</v>
      </c>
      <c r="F8" s="52" t="s">
        <v>3</v>
      </c>
      <c r="G8" s="102" t="s">
        <v>4</v>
      </c>
      <c r="H8" s="102" t="s">
        <v>5</v>
      </c>
    </row>
    <row r="9" spans="2:9" ht="18" customHeight="1" x14ac:dyDescent="0.2">
      <c r="B9" s="88" t="s">
        <v>51</v>
      </c>
      <c r="C9" s="89"/>
      <c r="D9" s="90" t="s">
        <v>49</v>
      </c>
      <c r="E9" s="90"/>
      <c r="F9" s="90"/>
      <c r="G9" s="103"/>
      <c r="H9" s="103" t="str">
        <f>IF(F9="",IF(G9="","","Rate Only"),F9*G9)</f>
        <v/>
      </c>
    </row>
    <row r="10" spans="2:9" s="7" customFormat="1" ht="25.15" customHeight="1" x14ac:dyDescent="0.2">
      <c r="B10" s="91"/>
      <c r="C10" s="91"/>
      <c r="D10" s="70" t="s">
        <v>81</v>
      </c>
      <c r="E10" s="36"/>
      <c r="F10" s="36"/>
      <c r="G10" s="104"/>
      <c r="H10" s="104" t="str">
        <f>IF(F10="",IF(G10="","","Rate Only"),F10*G10)</f>
        <v/>
      </c>
    </row>
    <row r="11" spans="2:9" s="2" customFormat="1" ht="15" customHeight="1" x14ac:dyDescent="0.2">
      <c r="B11" s="39"/>
      <c r="C11" s="39"/>
      <c r="D11" s="68"/>
      <c r="E11" s="92"/>
      <c r="F11" s="92"/>
      <c r="G11" s="105"/>
      <c r="H11" s="179" t="str">
        <f>IF(F11="",IF(G11="","","Rate Only"),F11*G11)</f>
        <v/>
      </c>
    </row>
    <row r="12" spans="2:9" s="2" customFormat="1" ht="18" customHeight="1" x14ac:dyDescent="0.2">
      <c r="B12" s="93">
        <v>2.1</v>
      </c>
      <c r="C12" s="39"/>
      <c r="D12" s="68" t="s">
        <v>39</v>
      </c>
      <c r="E12" s="39"/>
      <c r="F12" s="94"/>
      <c r="G12" s="105"/>
      <c r="H12" s="179" t="str">
        <f>IF(F12="",IF(G12="","","Rate Only"),F12*G12)</f>
        <v/>
      </c>
    </row>
    <row r="13" spans="2:9" s="2" customFormat="1" ht="18" customHeight="1" x14ac:dyDescent="0.2">
      <c r="B13" s="39" t="s">
        <v>54</v>
      </c>
      <c r="C13" s="39" t="s">
        <v>53</v>
      </c>
      <c r="D13" s="64" t="s">
        <v>160</v>
      </c>
      <c r="E13" s="39" t="s">
        <v>138</v>
      </c>
      <c r="F13" s="94">
        <v>12</v>
      </c>
      <c r="G13" s="182"/>
      <c r="H13" s="179"/>
    </row>
    <row r="14" spans="2:9" s="2" customFormat="1" ht="15" customHeight="1" x14ac:dyDescent="0.2">
      <c r="B14" s="39"/>
      <c r="C14" s="39"/>
      <c r="D14" s="36"/>
      <c r="E14" s="92"/>
      <c r="F14" s="94"/>
      <c r="G14" s="182"/>
      <c r="H14" s="179"/>
    </row>
    <row r="15" spans="2:9" s="2" customFormat="1" ht="18" customHeight="1" x14ac:dyDescent="0.2">
      <c r="B15" s="93">
        <v>2.2000000000000002</v>
      </c>
      <c r="C15" s="39"/>
      <c r="D15" s="65" t="s">
        <v>7</v>
      </c>
      <c r="E15" s="39"/>
      <c r="F15" s="94"/>
      <c r="G15" s="182"/>
      <c r="H15" s="179"/>
    </row>
    <row r="16" spans="2:9" s="2" customFormat="1" ht="18" customHeight="1" x14ac:dyDescent="0.2">
      <c r="B16" s="39" t="s">
        <v>55</v>
      </c>
      <c r="C16" s="39" t="s">
        <v>144</v>
      </c>
      <c r="D16" s="64" t="s">
        <v>157</v>
      </c>
      <c r="E16" s="39" t="s">
        <v>138</v>
      </c>
      <c r="F16" s="94">
        <f>IF($F$13="","",IF(E16="","",$F$13))</f>
        <v>12</v>
      </c>
      <c r="G16" s="182"/>
      <c r="H16" s="179"/>
    </row>
    <row r="17" spans="2:10" s="2" customFormat="1" ht="18" customHeight="1" x14ac:dyDescent="0.2">
      <c r="B17" s="39" t="s">
        <v>56</v>
      </c>
      <c r="C17" s="39" t="s">
        <v>145</v>
      </c>
      <c r="D17" s="36" t="s">
        <v>158</v>
      </c>
      <c r="E17" s="39" t="s">
        <v>138</v>
      </c>
      <c r="F17" s="94">
        <f t="shared" ref="F17:F41" si="0">IF($F$13="","",IF(E17="","",$F$13))</f>
        <v>12</v>
      </c>
      <c r="G17" s="182"/>
      <c r="H17" s="179"/>
    </row>
    <row r="18" spans="2:10" s="2" customFormat="1" ht="18" customHeight="1" x14ac:dyDescent="0.2">
      <c r="B18" s="39" t="s">
        <v>57</v>
      </c>
      <c r="C18" s="39" t="s">
        <v>146</v>
      </c>
      <c r="D18" s="64" t="s">
        <v>159</v>
      </c>
      <c r="E18" s="39" t="s">
        <v>138</v>
      </c>
      <c r="F18" s="94">
        <f t="shared" si="0"/>
        <v>12</v>
      </c>
      <c r="G18" s="182"/>
      <c r="H18" s="179"/>
    </row>
    <row r="19" spans="2:10" s="2" customFormat="1" ht="15" customHeight="1" x14ac:dyDescent="0.2">
      <c r="B19" s="39"/>
      <c r="C19" s="39"/>
      <c r="D19" s="64"/>
      <c r="E19" s="39"/>
      <c r="F19" s="94" t="str">
        <f t="shared" si="0"/>
        <v/>
      </c>
      <c r="G19" s="183"/>
      <c r="H19" s="179"/>
    </row>
    <row r="20" spans="2:10" s="2" customFormat="1" ht="18" customHeight="1" x14ac:dyDescent="0.2">
      <c r="B20" s="93">
        <v>2.2999999999999998</v>
      </c>
      <c r="C20" s="39"/>
      <c r="D20" s="65" t="s">
        <v>43</v>
      </c>
      <c r="E20" s="39"/>
      <c r="F20" s="94" t="str">
        <f t="shared" si="0"/>
        <v/>
      </c>
      <c r="G20" s="182"/>
      <c r="H20" s="179"/>
    </row>
    <row r="21" spans="2:10" s="2" customFormat="1" ht="18" customHeight="1" x14ac:dyDescent="0.2">
      <c r="B21" s="39" t="s">
        <v>63</v>
      </c>
      <c r="C21" s="39" t="s">
        <v>147</v>
      </c>
      <c r="D21" s="36" t="s">
        <v>170</v>
      </c>
      <c r="E21" s="39" t="s">
        <v>138</v>
      </c>
      <c r="F21" s="94">
        <f t="shared" si="0"/>
        <v>12</v>
      </c>
      <c r="G21" s="184"/>
      <c r="H21" s="179"/>
    </row>
    <row r="22" spans="2:10" s="2" customFormat="1" ht="18" customHeight="1" x14ac:dyDescent="0.2">
      <c r="B22" s="39" t="s">
        <v>64</v>
      </c>
      <c r="C22" s="39" t="s">
        <v>148</v>
      </c>
      <c r="D22" s="36" t="s">
        <v>139</v>
      </c>
      <c r="E22" s="39" t="s">
        <v>138</v>
      </c>
      <c r="F22" s="94">
        <f t="shared" si="0"/>
        <v>12</v>
      </c>
      <c r="G22" s="184"/>
      <c r="H22" s="179"/>
    </row>
    <row r="23" spans="2:10" s="2" customFormat="1" ht="18" customHeight="1" x14ac:dyDescent="0.2">
      <c r="B23" s="39" t="s">
        <v>65</v>
      </c>
      <c r="C23" s="39" t="s">
        <v>149</v>
      </c>
      <c r="D23" s="36" t="s">
        <v>140</v>
      </c>
      <c r="E23" s="39" t="s">
        <v>138</v>
      </c>
      <c r="F23" s="94">
        <f t="shared" si="0"/>
        <v>12</v>
      </c>
      <c r="G23" s="182"/>
      <c r="H23" s="179"/>
    </row>
    <row r="24" spans="2:10" s="2" customFormat="1" ht="18" customHeight="1" x14ac:dyDescent="0.2">
      <c r="B24" s="39" t="s">
        <v>66</v>
      </c>
      <c r="C24" s="39" t="s">
        <v>150</v>
      </c>
      <c r="D24" s="36" t="s">
        <v>171</v>
      </c>
      <c r="E24" s="39" t="s">
        <v>138</v>
      </c>
      <c r="F24" s="94">
        <f t="shared" si="0"/>
        <v>12</v>
      </c>
      <c r="G24" s="184"/>
      <c r="H24" s="179"/>
    </row>
    <row r="25" spans="2:10" s="2" customFormat="1" ht="18" customHeight="1" x14ac:dyDescent="0.2">
      <c r="B25" s="39" t="s">
        <v>67</v>
      </c>
      <c r="C25" s="39" t="s">
        <v>151</v>
      </c>
      <c r="D25" s="36" t="s">
        <v>172</v>
      </c>
      <c r="E25" s="39" t="s">
        <v>138</v>
      </c>
      <c r="F25" s="94">
        <f t="shared" si="0"/>
        <v>12</v>
      </c>
      <c r="G25" s="184"/>
      <c r="H25" s="179"/>
    </row>
    <row r="26" spans="2:10" s="2" customFormat="1" ht="18" customHeight="1" x14ac:dyDescent="0.2">
      <c r="B26" s="39" t="s">
        <v>68</v>
      </c>
      <c r="C26" s="39" t="s">
        <v>152</v>
      </c>
      <c r="D26" s="36" t="s">
        <v>173</v>
      </c>
      <c r="E26" s="39" t="s">
        <v>138</v>
      </c>
      <c r="F26" s="94">
        <f t="shared" si="0"/>
        <v>12</v>
      </c>
      <c r="G26" s="184"/>
      <c r="H26" s="179"/>
    </row>
    <row r="27" spans="2:10" s="2" customFormat="1" ht="25.15" customHeight="1" x14ac:dyDescent="0.2">
      <c r="B27" s="39" t="s">
        <v>69</v>
      </c>
      <c r="C27" s="39" t="s">
        <v>153</v>
      </c>
      <c r="D27" s="36" t="s">
        <v>174</v>
      </c>
      <c r="E27" s="39" t="s">
        <v>138</v>
      </c>
      <c r="F27" s="94">
        <f t="shared" si="0"/>
        <v>12</v>
      </c>
      <c r="G27" s="182"/>
      <c r="H27" s="179"/>
    </row>
    <row r="28" spans="2:10" ht="18" customHeight="1" x14ac:dyDescent="0.2">
      <c r="B28" s="39" t="s">
        <v>70</v>
      </c>
      <c r="C28" s="39" t="s">
        <v>154</v>
      </c>
      <c r="D28" s="36" t="s">
        <v>175</v>
      </c>
      <c r="E28" s="39" t="s">
        <v>138</v>
      </c>
      <c r="F28" s="94">
        <f t="shared" si="0"/>
        <v>12</v>
      </c>
      <c r="G28" s="184"/>
      <c r="H28" s="179"/>
      <c r="J28" s="3"/>
    </row>
    <row r="29" spans="2:10" ht="18" customHeight="1" x14ac:dyDescent="0.2">
      <c r="B29" s="39" t="s">
        <v>71</v>
      </c>
      <c r="C29" s="39" t="s">
        <v>155</v>
      </c>
      <c r="D29" s="36" t="s">
        <v>141</v>
      </c>
      <c r="E29" s="39" t="s">
        <v>138</v>
      </c>
      <c r="F29" s="94">
        <f t="shared" si="0"/>
        <v>12</v>
      </c>
      <c r="G29" s="182"/>
      <c r="H29" s="179"/>
      <c r="J29" s="3"/>
    </row>
    <row r="30" spans="2:10" ht="18" customHeight="1" x14ac:dyDescent="0.2">
      <c r="B30" s="39" t="s">
        <v>72</v>
      </c>
      <c r="C30" s="39" t="s">
        <v>156</v>
      </c>
      <c r="D30" s="36" t="s">
        <v>142</v>
      </c>
      <c r="E30" s="39" t="s">
        <v>138</v>
      </c>
      <c r="F30" s="94">
        <f t="shared" si="0"/>
        <v>12</v>
      </c>
      <c r="G30" s="184"/>
      <c r="H30" s="179"/>
      <c r="J30" s="3"/>
    </row>
    <row r="31" spans="2:10" ht="15" customHeight="1" x14ac:dyDescent="0.2">
      <c r="B31" s="39"/>
      <c r="C31" s="39"/>
      <c r="D31" s="36"/>
      <c r="E31" s="39"/>
      <c r="F31" s="94" t="str">
        <f t="shared" si="0"/>
        <v/>
      </c>
      <c r="G31" s="185"/>
      <c r="H31" s="179"/>
      <c r="J31" s="3"/>
    </row>
    <row r="32" spans="2:10" ht="22.5" customHeight="1" x14ac:dyDescent="0.2">
      <c r="B32" s="93">
        <v>2.4</v>
      </c>
      <c r="C32" s="39" t="s">
        <v>61</v>
      </c>
      <c r="D32" s="68" t="s">
        <v>59</v>
      </c>
      <c r="E32" s="39" t="s">
        <v>138</v>
      </c>
      <c r="F32" s="94">
        <f t="shared" si="0"/>
        <v>12</v>
      </c>
      <c r="G32" s="186"/>
      <c r="H32" s="179"/>
      <c r="J32" s="3"/>
    </row>
    <row r="33" spans="2:10" ht="15" customHeight="1" x14ac:dyDescent="0.2">
      <c r="B33" s="39"/>
      <c r="C33" s="39"/>
      <c r="D33" s="68"/>
      <c r="E33" s="39"/>
      <c r="F33" s="94" t="str">
        <f t="shared" si="0"/>
        <v/>
      </c>
      <c r="G33" s="186"/>
      <c r="H33" s="179"/>
      <c r="J33" s="3"/>
    </row>
    <row r="34" spans="2:10" ht="26.25" customHeight="1" x14ac:dyDescent="0.2">
      <c r="B34" s="93">
        <v>2.5</v>
      </c>
      <c r="C34" s="39" t="s">
        <v>62</v>
      </c>
      <c r="D34" s="68" t="s">
        <v>58</v>
      </c>
      <c r="E34" s="39" t="s">
        <v>138</v>
      </c>
      <c r="F34" s="94">
        <f t="shared" si="0"/>
        <v>12</v>
      </c>
      <c r="G34" s="186"/>
      <c r="H34" s="179"/>
      <c r="J34" s="3"/>
    </row>
    <row r="35" spans="2:10" ht="15" customHeight="1" x14ac:dyDescent="0.2">
      <c r="B35" s="39"/>
      <c r="C35" s="39"/>
      <c r="D35" s="36"/>
      <c r="E35" s="39"/>
      <c r="F35" s="94" t="str">
        <f t="shared" si="0"/>
        <v/>
      </c>
      <c r="G35" s="185"/>
      <c r="H35" s="179"/>
      <c r="J35" s="3"/>
    </row>
    <row r="36" spans="2:10" ht="18" customHeight="1" x14ac:dyDescent="0.2">
      <c r="B36" s="93">
        <v>2.6</v>
      </c>
      <c r="C36" s="39" t="s">
        <v>60</v>
      </c>
      <c r="D36" s="65" t="s">
        <v>73</v>
      </c>
      <c r="E36" s="39" t="s">
        <v>138</v>
      </c>
      <c r="F36" s="94">
        <f t="shared" si="0"/>
        <v>12</v>
      </c>
      <c r="G36" s="186"/>
      <c r="H36" s="179"/>
    </row>
    <row r="37" spans="2:10" ht="15" customHeight="1" x14ac:dyDescent="0.2">
      <c r="B37" s="95"/>
      <c r="C37" s="39"/>
      <c r="D37" s="92"/>
      <c r="E37" s="95"/>
      <c r="F37" s="187" t="str">
        <f t="shared" si="0"/>
        <v/>
      </c>
      <c r="G37" s="185"/>
      <c r="H37" s="179"/>
    </row>
    <row r="38" spans="2:10" ht="18" customHeight="1" x14ac:dyDescent="0.2">
      <c r="B38" s="93">
        <v>2.7</v>
      </c>
      <c r="C38" s="39" t="s">
        <v>309</v>
      </c>
      <c r="D38" s="65" t="s">
        <v>190</v>
      </c>
      <c r="E38" s="39" t="s">
        <v>138</v>
      </c>
      <c r="F38" s="94">
        <f t="shared" si="0"/>
        <v>12</v>
      </c>
      <c r="G38" s="185"/>
      <c r="H38" s="179"/>
    </row>
    <row r="39" spans="2:10" ht="15" customHeight="1" x14ac:dyDescent="0.2">
      <c r="B39" s="93"/>
      <c r="C39" s="188"/>
      <c r="D39" s="189"/>
      <c r="E39" s="39"/>
      <c r="F39" s="94" t="str">
        <f t="shared" si="0"/>
        <v/>
      </c>
      <c r="G39" s="185"/>
      <c r="H39" s="179"/>
    </row>
    <row r="40" spans="2:10" ht="18" customHeight="1" x14ac:dyDescent="0.2">
      <c r="B40" s="93">
        <v>2.8</v>
      </c>
      <c r="C40" s="39" t="s">
        <v>308</v>
      </c>
      <c r="D40" s="65" t="s">
        <v>307</v>
      </c>
      <c r="E40" s="39" t="s">
        <v>138</v>
      </c>
      <c r="F40" s="94">
        <f t="shared" si="0"/>
        <v>12</v>
      </c>
      <c r="G40" s="185"/>
      <c r="H40" s="179"/>
    </row>
    <row r="41" spans="2:10" ht="18" customHeight="1" x14ac:dyDescent="0.2">
      <c r="B41" s="178"/>
      <c r="C41" s="178"/>
      <c r="D41" s="178"/>
      <c r="E41" s="178"/>
      <c r="F41" s="178" t="str">
        <f t="shared" si="0"/>
        <v/>
      </c>
      <c r="G41" s="181"/>
      <c r="H41" s="181"/>
    </row>
    <row r="42" spans="2:10" ht="20.100000000000001" customHeight="1" x14ac:dyDescent="0.2">
      <c r="B42" s="263" t="s">
        <v>74</v>
      </c>
      <c r="C42" s="264"/>
      <c r="D42" s="264"/>
      <c r="E42" s="264"/>
      <c r="F42" s="265"/>
      <c r="G42" s="247"/>
      <c r="H42" s="248">
        <f>SUM(H13:H40)</f>
        <v>0</v>
      </c>
    </row>
    <row r="43" spans="2:10" ht="17.100000000000001" customHeight="1" x14ac:dyDescent="0.2"/>
    <row r="44" spans="2:10" ht="17.100000000000001" customHeight="1" x14ac:dyDescent="0.2">
      <c r="B44" s="259" t="str">
        <f>'Fixed P&amp;Gs'!$B$44:$G$44</f>
        <v xml:space="preserve">NAILANA WS BoQ </v>
      </c>
      <c r="C44" s="259"/>
      <c r="D44" s="259"/>
      <c r="E44" s="259"/>
      <c r="F44" s="259"/>
      <c r="G44" s="259"/>
      <c r="H44" s="107"/>
    </row>
  </sheetData>
  <sheetProtection algorithmName="SHA-512" hashValue="UmPksNye2PnrURbuRYoWK2jbr1ux7REZP14z3FJbLtdYkx2hldo+KLySxXBo2d8zWgxt9koifUYhUntZ3w3r1Q==" saltValue="DaloVRg2tH/m43BUw8/u5w==" spinCount="100000" sheet="1" objects="1" scenarios="1" selectLockedCells="1"/>
  <mergeCells count="6">
    <mergeCell ref="F4:H4"/>
    <mergeCell ref="B4:E4"/>
    <mergeCell ref="B44:G44"/>
    <mergeCell ref="B2:E2"/>
    <mergeCell ref="B3:E3"/>
    <mergeCell ref="B42:F42"/>
  </mergeCells>
  <phoneticPr fontId="3" type="noConversion"/>
  <pageMargins left="0.25" right="0.25" top="0.75" bottom="0.75" header="0.3" footer="0.3"/>
  <pageSetup paperSize="9" scale="96" orientation="portrait" r:id="rId1"/>
  <headerFooter alignWithMargins="0">
    <oddHeader>&amp;CBoQ &amp;[2] of &amp;[17]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J42"/>
  <sheetViews>
    <sheetView view="pageLayout" topLeftCell="A14" zoomScaleNormal="100" zoomScaleSheetLayoutView="96" workbookViewId="0">
      <selection activeCell="H36" sqref="H36"/>
    </sheetView>
  </sheetViews>
  <sheetFormatPr defaultRowHeight="12.75" x14ac:dyDescent="0.2"/>
  <cols>
    <col min="1" max="1" width="1.7109375" customWidth="1"/>
    <col min="2" max="2" width="9.42578125" customWidth="1"/>
    <col min="3" max="3" width="8.7109375" customWidth="1"/>
    <col min="4" max="4" width="35.5703125" customWidth="1"/>
    <col min="5" max="6" width="8.7109375" customWidth="1"/>
    <col min="7" max="7" width="10.7109375" style="128" customWidth="1"/>
    <col min="8" max="8" width="12.7109375" style="101" customWidth="1"/>
    <col min="9" max="9" width="1.7109375" customWidth="1"/>
    <col min="11" max="11" width="10.140625" bestFit="1" customWidth="1"/>
  </cols>
  <sheetData>
    <row r="1" spans="2:9" ht="15" customHeight="1" x14ac:dyDescent="0.2">
      <c r="B1" s="72"/>
      <c r="C1" s="72"/>
      <c r="D1" s="72"/>
      <c r="E1" s="72"/>
      <c r="F1" s="72"/>
      <c r="G1" s="72"/>
      <c r="H1" s="98" t="str">
        <f>'Fixed P&amp;Gs'!H1</f>
        <v>ORB.NAIL.2021</v>
      </c>
      <c r="I1" s="74"/>
    </row>
    <row r="2" spans="2:9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80"/>
      <c r="G2" s="80"/>
      <c r="H2" s="106"/>
    </row>
    <row r="3" spans="2:9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80"/>
      <c r="G3" s="80"/>
      <c r="H3" s="106"/>
    </row>
    <row r="4" spans="2:9" ht="18" customHeight="1" x14ac:dyDescent="0.2">
      <c r="B4" s="260" t="str">
        <f>'Fixed P&amp;Gs'!B4</f>
        <v>NAILANA VILLAGE WATER SUPPLY</v>
      </c>
      <c r="C4" s="260"/>
      <c r="D4" s="260"/>
      <c r="E4" s="260"/>
      <c r="F4" s="262" t="str">
        <f>'Fixed P&amp;Gs'!F4:H4</f>
        <v>CONTRACT No:INF-W06/2022/2023</v>
      </c>
      <c r="G4" s="262"/>
      <c r="H4" s="262"/>
    </row>
    <row r="5" spans="2:9" ht="18" customHeight="1" x14ac:dyDescent="0.2">
      <c r="B5" s="41" t="s">
        <v>231</v>
      </c>
      <c r="C5" s="42"/>
      <c r="D5" s="43"/>
      <c r="E5" s="44"/>
      <c r="F5" s="44"/>
      <c r="G5" s="126"/>
      <c r="H5" s="112"/>
    </row>
    <row r="6" spans="2:9" ht="18" customHeight="1" x14ac:dyDescent="0.2">
      <c r="B6" s="46" t="s">
        <v>207</v>
      </c>
      <c r="C6" s="47"/>
      <c r="D6" s="48"/>
      <c r="E6" s="47"/>
      <c r="F6" s="49"/>
      <c r="G6" s="127"/>
      <c r="H6" s="100"/>
    </row>
    <row r="7" spans="2:9" ht="4.9000000000000004" customHeight="1" x14ac:dyDescent="0.2">
      <c r="B7" s="1"/>
      <c r="C7" s="1"/>
    </row>
    <row r="8" spans="2:9" ht="25.15" customHeight="1" x14ac:dyDescent="0.2">
      <c r="B8" s="51" t="s">
        <v>238</v>
      </c>
      <c r="C8" s="51" t="s">
        <v>237</v>
      </c>
      <c r="D8" s="52" t="s">
        <v>1</v>
      </c>
      <c r="E8" s="52" t="s">
        <v>2</v>
      </c>
      <c r="F8" s="52" t="s">
        <v>3</v>
      </c>
      <c r="G8" s="52" t="s">
        <v>4</v>
      </c>
      <c r="H8" s="102" t="s">
        <v>5</v>
      </c>
    </row>
    <row r="9" spans="2:9" ht="18" customHeight="1" x14ac:dyDescent="0.2">
      <c r="B9" s="6" t="s">
        <v>75</v>
      </c>
      <c r="C9" s="4"/>
      <c r="D9" s="18" t="s">
        <v>397</v>
      </c>
      <c r="E9" s="18"/>
      <c r="F9" s="18"/>
      <c r="G9" s="83"/>
      <c r="H9" s="103"/>
    </row>
    <row r="10" spans="2:9" s="7" customFormat="1" ht="25.15" customHeight="1" x14ac:dyDescent="0.2">
      <c r="B10" s="19"/>
      <c r="C10" s="19"/>
      <c r="D10" s="9" t="s">
        <v>14</v>
      </c>
      <c r="E10" s="8"/>
      <c r="F10" s="8"/>
      <c r="G10" s="84"/>
      <c r="H10" s="104"/>
    </row>
    <row r="11" spans="2:9" s="2" customFormat="1" ht="18" customHeight="1" x14ac:dyDescent="0.2">
      <c r="B11" s="10"/>
      <c r="C11" s="10"/>
      <c r="D11" s="17"/>
      <c r="E11" s="12"/>
      <c r="F11" s="12"/>
      <c r="G11" s="85"/>
      <c r="H11" s="105"/>
    </row>
    <row r="12" spans="2:9" s="2" customFormat="1" ht="18" customHeight="1" x14ac:dyDescent="0.2">
      <c r="B12" s="15">
        <v>3.1</v>
      </c>
      <c r="C12" s="10" t="s">
        <v>240</v>
      </c>
      <c r="D12" s="17" t="s">
        <v>191</v>
      </c>
      <c r="E12" s="10"/>
      <c r="F12" s="11"/>
      <c r="G12" s="85"/>
      <c r="H12" s="190"/>
    </row>
    <row r="13" spans="2:9" s="2" customFormat="1" ht="18" customHeight="1" x14ac:dyDescent="0.2">
      <c r="B13" s="10" t="s">
        <v>178</v>
      </c>
      <c r="C13" s="10" t="s">
        <v>315</v>
      </c>
      <c r="D13" s="34" t="s">
        <v>177</v>
      </c>
      <c r="E13" s="10" t="s">
        <v>181</v>
      </c>
      <c r="F13" s="11">
        <f>'Time Related'!F13</f>
        <v>12</v>
      </c>
      <c r="G13" s="105">
        <v>7000</v>
      </c>
      <c r="H13" s="191">
        <f>IF(G13="",IF(F13="","","Rate Only"),F13*G13)</f>
        <v>84000</v>
      </c>
    </row>
    <row r="14" spans="2:9" s="2" customFormat="1" ht="18" customHeight="1" x14ac:dyDescent="0.2">
      <c r="B14" s="10" t="s">
        <v>179</v>
      </c>
      <c r="C14" s="10" t="s">
        <v>316</v>
      </c>
      <c r="D14" s="14" t="s">
        <v>183</v>
      </c>
      <c r="E14" s="10" t="s">
        <v>182</v>
      </c>
      <c r="F14" s="20">
        <f>H13</f>
        <v>84000</v>
      </c>
      <c r="G14" s="192"/>
      <c r="H14" s="179"/>
    </row>
    <row r="15" spans="2:9" s="2" customFormat="1" ht="18" customHeight="1" x14ac:dyDescent="0.2">
      <c r="B15" s="10"/>
      <c r="C15" s="10"/>
      <c r="D15" s="14"/>
      <c r="E15" s="10"/>
      <c r="F15" s="11"/>
      <c r="G15" s="193"/>
      <c r="H15" s="179"/>
    </row>
    <row r="16" spans="2:9" s="2" customFormat="1" ht="18" customHeight="1" x14ac:dyDescent="0.2">
      <c r="B16" s="15">
        <v>3.2</v>
      </c>
      <c r="C16" s="10" t="s">
        <v>240</v>
      </c>
      <c r="D16" s="17" t="s">
        <v>184</v>
      </c>
      <c r="E16" s="10"/>
      <c r="F16" s="11"/>
      <c r="G16" s="193"/>
      <c r="H16" s="179"/>
    </row>
    <row r="17" spans="2:10" s="2" customFormat="1" ht="18" customHeight="1" x14ac:dyDescent="0.2">
      <c r="B17" s="10" t="s">
        <v>186</v>
      </c>
      <c r="C17" s="10" t="s">
        <v>317</v>
      </c>
      <c r="D17" s="34" t="s">
        <v>185</v>
      </c>
      <c r="E17" s="10" t="s">
        <v>181</v>
      </c>
      <c r="F17" s="11">
        <v>1</v>
      </c>
      <c r="G17" s="194">
        <f>400*5*6*2</f>
        <v>24000</v>
      </c>
      <c r="H17" s="191">
        <f>IF(G17="",IF(F17="","","Rate Only"),F17*G17)</f>
        <v>24000</v>
      </c>
    </row>
    <row r="18" spans="2:10" s="2" customFormat="1" ht="18" customHeight="1" x14ac:dyDescent="0.2">
      <c r="B18" s="10" t="s">
        <v>288</v>
      </c>
      <c r="C18" s="10" t="s">
        <v>318</v>
      </c>
      <c r="D18" s="14" t="s">
        <v>234</v>
      </c>
      <c r="E18" s="10" t="s">
        <v>182</v>
      </c>
      <c r="F18" s="13">
        <f>H17</f>
        <v>24000</v>
      </c>
      <c r="G18" s="195"/>
      <c r="H18" s="179"/>
    </row>
    <row r="19" spans="2:10" s="2" customFormat="1" ht="18" customHeight="1" x14ac:dyDescent="0.2">
      <c r="B19" s="10"/>
      <c r="C19" s="10"/>
      <c r="D19" s="8"/>
      <c r="E19" s="10"/>
      <c r="F19" s="13"/>
      <c r="G19" s="193"/>
      <c r="H19" s="179"/>
    </row>
    <row r="20" spans="2:10" s="2" customFormat="1" ht="18" customHeight="1" x14ac:dyDescent="0.2">
      <c r="B20" s="15">
        <v>3.3</v>
      </c>
      <c r="C20" s="10" t="s">
        <v>240</v>
      </c>
      <c r="D20" s="17" t="s">
        <v>398</v>
      </c>
      <c r="E20" s="10"/>
      <c r="F20" s="13"/>
      <c r="G20" s="193"/>
      <c r="H20" s="179"/>
    </row>
    <row r="21" spans="2:10" s="2" customFormat="1" ht="25.15" customHeight="1" x14ac:dyDescent="0.2">
      <c r="B21" s="10" t="s">
        <v>187</v>
      </c>
      <c r="C21" s="10" t="s">
        <v>319</v>
      </c>
      <c r="D21" s="34" t="s">
        <v>330</v>
      </c>
      <c r="E21" s="10" t="s">
        <v>181</v>
      </c>
      <c r="F21" s="11">
        <v>1</v>
      </c>
      <c r="G21" s="105">
        <v>120000</v>
      </c>
      <c r="H21" s="191">
        <f>IF(G21="",IF(F21="","","Rate Only"),F21*G21)</f>
        <v>120000</v>
      </c>
    </row>
    <row r="22" spans="2:10" s="2" customFormat="1" ht="18" customHeight="1" x14ac:dyDescent="0.2">
      <c r="B22" s="10" t="s">
        <v>188</v>
      </c>
      <c r="C22" s="10" t="s">
        <v>320</v>
      </c>
      <c r="D22" s="14" t="s">
        <v>189</v>
      </c>
      <c r="E22" s="10" t="s">
        <v>182</v>
      </c>
      <c r="F22" s="13">
        <f>H21</f>
        <v>120000</v>
      </c>
      <c r="G22" s="195"/>
      <c r="H22" s="179"/>
    </row>
    <row r="23" spans="2:10" s="2" customFormat="1" ht="18" customHeight="1" x14ac:dyDescent="0.2">
      <c r="B23" s="10"/>
      <c r="C23" s="10"/>
      <c r="D23" s="8"/>
      <c r="E23" s="10"/>
      <c r="F23" s="13"/>
      <c r="G23" s="193"/>
      <c r="H23" s="179"/>
    </row>
    <row r="24" spans="2:10" ht="18" customHeight="1" x14ac:dyDescent="0.2">
      <c r="B24" s="15">
        <v>3.4</v>
      </c>
      <c r="C24" s="10" t="s">
        <v>240</v>
      </c>
      <c r="D24" s="17" t="s">
        <v>193</v>
      </c>
      <c r="E24" s="10"/>
      <c r="F24" s="11"/>
      <c r="G24" s="193"/>
      <c r="H24" s="196"/>
      <c r="I24" s="1"/>
      <c r="J24" s="3"/>
    </row>
    <row r="25" spans="2:10" ht="25.15" customHeight="1" x14ac:dyDescent="0.2">
      <c r="B25" s="10" t="s">
        <v>195</v>
      </c>
      <c r="C25" s="10" t="s">
        <v>321</v>
      </c>
      <c r="D25" s="34" t="s">
        <v>331</v>
      </c>
      <c r="E25" s="10" t="s">
        <v>181</v>
      </c>
      <c r="F25" s="11">
        <v>1</v>
      </c>
      <c r="G25" s="105">
        <v>15000</v>
      </c>
      <c r="H25" s="191">
        <f>IF(G25="",IF(F25="","","Rate Only"),F25*G25)</f>
        <v>15000</v>
      </c>
      <c r="J25" s="3"/>
    </row>
    <row r="26" spans="2:10" ht="18" customHeight="1" x14ac:dyDescent="0.2">
      <c r="B26" s="10" t="s">
        <v>196</v>
      </c>
      <c r="C26" s="10" t="s">
        <v>322</v>
      </c>
      <c r="D26" s="14" t="s">
        <v>203</v>
      </c>
      <c r="E26" s="10" t="s">
        <v>182</v>
      </c>
      <c r="F26" s="13">
        <f>H25</f>
        <v>15000</v>
      </c>
      <c r="G26" s="195"/>
      <c r="H26" s="179"/>
      <c r="J26" s="3"/>
    </row>
    <row r="27" spans="2:10" ht="18" customHeight="1" x14ac:dyDescent="0.2">
      <c r="B27" s="15"/>
      <c r="C27" s="10"/>
      <c r="D27" s="17"/>
      <c r="E27" s="10"/>
      <c r="F27" s="11"/>
      <c r="G27" s="193"/>
      <c r="H27" s="196"/>
      <c r="J27" s="3"/>
    </row>
    <row r="28" spans="2:10" ht="18" customHeight="1" x14ac:dyDescent="0.2">
      <c r="B28" s="15">
        <v>3.5</v>
      </c>
      <c r="C28" s="10" t="s">
        <v>240</v>
      </c>
      <c r="D28" s="17" t="s">
        <v>518</v>
      </c>
      <c r="E28" s="10"/>
      <c r="F28" s="11"/>
      <c r="G28" s="193"/>
      <c r="H28" s="196"/>
      <c r="J28" s="3"/>
    </row>
    <row r="29" spans="2:10" ht="18" customHeight="1" x14ac:dyDescent="0.2">
      <c r="B29" s="10" t="s">
        <v>197</v>
      </c>
      <c r="C29" s="10" t="s">
        <v>323</v>
      </c>
      <c r="D29" s="34" t="s">
        <v>519</v>
      </c>
      <c r="E29" s="10" t="s">
        <v>181</v>
      </c>
      <c r="F29" s="11">
        <v>1</v>
      </c>
      <c r="G29" s="105">
        <v>25000</v>
      </c>
      <c r="H29" s="191">
        <f>IF(G29="",IF(F29="","","Rate Only"),F29*G29)</f>
        <v>25000</v>
      </c>
    </row>
    <row r="30" spans="2:10" ht="18" customHeight="1" x14ac:dyDescent="0.2">
      <c r="B30" s="10" t="s">
        <v>198</v>
      </c>
      <c r="C30" s="10" t="s">
        <v>324</v>
      </c>
      <c r="D30" s="14" t="s">
        <v>204</v>
      </c>
      <c r="E30" s="10" t="s">
        <v>182</v>
      </c>
      <c r="F30" s="13">
        <f>H29</f>
        <v>25000</v>
      </c>
      <c r="G30" s="195"/>
      <c r="H30" s="179"/>
    </row>
    <row r="31" spans="2:10" ht="18" customHeight="1" x14ac:dyDescent="0.2">
      <c r="B31" s="15"/>
      <c r="C31" s="10"/>
      <c r="D31" s="16"/>
      <c r="E31" s="10"/>
      <c r="F31" s="11"/>
      <c r="G31" s="193"/>
      <c r="H31" s="105" t="str">
        <f>IF(G31="","",G31*F31)</f>
        <v/>
      </c>
    </row>
    <row r="32" spans="2:10" ht="18" customHeight="1" x14ac:dyDescent="0.2">
      <c r="B32" s="15">
        <v>3.6</v>
      </c>
      <c r="C32" s="10" t="s">
        <v>240</v>
      </c>
      <c r="D32" s="17" t="s">
        <v>194</v>
      </c>
      <c r="E32" s="10"/>
      <c r="F32" s="11"/>
      <c r="G32" s="193"/>
      <c r="H32" s="105"/>
    </row>
    <row r="33" spans="2:8" ht="25.15" customHeight="1" x14ac:dyDescent="0.2">
      <c r="B33" s="10" t="s">
        <v>199</v>
      </c>
      <c r="C33" s="10" t="s">
        <v>325</v>
      </c>
      <c r="D33" s="34" t="s">
        <v>344</v>
      </c>
      <c r="E33" s="10" t="s">
        <v>181</v>
      </c>
      <c r="F33" s="11">
        <v>1</v>
      </c>
      <c r="G33" s="105">
        <f>15000*6</f>
        <v>90000</v>
      </c>
      <c r="H33" s="191">
        <f>IF(G33="",IF(F33="","","Rate Only"),F33*G33)</f>
        <v>90000</v>
      </c>
    </row>
    <row r="34" spans="2:8" ht="18" customHeight="1" x14ac:dyDescent="0.2">
      <c r="B34" s="10" t="s">
        <v>200</v>
      </c>
      <c r="C34" s="10" t="s">
        <v>326</v>
      </c>
      <c r="D34" s="14" t="s">
        <v>205</v>
      </c>
      <c r="E34" s="10" t="s">
        <v>182</v>
      </c>
      <c r="F34" s="13">
        <f>H33</f>
        <v>90000</v>
      </c>
      <c r="G34" s="195"/>
      <c r="H34" s="179"/>
    </row>
    <row r="35" spans="2:8" ht="15" customHeight="1" x14ac:dyDescent="0.2">
      <c r="B35" s="22"/>
      <c r="C35" s="22"/>
      <c r="D35" s="14"/>
      <c r="E35" s="10"/>
      <c r="F35" s="22"/>
      <c r="G35" s="193"/>
      <c r="H35" s="105" t="str">
        <f>IF(F35="",IF(G35="","","Rate Only"),F35*G35)</f>
        <v/>
      </c>
    </row>
    <row r="36" spans="2:8" ht="15" customHeight="1" x14ac:dyDescent="0.2">
      <c r="B36" s="15">
        <v>3.6</v>
      </c>
      <c r="C36" s="10" t="s">
        <v>240</v>
      </c>
      <c r="D36" s="17" t="s">
        <v>555</v>
      </c>
      <c r="E36" s="10"/>
      <c r="F36" s="11"/>
      <c r="G36" s="193"/>
      <c r="H36" s="105"/>
    </row>
    <row r="37" spans="2:8" ht="21" customHeight="1" x14ac:dyDescent="0.2">
      <c r="B37" s="10" t="s">
        <v>199</v>
      </c>
      <c r="C37" s="10" t="s">
        <v>325</v>
      </c>
      <c r="D37" s="34" t="s">
        <v>556</v>
      </c>
      <c r="E37" s="10" t="s">
        <v>181</v>
      </c>
      <c r="F37" s="11">
        <v>1</v>
      </c>
      <c r="G37" s="105">
        <f>25000*6</f>
        <v>150000</v>
      </c>
      <c r="H37" s="191">
        <f>IF(G37="",IF(F37="","","Rate Only"),F37*G37)</f>
        <v>150000</v>
      </c>
    </row>
    <row r="38" spans="2:8" ht="15" customHeight="1" x14ac:dyDescent="0.2">
      <c r="B38" s="10" t="s">
        <v>200</v>
      </c>
      <c r="C38" s="10" t="s">
        <v>326</v>
      </c>
      <c r="D38" s="14" t="s">
        <v>205</v>
      </c>
      <c r="E38" s="10" t="s">
        <v>182</v>
      </c>
      <c r="F38" s="13">
        <f>H37</f>
        <v>150000</v>
      </c>
      <c r="G38" s="195"/>
      <c r="H38" s="179"/>
    </row>
    <row r="39" spans="2:8" ht="15" customHeight="1" x14ac:dyDescent="0.2">
      <c r="B39" s="5"/>
      <c r="C39" s="5"/>
      <c r="D39" s="5"/>
      <c r="E39" s="5"/>
      <c r="F39" s="5"/>
      <c r="G39" s="197"/>
      <c r="H39" s="181"/>
    </row>
    <row r="40" spans="2:8" ht="20.100000000000001" customHeight="1" x14ac:dyDescent="0.2">
      <c r="B40" s="266" t="s">
        <v>206</v>
      </c>
      <c r="C40" s="267"/>
      <c r="D40" s="267"/>
      <c r="E40" s="267"/>
      <c r="F40" s="268"/>
      <c r="G40" s="247"/>
      <c r="H40" s="248"/>
    </row>
    <row r="41" spans="2:8" ht="17.100000000000001" customHeight="1" x14ac:dyDescent="0.2"/>
    <row r="42" spans="2:8" ht="17.100000000000001" customHeight="1" x14ac:dyDescent="0.2">
      <c r="B42" s="259" t="str">
        <f>'Fixed P&amp;Gs'!$B$44:$G$44</f>
        <v xml:space="preserve">NAILANA WS BoQ </v>
      </c>
      <c r="C42" s="259"/>
      <c r="D42" s="259"/>
      <c r="E42" s="259"/>
      <c r="F42" s="259"/>
      <c r="G42" s="259"/>
      <c r="H42" s="107"/>
    </row>
  </sheetData>
  <sheetProtection algorithmName="SHA-512" hashValue="S4kkyRHKuou2L8+VObKg9jKuwPTV2MzTxiLY4ny9C+bUH27zHy0UpyawKkHbzNcyx006WOSqrRaYp/oL4sqGfA==" saltValue="tZxxjBb6Ka6yaoEPzkSucQ==" spinCount="100000" sheet="1" objects="1" scenarios="1" selectLockedCells="1"/>
  <mergeCells count="6">
    <mergeCell ref="F4:H4"/>
    <mergeCell ref="B4:E4"/>
    <mergeCell ref="B42:G42"/>
    <mergeCell ref="B2:E2"/>
    <mergeCell ref="B3:E3"/>
    <mergeCell ref="B40:F40"/>
  </mergeCells>
  <phoneticPr fontId="3" type="noConversion"/>
  <pageMargins left="0.25" right="0.25" top="0.75" bottom="0.75" header="0.3" footer="0.3"/>
  <pageSetup paperSize="9" scale="98" orientation="portrait" r:id="rId1"/>
  <headerFooter alignWithMargins="0">
    <oddHeader>&amp;CBoQ &amp;[3] of &amp;[17]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B1:J29"/>
  <sheetViews>
    <sheetView view="pageLayout" topLeftCell="A7" zoomScaleNormal="100" zoomScaleSheetLayoutView="96" workbookViewId="0">
      <selection activeCell="H25" sqref="H25"/>
    </sheetView>
  </sheetViews>
  <sheetFormatPr defaultRowHeight="12.75" x14ac:dyDescent="0.2"/>
  <cols>
    <col min="1" max="1" width="1.7109375" customWidth="1"/>
    <col min="2" max="2" width="8.85546875" customWidth="1"/>
    <col min="3" max="3" width="8.7109375" customWidth="1"/>
    <col min="4" max="4" width="35.5703125" customWidth="1"/>
    <col min="5" max="6" width="8.7109375" customWidth="1"/>
    <col min="7" max="7" width="10.7109375" customWidth="1"/>
    <col min="8" max="8" width="12.7109375" customWidth="1"/>
    <col min="9" max="9" width="1.7109375" customWidth="1"/>
    <col min="11" max="11" width="10.140625" bestFit="1" customWidth="1"/>
  </cols>
  <sheetData>
    <row r="1" spans="2:9" ht="15" customHeight="1" x14ac:dyDescent="0.2">
      <c r="B1" s="260"/>
      <c r="C1" s="260"/>
      <c r="D1" s="260"/>
      <c r="E1" s="260"/>
      <c r="F1" s="72"/>
      <c r="G1" s="72"/>
      <c r="H1" s="80" t="str">
        <f>'Fixed P&amp;Gs'!H1</f>
        <v>ORB.NAIL.2021</v>
      </c>
      <c r="I1" s="74"/>
    </row>
    <row r="2" spans="2:9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80"/>
      <c r="G2" s="80"/>
      <c r="H2" s="80"/>
    </row>
    <row r="3" spans="2:9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80"/>
      <c r="G3" s="80"/>
      <c r="H3" s="80"/>
    </row>
    <row r="4" spans="2:9" ht="18" customHeight="1" x14ac:dyDescent="0.2">
      <c r="B4" s="260" t="str">
        <f>'Fixed P&amp;Gs'!B4</f>
        <v>NAILANA VILLAGE WATER SUPPLY</v>
      </c>
      <c r="C4" s="260"/>
      <c r="D4" s="260"/>
      <c r="E4" s="260"/>
      <c r="F4" s="262" t="str">
        <f>'Fixed P&amp;Gs'!F4:H4</f>
        <v>CONTRACT No:INF-W06/2022/2023</v>
      </c>
      <c r="G4" s="262"/>
      <c r="H4" s="262"/>
    </row>
    <row r="5" spans="2:9" ht="18" customHeight="1" x14ac:dyDescent="0.2">
      <c r="B5" s="41" t="s">
        <v>231</v>
      </c>
      <c r="C5" s="42"/>
      <c r="D5" s="43"/>
      <c r="E5" s="44"/>
      <c r="F5" s="44"/>
      <c r="G5" s="44"/>
      <c r="H5" s="113"/>
    </row>
    <row r="6" spans="2:9" ht="18" customHeight="1" x14ac:dyDescent="0.2">
      <c r="B6" s="46" t="s">
        <v>76</v>
      </c>
      <c r="C6" s="47"/>
      <c r="D6" s="48"/>
      <c r="E6" s="47"/>
      <c r="F6" s="49"/>
      <c r="G6" s="49"/>
      <c r="H6" s="49"/>
    </row>
    <row r="7" spans="2:9" ht="4.9000000000000004" customHeight="1" x14ac:dyDescent="0.2">
      <c r="B7" s="1"/>
      <c r="C7" s="1"/>
    </row>
    <row r="8" spans="2:9" ht="25.15" customHeight="1" x14ac:dyDescent="0.2">
      <c r="B8" s="51" t="s">
        <v>238</v>
      </c>
      <c r="C8" s="51" t="s">
        <v>237</v>
      </c>
      <c r="D8" s="52" t="s">
        <v>1</v>
      </c>
      <c r="E8" s="52" t="s">
        <v>2</v>
      </c>
      <c r="F8" s="52" t="s">
        <v>3</v>
      </c>
      <c r="G8" s="52" t="s">
        <v>4</v>
      </c>
      <c r="H8" s="52" t="s">
        <v>5</v>
      </c>
    </row>
    <row r="9" spans="2:9" ht="18" customHeight="1" x14ac:dyDescent="0.2">
      <c r="B9" s="88" t="s">
        <v>78</v>
      </c>
      <c r="C9" s="89"/>
      <c r="D9" s="90" t="s">
        <v>77</v>
      </c>
      <c r="E9" s="90"/>
      <c r="F9" s="90"/>
      <c r="G9" s="83"/>
      <c r="H9" s="83"/>
    </row>
    <row r="10" spans="2:9" s="7" customFormat="1" ht="25.15" customHeight="1" x14ac:dyDescent="0.2">
      <c r="B10" s="91"/>
      <c r="C10" s="91"/>
      <c r="D10" s="70" t="s">
        <v>14</v>
      </c>
      <c r="E10" s="36"/>
      <c r="F10" s="36"/>
      <c r="G10" s="84"/>
      <c r="H10" s="198"/>
    </row>
    <row r="11" spans="2:9" s="2" customFormat="1" ht="18" customHeight="1" x14ac:dyDescent="0.2">
      <c r="B11" s="39"/>
      <c r="C11" s="39"/>
      <c r="D11" s="68"/>
      <c r="E11" s="92"/>
      <c r="F11" s="92"/>
      <c r="G11" s="85"/>
      <c r="H11" s="86"/>
    </row>
    <row r="12" spans="2:9" s="2" customFormat="1" ht="18" customHeight="1" x14ac:dyDescent="0.2">
      <c r="B12" s="93">
        <v>4.0999999999999996</v>
      </c>
      <c r="C12" s="39">
        <v>8.6</v>
      </c>
      <c r="D12" s="65" t="s">
        <v>399</v>
      </c>
      <c r="E12" s="39"/>
      <c r="F12" s="94"/>
      <c r="G12" s="199"/>
      <c r="H12" s="87"/>
    </row>
    <row r="13" spans="2:9" s="2" customFormat="1" ht="28.35" customHeight="1" x14ac:dyDescent="0.2">
      <c r="B13" s="39" t="s">
        <v>209</v>
      </c>
      <c r="C13" s="39" t="s">
        <v>327</v>
      </c>
      <c r="D13" s="36" t="s">
        <v>329</v>
      </c>
      <c r="E13" s="39" t="s">
        <v>208</v>
      </c>
      <c r="F13" s="202">
        <v>1</v>
      </c>
      <c r="G13" s="199">
        <v>75000</v>
      </c>
      <c r="H13" s="200">
        <f>IF(G13="",IF(F13="","","Rate Only"),F13*G13)</f>
        <v>75000</v>
      </c>
    </row>
    <row r="14" spans="2:9" s="2" customFormat="1" ht="18" customHeight="1" x14ac:dyDescent="0.2">
      <c r="B14" s="39" t="s">
        <v>210</v>
      </c>
      <c r="C14" s="39" t="s">
        <v>328</v>
      </c>
      <c r="D14" s="64" t="s">
        <v>211</v>
      </c>
      <c r="E14" s="39" t="s">
        <v>182</v>
      </c>
      <c r="F14" s="94">
        <f>H13</f>
        <v>75000</v>
      </c>
      <c r="G14" s="195"/>
      <c r="H14" s="86"/>
    </row>
    <row r="15" spans="2:9" s="2" customFormat="1" ht="18" customHeight="1" x14ac:dyDescent="0.2">
      <c r="B15" s="93"/>
      <c r="C15" s="39"/>
      <c r="D15" s="65"/>
      <c r="E15" s="39"/>
      <c r="F15" s="202"/>
      <c r="G15" s="199"/>
      <c r="H15" s="86"/>
    </row>
    <row r="16" spans="2:9" s="2" customFormat="1" ht="18" customHeight="1" x14ac:dyDescent="0.2">
      <c r="B16" s="93"/>
      <c r="C16" s="39"/>
      <c r="D16" s="65"/>
      <c r="E16" s="39"/>
      <c r="F16" s="94"/>
      <c r="G16" s="199"/>
      <c r="H16" s="86"/>
    </row>
    <row r="17" spans="2:10" s="2" customFormat="1" ht="18" customHeight="1" x14ac:dyDescent="0.2">
      <c r="B17" s="39"/>
      <c r="C17" s="39"/>
      <c r="D17" s="203"/>
      <c r="E17" s="39"/>
      <c r="F17" s="202"/>
      <c r="G17" s="199"/>
      <c r="H17" s="200"/>
    </row>
    <row r="18" spans="2:10" s="2" customFormat="1" ht="18" customHeight="1" x14ac:dyDescent="0.2">
      <c r="B18" s="39"/>
      <c r="C18" s="39"/>
      <c r="D18" s="64"/>
      <c r="E18" s="39"/>
      <c r="F18" s="94"/>
      <c r="G18" s="195"/>
      <c r="H18" s="86"/>
    </row>
    <row r="19" spans="2:10" s="2" customFormat="1" ht="18" customHeight="1" x14ac:dyDescent="0.2">
      <c r="B19" s="39"/>
      <c r="C19" s="39"/>
      <c r="D19" s="36"/>
      <c r="E19" s="39"/>
      <c r="F19" s="94"/>
      <c r="G19" s="199"/>
      <c r="H19" s="86"/>
    </row>
    <row r="20" spans="2:10" ht="18" customHeight="1" x14ac:dyDescent="0.2">
      <c r="B20" s="93"/>
      <c r="C20" s="39"/>
      <c r="D20" s="65"/>
      <c r="E20" s="39"/>
      <c r="F20" s="94"/>
      <c r="G20" s="199"/>
      <c r="H20" s="87"/>
      <c r="J20" s="3"/>
    </row>
    <row r="21" spans="2:10" ht="18" customHeight="1" x14ac:dyDescent="0.2">
      <c r="B21" s="39"/>
      <c r="C21" s="39"/>
      <c r="D21" s="64"/>
      <c r="E21" s="39"/>
      <c r="F21" s="94"/>
      <c r="G21" s="201"/>
      <c r="H21" s="199"/>
    </row>
    <row r="22" spans="2:10" ht="18" customHeight="1" x14ac:dyDescent="0.2">
      <c r="B22" s="39"/>
      <c r="C22" s="39"/>
      <c r="D22" s="64"/>
      <c r="E22" s="39"/>
      <c r="F22" s="94"/>
      <c r="G22" s="201"/>
      <c r="H22" s="199"/>
    </row>
    <row r="23" spans="2:10" ht="18" customHeight="1" x14ac:dyDescent="0.2">
      <c r="B23" s="93"/>
      <c r="C23" s="39"/>
      <c r="D23" s="189"/>
      <c r="E23" s="39"/>
      <c r="F23" s="94"/>
      <c r="G23" s="201"/>
      <c r="H23" s="199" t="str">
        <f>IF(G23="","",G23*F23)</f>
        <v/>
      </c>
    </row>
    <row r="24" spans="2:10" ht="18" customHeight="1" x14ac:dyDescent="0.2">
      <c r="B24" s="95"/>
      <c r="C24" s="95"/>
      <c r="D24" s="95"/>
      <c r="E24" s="39"/>
      <c r="F24" s="202"/>
      <c r="G24" s="201"/>
      <c r="H24" s="199"/>
    </row>
    <row r="25" spans="2:10" ht="18" customHeight="1" x14ac:dyDescent="0.2">
      <c r="B25" s="95"/>
      <c r="C25" s="95"/>
      <c r="D25" s="95"/>
      <c r="E25" s="95"/>
      <c r="F25" s="95"/>
      <c r="G25" s="201"/>
      <c r="H25" s="199" t="str">
        <f>IF(G25="","",G25*F25)</f>
        <v/>
      </c>
    </row>
    <row r="26" spans="2:10" ht="18" customHeight="1" x14ac:dyDescent="0.2">
      <c r="B26" s="178"/>
      <c r="C26" s="178"/>
      <c r="D26" s="178"/>
      <c r="E26" s="178"/>
      <c r="F26" s="178"/>
      <c r="G26" s="96"/>
      <c r="H26" s="96"/>
    </row>
    <row r="27" spans="2:10" ht="20.100000000000001" customHeight="1" x14ac:dyDescent="0.2">
      <c r="B27" s="266" t="s">
        <v>212</v>
      </c>
      <c r="C27" s="267"/>
      <c r="D27" s="267"/>
      <c r="E27" s="267"/>
      <c r="F27" s="268"/>
      <c r="G27" s="247"/>
      <c r="H27" s="249"/>
    </row>
    <row r="28" spans="2:10" ht="17.100000000000001" customHeight="1" x14ac:dyDescent="0.2"/>
    <row r="29" spans="2:10" ht="17.100000000000001" customHeight="1" x14ac:dyDescent="0.2">
      <c r="B29" s="259" t="str">
        <f>'Fixed P&amp;Gs'!$B$44:$G$44</f>
        <v xml:space="preserve">NAILANA WS BoQ </v>
      </c>
      <c r="C29" s="259"/>
      <c r="D29" s="259"/>
      <c r="E29" s="259"/>
      <c r="F29" s="259"/>
      <c r="G29" s="259"/>
      <c r="H29" s="82"/>
    </row>
  </sheetData>
  <sheetProtection algorithmName="SHA-512" hashValue="PGMJ5eZ4Sq48ohcReR0VkV3fYNx2QLclBq1PgCBTGKXIe5HfjZZcucRtOcFsmLh+vFMX6l+hS7qMjpH6CLBUoQ==" saltValue="3AGiBtuIg6xKQ+on/div0Q==" spinCount="100000" sheet="1" objects="1" scenarios="1" selectLockedCells="1"/>
  <mergeCells count="7">
    <mergeCell ref="B1:E1"/>
    <mergeCell ref="F4:H4"/>
    <mergeCell ref="B4:E4"/>
    <mergeCell ref="B29:G29"/>
    <mergeCell ref="B2:E2"/>
    <mergeCell ref="B3:E3"/>
    <mergeCell ref="B27:F27"/>
  </mergeCells>
  <phoneticPr fontId="3" type="noConversion"/>
  <pageMargins left="0.25" right="0.25" top="0.75" bottom="0.75" header="0.3" footer="0.3"/>
  <pageSetup paperSize="9" orientation="portrait" r:id="rId1"/>
  <headerFooter alignWithMargins="0">
    <oddHeader>&amp;CBoQ &amp;[4] of 17]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B1:J50"/>
  <sheetViews>
    <sheetView view="pageBreakPreview" topLeftCell="A13" zoomScale="96" zoomScaleNormal="100" zoomScaleSheetLayoutView="96" workbookViewId="0">
      <selection activeCell="G37" sqref="G37"/>
    </sheetView>
  </sheetViews>
  <sheetFormatPr defaultRowHeight="12.75" x14ac:dyDescent="0.2"/>
  <cols>
    <col min="1" max="1" width="1.7109375" customWidth="1"/>
    <col min="2" max="2" width="9.5703125" customWidth="1"/>
    <col min="3" max="3" width="8.7109375" customWidth="1"/>
    <col min="4" max="4" width="35.5703125" customWidth="1"/>
    <col min="5" max="6" width="8.7109375" customWidth="1"/>
    <col min="7" max="7" width="10.7109375" style="128" customWidth="1"/>
    <col min="8" max="8" width="12.7109375" customWidth="1"/>
    <col min="9" max="9" width="1.7109375" customWidth="1"/>
    <col min="11" max="11" width="10.140625" bestFit="1" customWidth="1"/>
  </cols>
  <sheetData>
    <row r="1" spans="2:9" ht="15" customHeight="1" x14ac:dyDescent="0.2">
      <c r="B1" s="72"/>
      <c r="C1" s="72"/>
      <c r="D1" s="72"/>
      <c r="E1" s="72"/>
      <c r="F1" s="72"/>
      <c r="G1" s="72"/>
      <c r="H1" s="73"/>
      <c r="I1" s="74"/>
    </row>
    <row r="2" spans="2:9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80"/>
      <c r="G2" s="80"/>
      <c r="H2" s="80" t="str">
        <f>'Fixed P&amp;Gs'!H1</f>
        <v>ORB.NAIL.2021</v>
      </c>
    </row>
    <row r="3" spans="2:9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80"/>
      <c r="G3" s="80"/>
      <c r="H3" s="80"/>
    </row>
    <row r="4" spans="2:9" ht="18" customHeight="1" x14ac:dyDescent="0.2">
      <c r="B4" s="260" t="str">
        <f>'Fixed P&amp;Gs'!B4</f>
        <v>NAILANA VILLAGE WATER SUPPLY</v>
      </c>
      <c r="C4" s="260"/>
      <c r="D4" s="260"/>
      <c r="E4" s="260"/>
      <c r="F4" s="262" t="str">
        <f>'Fixed P&amp;Gs'!F4:H4</f>
        <v>CONTRACT No:INF-W06/2022/2023</v>
      </c>
      <c r="G4" s="262"/>
      <c r="H4" s="262"/>
    </row>
    <row r="5" spans="2:9" ht="18" customHeight="1" x14ac:dyDescent="0.2">
      <c r="B5" s="41" t="s">
        <v>231</v>
      </c>
      <c r="C5" s="42"/>
      <c r="D5" s="43"/>
      <c r="E5" s="44"/>
      <c r="F5" s="44"/>
      <c r="G5" s="126"/>
      <c r="H5" s="113"/>
    </row>
    <row r="6" spans="2:9" ht="18" customHeight="1" x14ac:dyDescent="0.2">
      <c r="B6" s="46" t="s">
        <v>443</v>
      </c>
      <c r="C6" s="47"/>
      <c r="D6" s="48"/>
      <c r="E6" s="47"/>
      <c r="F6" s="49"/>
      <c r="G6" s="127"/>
      <c r="H6" s="49"/>
    </row>
    <row r="7" spans="2:9" ht="4.9000000000000004" customHeight="1" x14ac:dyDescent="0.2">
      <c r="B7" s="1"/>
      <c r="C7" s="1"/>
    </row>
    <row r="8" spans="2:9" ht="25.15" customHeight="1" x14ac:dyDescent="0.2">
      <c r="B8" s="51" t="s">
        <v>238</v>
      </c>
      <c r="C8" s="51" t="s">
        <v>237</v>
      </c>
      <c r="D8" s="52" t="s">
        <v>1</v>
      </c>
      <c r="E8" s="52" t="s">
        <v>2</v>
      </c>
      <c r="F8" s="52" t="s">
        <v>3</v>
      </c>
      <c r="G8" s="52" t="s">
        <v>4</v>
      </c>
      <c r="H8" s="52" t="s">
        <v>5</v>
      </c>
    </row>
    <row r="9" spans="2:9" ht="18" customHeight="1" x14ac:dyDescent="0.2">
      <c r="B9" s="88" t="s">
        <v>79</v>
      </c>
      <c r="C9" s="89"/>
      <c r="D9" s="90" t="s">
        <v>80</v>
      </c>
      <c r="E9" s="90"/>
      <c r="F9" s="90"/>
      <c r="G9" s="83"/>
      <c r="H9" s="204" t="str">
        <f t="shared" ref="H9:H19" si="0">IF(F9="",IF(E9="","","Rate Only"),"")</f>
        <v/>
      </c>
    </row>
    <row r="10" spans="2:9" s="7" customFormat="1" ht="25.15" customHeight="1" x14ac:dyDescent="0.2">
      <c r="B10" s="91"/>
      <c r="C10" s="91"/>
      <c r="D10" s="70" t="s">
        <v>14</v>
      </c>
      <c r="E10" s="36"/>
      <c r="F10" s="36"/>
      <c r="G10" s="84"/>
      <c r="H10" s="205" t="str">
        <f t="shared" si="0"/>
        <v/>
      </c>
    </row>
    <row r="11" spans="2:9" s="2" customFormat="1" ht="12" customHeight="1" x14ac:dyDescent="0.2">
      <c r="B11" s="39"/>
      <c r="C11" s="39"/>
      <c r="D11" s="68"/>
      <c r="E11" s="92"/>
      <c r="F11" s="92"/>
      <c r="G11" s="85"/>
      <c r="H11" s="206" t="str">
        <f t="shared" si="0"/>
        <v/>
      </c>
    </row>
    <row r="12" spans="2:9" s="2" customFormat="1" ht="18" customHeight="1" x14ac:dyDescent="0.2">
      <c r="B12" s="93">
        <v>5.0999999999999996</v>
      </c>
      <c r="C12" s="39">
        <v>8.6999999999999993</v>
      </c>
      <c r="D12" s="209" t="s">
        <v>217</v>
      </c>
      <c r="E12" s="39"/>
      <c r="F12" s="202"/>
      <c r="G12" s="85"/>
      <c r="H12" s="206" t="str">
        <f t="shared" si="0"/>
        <v/>
      </c>
    </row>
    <row r="13" spans="2:9" s="2" customFormat="1" ht="18" customHeight="1" x14ac:dyDescent="0.2">
      <c r="B13" s="39" t="s">
        <v>82</v>
      </c>
      <c r="C13" s="39"/>
      <c r="D13" s="210" t="s">
        <v>85</v>
      </c>
      <c r="E13" s="39" t="s">
        <v>229</v>
      </c>
      <c r="F13" s="202"/>
      <c r="G13" s="182"/>
      <c r="H13" s="179" t="str">
        <f t="shared" si="0"/>
        <v>Rate Only</v>
      </c>
    </row>
    <row r="14" spans="2:9" s="2" customFormat="1" ht="18" customHeight="1" x14ac:dyDescent="0.2">
      <c r="B14" s="39" t="s">
        <v>83</v>
      </c>
      <c r="C14" s="39"/>
      <c r="D14" s="210" t="s">
        <v>86</v>
      </c>
      <c r="E14" s="39" t="s">
        <v>229</v>
      </c>
      <c r="F14" s="202"/>
      <c r="G14" s="182"/>
      <c r="H14" s="179" t="str">
        <f t="shared" si="0"/>
        <v>Rate Only</v>
      </c>
    </row>
    <row r="15" spans="2:9" s="2" customFormat="1" ht="18" customHeight="1" x14ac:dyDescent="0.2">
      <c r="B15" s="39" t="s">
        <v>84</v>
      </c>
      <c r="C15" s="39"/>
      <c r="D15" s="210" t="s">
        <v>87</v>
      </c>
      <c r="E15" s="39" t="s">
        <v>229</v>
      </c>
      <c r="F15" s="202"/>
      <c r="G15" s="182"/>
      <c r="H15" s="179" t="str">
        <f t="shared" si="0"/>
        <v>Rate Only</v>
      </c>
    </row>
    <row r="16" spans="2:9" s="2" customFormat="1" ht="18" customHeight="1" x14ac:dyDescent="0.2">
      <c r="B16" s="39" t="s">
        <v>216</v>
      </c>
      <c r="C16" s="39"/>
      <c r="D16" s="210" t="s">
        <v>215</v>
      </c>
      <c r="E16" s="39" t="s">
        <v>229</v>
      </c>
      <c r="F16" s="202"/>
      <c r="G16" s="182"/>
      <c r="H16" s="179" t="str">
        <f t="shared" si="0"/>
        <v>Rate Only</v>
      </c>
    </row>
    <row r="17" spans="2:10" s="2" customFormat="1" ht="25.15" customHeight="1" x14ac:dyDescent="0.2">
      <c r="B17" s="39" t="s">
        <v>230</v>
      </c>
      <c r="C17" s="39"/>
      <c r="D17" s="211" t="s">
        <v>233</v>
      </c>
      <c r="E17" s="39" t="s">
        <v>182</v>
      </c>
      <c r="F17" s="202"/>
      <c r="G17" s="250"/>
      <c r="H17" s="179" t="str">
        <f t="shared" si="0"/>
        <v>Rate Only</v>
      </c>
    </row>
    <row r="18" spans="2:10" s="2" customFormat="1" ht="12" customHeight="1" x14ac:dyDescent="0.2">
      <c r="B18" s="39"/>
      <c r="C18" s="39"/>
      <c r="D18" s="210"/>
      <c r="E18" s="39"/>
      <c r="F18" s="202"/>
      <c r="G18" s="105"/>
      <c r="H18" s="179" t="str">
        <f t="shared" si="0"/>
        <v/>
      </c>
    </row>
    <row r="19" spans="2:10" s="2" customFormat="1" ht="18" customHeight="1" x14ac:dyDescent="0.2">
      <c r="B19" s="93">
        <v>5.2</v>
      </c>
      <c r="C19" s="39">
        <v>8.6999999999999993</v>
      </c>
      <c r="D19" s="209" t="s">
        <v>93</v>
      </c>
      <c r="E19" s="39"/>
      <c r="F19" s="202"/>
      <c r="G19" s="105"/>
      <c r="H19" s="179" t="str">
        <f t="shared" si="0"/>
        <v/>
      </c>
    </row>
    <row r="20" spans="2:10" s="2" customFormat="1" ht="18" customHeight="1" x14ac:dyDescent="0.2">
      <c r="B20" s="39" t="s">
        <v>332</v>
      </c>
      <c r="C20" s="39"/>
      <c r="D20" s="210" t="s">
        <v>88</v>
      </c>
      <c r="E20" s="39" t="s">
        <v>0</v>
      </c>
      <c r="F20" s="202">
        <v>1</v>
      </c>
      <c r="G20" s="105">
        <v>35000</v>
      </c>
      <c r="H20" s="191">
        <f>IF(G20="",IF(F20="","","Rate Only"),F20*G20)</f>
        <v>35000</v>
      </c>
    </row>
    <row r="21" spans="2:10" s="2" customFormat="1" ht="18" customHeight="1" x14ac:dyDescent="0.2">
      <c r="B21" s="39" t="s">
        <v>333</v>
      </c>
      <c r="C21" s="39"/>
      <c r="D21" s="212" t="s">
        <v>334</v>
      </c>
      <c r="E21" s="39" t="s">
        <v>182</v>
      </c>
      <c r="F21" s="94">
        <f>H20</f>
        <v>35000</v>
      </c>
      <c r="G21" s="195"/>
      <c r="H21" s="179"/>
    </row>
    <row r="22" spans="2:10" s="2" customFormat="1" ht="12" customHeight="1" x14ac:dyDescent="0.2">
      <c r="B22" s="39"/>
      <c r="C22" s="39"/>
      <c r="D22" s="212"/>
      <c r="E22" s="39"/>
      <c r="F22" s="202"/>
      <c r="G22" s="105"/>
      <c r="H22" s="179" t="str">
        <f t="shared" ref="H22:H41" si="1">IF(F22="",IF(E22="","","Rate Only"),"")</f>
        <v/>
      </c>
    </row>
    <row r="23" spans="2:10" s="2" customFormat="1" ht="18" customHeight="1" x14ac:dyDescent="0.2">
      <c r="B23" s="93">
        <v>5.3</v>
      </c>
      <c r="C23" s="39">
        <v>8.6999999999999993</v>
      </c>
      <c r="D23" s="209" t="s">
        <v>241</v>
      </c>
      <c r="E23" s="39"/>
      <c r="F23" s="202"/>
      <c r="G23" s="105"/>
      <c r="H23" s="179" t="str">
        <f t="shared" si="1"/>
        <v/>
      </c>
    </row>
    <row r="24" spans="2:10" s="2" customFormat="1" ht="35.1" customHeight="1" x14ac:dyDescent="0.2">
      <c r="B24" s="93"/>
      <c r="C24" s="39"/>
      <c r="D24" s="213" t="s">
        <v>214</v>
      </c>
      <c r="E24" s="39"/>
      <c r="F24" s="202"/>
      <c r="G24" s="105"/>
      <c r="H24" s="179" t="str">
        <f t="shared" si="1"/>
        <v/>
      </c>
    </row>
    <row r="25" spans="2:10" s="2" customFormat="1" ht="18" customHeight="1" x14ac:dyDescent="0.2">
      <c r="B25" s="39" t="s">
        <v>91</v>
      </c>
      <c r="C25" s="39"/>
      <c r="D25" s="212" t="s">
        <v>90</v>
      </c>
      <c r="E25" s="39" t="s">
        <v>229</v>
      </c>
      <c r="F25" s="202"/>
      <c r="G25" s="182"/>
      <c r="H25" s="179" t="str">
        <f t="shared" si="1"/>
        <v>Rate Only</v>
      </c>
    </row>
    <row r="26" spans="2:10" s="2" customFormat="1" ht="18" customHeight="1" x14ac:dyDescent="0.2">
      <c r="B26" s="39" t="s">
        <v>92</v>
      </c>
      <c r="C26" s="39"/>
      <c r="D26" s="212" t="s">
        <v>89</v>
      </c>
      <c r="E26" s="39" t="s">
        <v>229</v>
      </c>
      <c r="F26" s="202"/>
      <c r="G26" s="182"/>
      <c r="H26" s="179" t="str">
        <f t="shared" si="1"/>
        <v>Rate Only</v>
      </c>
    </row>
    <row r="27" spans="2:10" s="2" customFormat="1" ht="18" customHeight="1" x14ac:dyDescent="0.2">
      <c r="B27" s="39" t="s">
        <v>335</v>
      </c>
      <c r="C27" s="39"/>
      <c r="D27" s="212" t="s">
        <v>213</v>
      </c>
      <c r="E27" s="39" t="s">
        <v>229</v>
      </c>
      <c r="F27" s="202"/>
      <c r="G27" s="182"/>
      <c r="H27" s="179" t="str">
        <f t="shared" si="1"/>
        <v>Rate Only</v>
      </c>
    </row>
    <row r="28" spans="2:10" s="2" customFormat="1" ht="18" customHeight="1" x14ac:dyDescent="0.2">
      <c r="B28" s="39" t="s">
        <v>336</v>
      </c>
      <c r="C28" s="39"/>
      <c r="D28" s="36" t="s">
        <v>218</v>
      </c>
      <c r="E28" s="39" t="s">
        <v>229</v>
      </c>
      <c r="F28" s="202"/>
      <c r="G28" s="182"/>
      <c r="H28" s="179" t="str">
        <f t="shared" si="1"/>
        <v>Rate Only</v>
      </c>
    </row>
    <row r="29" spans="2:10" s="2" customFormat="1" ht="18" customHeight="1" x14ac:dyDescent="0.2">
      <c r="B29" s="39" t="s">
        <v>337</v>
      </c>
      <c r="C29" s="39"/>
      <c r="D29" s="36" t="s">
        <v>557</v>
      </c>
      <c r="E29" s="39" t="s">
        <v>229</v>
      </c>
      <c r="F29" s="202"/>
      <c r="G29" s="182"/>
      <c r="H29" s="179" t="str">
        <f t="shared" si="1"/>
        <v>Rate Only</v>
      </c>
    </row>
    <row r="30" spans="2:10" ht="18" customHeight="1" x14ac:dyDescent="0.2">
      <c r="B30" s="39" t="s">
        <v>338</v>
      </c>
      <c r="C30" s="39"/>
      <c r="D30" s="36" t="s">
        <v>219</v>
      </c>
      <c r="E30" s="39" t="s">
        <v>229</v>
      </c>
      <c r="F30" s="202"/>
      <c r="G30" s="182"/>
      <c r="H30" s="179" t="str">
        <f t="shared" si="1"/>
        <v>Rate Only</v>
      </c>
      <c r="J30" s="3"/>
    </row>
    <row r="31" spans="2:10" ht="18" customHeight="1" x14ac:dyDescent="0.2">
      <c r="B31" s="39" t="s">
        <v>339</v>
      </c>
      <c r="C31" s="39"/>
      <c r="D31" s="36" t="s">
        <v>220</v>
      </c>
      <c r="E31" s="39" t="s">
        <v>229</v>
      </c>
      <c r="F31" s="202"/>
      <c r="G31" s="182"/>
      <c r="H31" s="179" t="str">
        <f t="shared" si="1"/>
        <v>Rate Only</v>
      </c>
      <c r="J31" s="3"/>
    </row>
    <row r="32" spans="2:10" ht="18" customHeight="1" x14ac:dyDescent="0.2">
      <c r="B32" s="39" t="s">
        <v>340</v>
      </c>
      <c r="C32" s="39"/>
      <c r="D32" s="36" t="s">
        <v>221</v>
      </c>
      <c r="E32" s="39" t="s">
        <v>229</v>
      </c>
      <c r="F32" s="202"/>
      <c r="G32" s="182"/>
      <c r="H32" s="179" t="str">
        <f t="shared" si="1"/>
        <v>Rate Only</v>
      </c>
      <c r="J32" s="3"/>
    </row>
    <row r="33" spans="2:10" ht="25.15" customHeight="1" x14ac:dyDescent="0.2">
      <c r="B33" s="39" t="s">
        <v>341</v>
      </c>
      <c r="C33" s="39"/>
      <c r="D33" s="36" t="s">
        <v>343</v>
      </c>
      <c r="E33" s="39" t="s">
        <v>0</v>
      </c>
      <c r="F33" s="202"/>
      <c r="G33" s="182"/>
      <c r="H33" s="179" t="str">
        <f t="shared" si="1"/>
        <v>Rate Only</v>
      </c>
      <c r="J33" s="3"/>
    </row>
    <row r="34" spans="2:10" ht="12" customHeight="1" x14ac:dyDescent="0.2">
      <c r="B34" s="93"/>
      <c r="C34" s="39"/>
      <c r="D34" s="214"/>
      <c r="E34" s="39"/>
      <c r="F34" s="202"/>
      <c r="G34" s="182"/>
      <c r="H34" s="207" t="str">
        <f t="shared" si="1"/>
        <v/>
      </c>
      <c r="J34" s="3"/>
    </row>
    <row r="35" spans="2:10" ht="18" customHeight="1" x14ac:dyDescent="0.2">
      <c r="B35" s="93">
        <v>5.4</v>
      </c>
      <c r="C35" s="39">
        <v>8.6999999999999993</v>
      </c>
      <c r="D35" s="209" t="s">
        <v>242</v>
      </c>
      <c r="E35" s="39"/>
      <c r="F35" s="202"/>
      <c r="G35" s="182"/>
      <c r="H35" s="207" t="str">
        <f t="shared" si="1"/>
        <v/>
      </c>
      <c r="J35" s="3"/>
    </row>
    <row r="36" spans="2:10" ht="18" customHeight="1" x14ac:dyDescent="0.2">
      <c r="B36" s="39" t="s">
        <v>225</v>
      </c>
      <c r="C36" s="39"/>
      <c r="D36" s="36" t="s">
        <v>222</v>
      </c>
      <c r="E36" s="39" t="s">
        <v>229</v>
      </c>
      <c r="F36" s="202"/>
      <c r="G36" s="182"/>
      <c r="H36" s="179" t="str">
        <f t="shared" si="1"/>
        <v>Rate Only</v>
      </c>
      <c r="J36" s="3"/>
    </row>
    <row r="37" spans="2:10" ht="18" customHeight="1" x14ac:dyDescent="0.2">
      <c r="B37" s="39" t="s">
        <v>226</v>
      </c>
      <c r="C37" s="39"/>
      <c r="D37" s="36" t="s">
        <v>223</v>
      </c>
      <c r="E37" s="39" t="s">
        <v>229</v>
      </c>
      <c r="F37" s="202"/>
      <c r="G37" s="182"/>
      <c r="H37" s="179" t="str">
        <f t="shared" si="1"/>
        <v>Rate Only</v>
      </c>
      <c r="J37" s="3"/>
    </row>
    <row r="38" spans="2:10" ht="18" customHeight="1" x14ac:dyDescent="0.2">
      <c r="B38" s="39" t="s">
        <v>227</v>
      </c>
      <c r="C38" s="39"/>
      <c r="D38" s="36" t="s">
        <v>224</v>
      </c>
      <c r="E38" s="39" t="s">
        <v>229</v>
      </c>
      <c r="F38" s="202"/>
      <c r="G38" s="182"/>
      <c r="H38" s="179" t="str">
        <f t="shared" si="1"/>
        <v>Rate Only</v>
      </c>
    </row>
    <row r="39" spans="2:10" ht="25.15" customHeight="1" x14ac:dyDescent="0.2">
      <c r="B39" s="39" t="s">
        <v>228</v>
      </c>
      <c r="C39" s="39"/>
      <c r="D39" s="36" t="s">
        <v>342</v>
      </c>
      <c r="E39" s="39" t="s">
        <v>0</v>
      </c>
      <c r="F39" s="202"/>
      <c r="G39" s="182"/>
      <c r="H39" s="179" t="str">
        <f t="shared" si="1"/>
        <v>Rate Only</v>
      </c>
    </row>
    <row r="40" spans="2:10" ht="17.100000000000001" customHeight="1" x14ac:dyDescent="0.2">
      <c r="B40" s="39"/>
      <c r="C40" s="39"/>
      <c r="D40" s="36"/>
      <c r="E40" s="39"/>
      <c r="F40" s="202"/>
      <c r="G40" s="251"/>
      <c r="H40" s="86" t="str">
        <f t="shared" si="1"/>
        <v/>
      </c>
    </row>
    <row r="41" spans="2:10" ht="17.100000000000001" customHeight="1" x14ac:dyDescent="0.2">
      <c r="B41" s="178"/>
      <c r="C41" s="178"/>
      <c r="D41" s="178"/>
      <c r="E41" s="178"/>
      <c r="F41" s="178"/>
      <c r="G41" s="197"/>
      <c r="H41" s="208" t="str">
        <f t="shared" si="1"/>
        <v/>
      </c>
    </row>
    <row r="42" spans="2:10" ht="20.100000000000001" customHeight="1" x14ac:dyDescent="0.2">
      <c r="B42" s="266" t="s">
        <v>232</v>
      </c>
      <c r="C42" s="267"/>
      <c r="D42" s="267"/>
      <c r="E42" s="267"/>
      <c r="F42" s="268"/>
      <c r="G42" s="247"/>
      <c r="H42" s="248"/>
    </row>
    <row r="43" spans="2:10" ht="17.100000000000001" customHeight="1" x14ac:dyDescent="0.2"/>
    <row r="44" spans="2:10" ht="17.100000000000001" customHeight="1" x14ac:dyDescent="0.2">
      <c r="B44" s="259" t="str">
        <f>'Fixed P&amp;Gs'!$B$44:$G$44</f>
        <v xml:space="preserve">NAILANA WS BoQ </v>
      </c>
      <c r="C44" s="259"/>
      <c r="D44" s="259"/>
      <c r="E44" s="259"/>
      <c r="F44" s="259"/>
      <c r="G44" s="259"/>
      <c r="H44" s="82"/>
    </row>
    <row r="50" spans="4:4" x14ac:dyDescent="0.2">
      <c r="D50" s="79" t="s">
        <v>491</v>
      </c>
    </row>
  </sheetData>
  <sheetProtection algorithmName="SHA-512" hashValue="/guaoH9WuTs/bl7EAl+MWSAn0ymRlT5aFPaiObIVyr4aiiCMzyoLBJx6LS9NOpplFqNvIuD1rGJkYget+uh0zA==" saltValue="D9ra6GBtMNeqvlPRJ2FaAQ==" spinCount="100000" sheet="1" objects="1" scenarios="1" selectLockedCells="1"/>
  <mergeCells count="6">
    <mergeCell ref="F4:H4"/>
    <mergeCell ref="B4:E4"/>
    <mergeCell ref="B44:G44"/>
    <mergeCell ref="B2:E2"/>
    <mergeCell ref="B3:E3"/>
    <mergeCell ref="B42:F42"/>
  </mergeCells>
  <phoneticPr fontId="3" type="noConversion"/>
  <pageMargins left="0.25" right="0.25" top="0.75" bottom="0.75" header="0.3" footer="0.3"/>
  <pageSetup paperSize="9" scale="94" orientation="portrait" r:id="rId1"/>
  <headerFooter alignWithMargins="0">
    <oddHeader>&amp;CBoQ &amp;[5] of &amp;[17]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B1:J26"/>
  <sheetViews>
    <sheetView view="pageLayout" topLeftCell="A34" zoomScaleNormal="100" zoomScaleSheetLayoutView="96" workbookViewId="0">
      <selection activeCell="I24" sqref="I24"/>
    </sheetView>
  </sheetViews>
  <sheetFormatPr defaultRowHeight="12.75" x14ac:dyDescent="0.2"/>
  <cols>
    <col min="1" max="1" width="1.7109375" customWidth="1"/>
    <col min="2" max="3" width="7.85546875" customWidth="1"/>
    <col min="4" max="4" width="8.7109375" customWidth="1"/>
    <col min="5" max="5" width="35.5703125" customWidth="1"/>
    <col min="6" max="7" width="8.7109375" customWidth="1"/>
    <col min="8" max="8" width="10.7109375" customWidth="1"/>
    <col min="9" max="9" width="12.7109375" customWidth="1"/>
    <col min="10" max="10" width="1.7109375" customWidth="1"/>
    <col min="12" max="12" width="10.140625" bestFit="1" customWidth="1"/>
  </cols>
  <sheetData>
    <row r="1" spans="2:10" ht="15" customHeight="1" x14ac:dyDescent="0.2">
      <c r="B1" s="72"/>
      <c r="C1" s="72"/>
      <c r="D1" s="72"/>
      <c r="E1" s="72"/>
      <c r="F1" s="72"/>
      <c r="G1" s="72"/>
      <c r="H1" s="72"/>
      <c r="I1" s="73"/>
      <c r="J1" s="74"/>
    </row>
    <row r="2" spans="2:10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260"/>
      <c r="G2" s="80"/>
      <c r="H2" s="80"/>
      <c r="I2" s="80" t="str">
        <f>'Fixed P&amp;Gs'!H1</f>
        <v>ORB.NAIL.2021</v>
      </c>
    </row>
    <row r="3" spans="2:10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261"/>
      <c r="G3" s="80"/>
      <c r="H3" s="80"/>
      <c r="I3" s="80"/>
    </row>
    <row r="4" spans="2:10" ht="18" customHeight="1" x14ac:dyDescent="0.2">
      <c r="B4" s="260" t="str">
        <f>'Fixed P&amp;Gs'!B4</f>
        <v>NAILANA VILLAGE WATER SUPPLY</v>
      </c>
      <c r="C4" s="260"/>
      <c r="D4" s="260"/>
      <c r="E4" s="260"/>
      <c r="F4" s="260"/>
      <c r="G4" s="262" t="str">
        <f>Dayworks!F4</f>
        <v>CONTRACT No:INF-W06/2022/2023</v>
      </c>
      <c r="H4" s="262"/>
      <c r="I4" s="262"/>
    </row>
    <row r="5" spans="2:10" ht="18" customHeight="1" x14ac:dyDescent="0.2">
      <c r="B5" s="41" t="s">
        <v>231</v>
      </c>
      <c r="C5" s="125"/>
      <c r="D5" s="42"/>
      <c r="E5" s="43"/>
      <c r="F5" s="44"/>
      <c r="G5" s="44"/>
      <c r="H5" s="44"/>
      <c r="I5" s="113"/>
    </row>
    <row r="6" spans="2:10" ht="18" customHeight="1" x14ac:dyDescent="0.2">
      <c r="B6" s="46" t="s">
        <v>94</v>
      </c>
      <c r="C6" s="47"/>
      <c r="D6" s="47"/>
      <c r="E6" s="48"/>
      <c r="F6" s="47"/>
      <c r="G6" s="49"/>
      <c r="H6" s="49"/>
      <c r="I6" s="49"/>
    </row>
    <row r="7" spans="2:10" ht="4.9000000000000004" customHeight="1" x14ac:dyDescent="0.2">
      <c r="B7" s="1"/>
      <c r="C7" s="1"/>
      <c r="D7" s="1"/>
    </row>
    <row r="8" spans="2:10" ht="25.15" customHeight="1" x14ac:dyDescent="0.2">
      <c r="B8" s="51" t="s">
        <v>238</v>
      </c>
      <c r="C8" s="51" t="s">
        <v>573</v>
      </c>
      <c r="D8" s="51" t="s">
        <v>237</v>
      </c>
      <c r="E8" s="52" t="s">
        <v>1</v>
      </c>
      <c r="F8" s="52" t="s">
        <v>2</v>
      </c>
      <c r="G8" s="52" t="s">
        <v>3</v>
      </c>
      <c r="H8" s="52" t="s">
        <v>4</v>
      </c>
      <c r="I8" s="52" t="s">
        <v>5</v>
      </c>
    </row>
    <row r="9" spans="2:10" ht="18" customHeight="1" x14ac:dyDescent="0.2">
      <c r="B9" s="6" t="s">
        <v>98</v>
      </c>
      <c r="C9" s="6"/>
      <c r="D9" s="4"/>
      <c r="E9" s="18" t="s">
        <v>95</v>
      </c>
      <c r="F9" s="18"/>
      <c r="G9" s="18"/>
      <c r="H9" s="83"/>
      <c r="I9" s="83" t="str">
        <f t="shared" ref="I9:I23" si="0">IF(G9="",IF(F9="","","Rate Only"),"")</f>
        <v/>
      </c>
    </row>
    <row r="10" spans="2:10" s="7" customFormat="1" ht="25.15" customHeight="1" x14ac:dyDescent="0.2">
      <c r="B10" s="19"/>
      <c r="C10" s="19"/>
      <c r="D10" s="19"/>
      <c r="E10" s="9" t="s">
        <v>14</v>
      </c>
      <c r="F10" s="8"/>
      <c r="G10" s="8"/>
      <c r="H10" s="104"/>
      <c r="I10" s="104" t="str">
        <f t="shared" si="0"/>
        <v/>
      </c>
    </row>
    <row r="11" spans="2:10" s="2" customFormat="1" ht="18" customHeight="1" x14ac:dyDescent="0.2">
      <c r="B11" s="10"/>
      <c r="C11" s="10"/>
      <c r="D11" s="10"/>
      <c r="E11" s="17"/>
      <c r="F11" s="12"/>
      <c r="G11" s="12"/>
      <c r="H11" s="105"/>
      <c r="I11" s="105" t="str">
        <f t="shared" si="0"/>
        <v/>
      </c>
    </row>
    <row r="12" spans="2:10" s="2" customFormat="1" ht="18" customHeight="1" x14ac:dyDescent="0.2">
      <c r="B12" s="15">
        <v>6.1</v>
      </c>
      <c r="C12" s="15"/>
      <c r="D12" s="10">
        <v>8.8000000000000007</v>
      </c>
      <c r="E12" s="23" t="s">
        <v>400</v>
      </c>
      <c r="F12" s="10"/>
      <c r="G12" s="13"/>
      <c r="H12" s="105"/>
      <c r="I12" s="190" t="str">
        <f t="shared" si="0"/>
        <v/>
      </c>
    </row>
    <row r="13" spans="2:10" s="2" customFormat="1" ht="35.1" customHeight="1" x14ac:dyDescent="0.2">
      <c r="B13" s="10" t="s">
        <v>245</v>
      </c>
      <c r="C13" s="10"/>
      <c r="D13" s="10" t="s">
        <v>346</v>
      </c>
      <c r="E13" s="27" t="s">
        <v>345</v>
      </c>
      <c r="F13" s="10" t="s">
        <v>0</v>
      </c>
      <c r="G13" s="13">
        <v>1</v>
      </c>
      <c r="H13" s="184"/>
      <c r="I13" s="215">
        <f>H13*G13</f>
        <v>0</v>
      </c>
    </row>
    <row r="14" spans="2:10" s="2" customFormat="1" ht="18" customHeight="1" x14ac:dyDescent="0.2">
      <c r="B14" s="10"/>
      <c r="C14" s="10"/>
      <c r="D14" s="37"/>
      <c r="E14" s="24"/>
      <c r="F14" s="10"/>
      <c r="G14" s="13"/>
      <c r="H14" s="182"/>
      <c r="I14" s="179"/>
    </row>
    <row r="15" spans="2:10" s="2" customFormat="1" ht="18" customHeight="1" x14ac:dyDescent="0.2">
      <c r="B15" s="15">
        <v>6.2</v>
      </c>
      <c r="C15" s="15"/>
      <c r="D15" s="10">
        <v>8.8000000000000007</v>
      </c>
      <c r="E15" s="23" t="s">
        <v>243</v>
      </c>
      <c r="F15" s="10"/>
      <c r="G15" s="13"/>
      <c r="H15" s="182"/>
      <c r="I15" s="179"/>
    </row>
    <row r="16" spans="2:10" s="2" customFormat="1" ht="35.1" customHeight="1" x14ac:dyDescent="0.2">
      <c r="B16" s="10" t="s">
        <v>395</v>
      </c>
      <c r="C16" s="10"/>
      <c r="D16" s="10" t="s">
        <v>347</v>
      </c>
      <c r="E16" s="27" t="s">
        <v>244</v>
      </c>
      <c r="F16" s="10" t="s">
        <v>0</v>
      </c>
      <c r="G16" s="13">
        <v>1</v>
      </c>
      <c r="H16" s="184"/>
      <c r="I16" s="215">
        <f>H16*G16</f>
        <v>0</v>
      </c>
    </row>
    <row r="17" spans="2:9" s="2" customFormat="1" ht="18" customHeight="1" x14ac:dyDescent="0.2">
      <c r="B17" s="10"/>
      <c r="C17" s="10"/>
      <c r="D17" s="10"/>
      <c r="E17" s="25"/>
      <c r="F17" s="10"/>
      <c r="G17" s="11"/>
      <c r="H17" s="105"/>
      <c r="I17" s="179" t="str">
        <f t="shared" si="0"/>
        <v/>
      </c>
    </row>
    <row r="18" spans="2:9" s="2" customFormat="1" ht="18" customHeight="1" x14ac:dyDescent="0.2">
      <c r="B18" s="10"/>
      <c r="C18" s="10"/>
      <c r="D18" s="10"/>
      <c r="E18" s="25"/>
      <c r="F18" s="10"/>
      <c r="G18" s="11"/>
      <c r="H18" s="105"/>
      <c r="I18" s="179" t="str">
        <f t="shared" si="0"/>
        <v/>
      </c>
    </row>
    <row r="19" spans="2:9" s="2" customFormat="1" ht="18" customHeight="1" x14ac:dyDescent="0.2">
      <c r="B19" s="15"/>
      <c r="C19" s="15"/>
      <c r="D19" s="10"/>
      <c r="E19" s="23"/>
      <c r="F19" s="10"/>
      <c r="G19" s="11"/>
      <c r="H19" s="105"/>
      <c r="I19" s="179" t="str">
        <f t="shared" si="0"/>
        <v/>
      </c>
    </row>
    <row r="20" spans="2:9" s="2" customFormat="1" ht="18" customHeight="1" x14ac:dyDescent="0.2">
      <c r="B20" s="15"/>
      <c r="C20" s="15"/>
      <c r="D20" s="10"/>
      <c r="E20" s="26"/>
      <c r="F20" s="10"/>
      <c r="G20" s="11"/>
      <c r="H20" s="105"/>
      <c r="I20" s="179" t="str">
        <f t="shared" si="0"/>
        <v/>
      </c>
    </row>
    <row r="21" spans="2:9" s="2" customFormat="1" ht="18" customHeight="1" x14ac:dyDescent="0.2">
      <c r="B21" s="10"/>
      <c r="C21" s="10"/>
      <c r="D21" s="10"/>
      <c r="E21" s="25"/>
      <c r="F21" s="10"/>
      <c r="G21" s="11"/>
      <c r="H21" s="105"/>
      <c r="I21" s="179" t="str">
        <f t="shared" si="0"/>
        <v/>
      </c>
    </row>
    <row r="22" spans="2:9" s="2" customFormat="1" ht="18" customHeight="1" x14ac:dyDescent="0.2">
      <c r="B22" s="10"/>
      <c r="C22" s="10"/>
      <c r="D22" s="10"/>
      <c r="E22" s="25"/>
      <c r="F22" s="10"/>
      <c r="G22" s="11"/>
      <c r="H22" s="105"/>
      <c r="I22" s="179" t="str">
        <f t="shared" si="0"/>
        <v/>
      </c>
    </row>
    <row r="23" spans="2:9" ht="28.35" customHeight="1" x14ac:dyDescent="0.2">
      <c r="B23" s="5"/>
      <c r="C23" s="5"/>
      <c r="D23" s="5"/>
      <c r="E23" s="5"/>
      <c r="F23" s="5"/>
      <c r="G23" s="5"/>
      <c r="H23" s="181"/>
      <c r="I23" s="181" t="str">
        <f t="shared" si="0"/>
        <v/>
      </c>
    </row>
    <row r="24" spans="2:9" ht="20.100000000000001" customHeight="1" x14ac:dyDescent="0.2">
      <c r="B24" s="263" t="s">
        <v>246</v>
      </c>
      <c r="C24" s="264"/>
      <c r="D24" s="264"/>
      <c r="E24" s="264"/>
      <c r="F24" s="264"/>
      <c r="G24" s="265"/>
      <c r="H24" s="247"/>
      <c r="I24" s="252">
        <f>SUM(I10:I23)</f>
        <v>0</v>
      </c>
    </row>
    <row r="25" spans="2:9" ht="17.100000000000001" customHeight="1" x14ac:dyDescent="0.2"/>
    <row r="26" spans="2:9" ht="17.100000000000001" customHeight="1" x14ac:dyDescent="0.2">
      <c r="B26" s="259" t="str">
        <f>'Fixed P&amp;Gs'!$B$44:$G$44</f>
        <v xml:space="preserve">NAILANA WS BoQ </v>
      </c>
      <c r="C26" s="259"/>
      <c r="D26" s="259"/>
      <c r="E26" s="259"/>
      <c r="F26" s="259"/>
      <c r="G26" s="259"/>
      <c r="H26" s="259"/>
      <c r="I26" s="82"/>
    </row>
  </sheetData>
  <sheetProtection algorithmName="SHA-512" hashValue="FHC2vw6Nnw1IU/09Phy6VxhnfOg2nrxP8CkD8DFIhMK2kAcbk/PVTR2AZy5L6uK9DY//CvQB+4sshg+awkcPDg==" saltValue="iE+ge9axTn31Uiko4zBhJA==" spinCount="100000" sheet="1" objects="1" scenarios="1" selectLockedCells="1"/>
  <mergeCells count="6">
    <mergeCell ref="G4:I4"/>
    <mergeCell ref="B4:F4"/>
    <mergeCell ref="B26:H26"/>
    <mergeCell ref="B2:F2"/>
    <mergeCell ref="B3:F3"/>
    <mergeCell ref="B24:G24"/>
  </mergeCells>
  <phoneticPr fontId="3" type="noConversion"/>
  <pageMargins left="0.25" right="0.25" top="0.75" bottom="0.75" header="0.3" footer="0.3"/>
  <pageSetup paperSize="9" scale="96" orientation="portrait" r:id="rId1"/>
  <headerFooter alignWithMargins="0">
    <oddHeader>&amp;CBoQ &amp;[6] of &amp;[17]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B1:N34"/>
  <sheetViews>
    <sheetView view="pageBreakPreview" topLeftCell="A13" zoomScale="96" zoomScaleNormal="100" zoomScaleSheetLayoutView="96" workbookViewId="0">
      <selection activeCell="I32" sqref="I32"/>
    </sheetView>
  </sheetViews>
  <sheetFormatPr defaultRowHeight="12.75" x14ac:dyDescent="0.2"/>
  <cols>
    <col min="1" max="1" width="1.7109375" customWidth="1"/>
    <col min="2" max="2" width="10.140625" customWidth="1"/>
    <col min="3" max="3" width="6.7109375" customWidth="1"/>
    <col min="4" max="4" width="8.7109375" customWidth="1"/>
    <col min="5" max="5" width="35.5703125" customWidth="1"/>
    <col min="6" max="7" width="8.7109375" customWidth="1"/>
    <col min="8" max="8" width="10.7109375" customWidth="1"/>
    <col min="9" max="9" width="12.7109375" customWidth="1"/>
    <col min="10" max="10" width="1.7109375" customWidth="1"/>
    <col min="12" max="12" width="10.7109375" customWidth="1"/>
    <col min="13" max="13" width="12.140625" customWidth="1"/>
  </cols>
  <sheetData>
    <row r="1" spans="2:14" ht="15" customHeight="1" x14ac:dyDescent="0.2">
      <c r="B1" s="72"/>
      <c r="C1" s="72"/>
      <c r="D1" s="72"/>
      <c r="E1" s="72"/>
      <c r="F1" s="72"/>
      <c r="G1" s="72"/>
      <c r="H1" s="72"/>
      <c r="I1" s="73"/>
      <c r="J1" s="74"/>
      <c r="L1" s="72"/>
      <c r="M1" s="72"/>
    </row>
    <row r="2" spans="2:14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260"/>
      <c r="G2" s="80"/>
      <c r="H2" s="80"/>
      <c r="I2" s="80" t="str">
        <f>'Fixed P&amp;Gs'!H1</f>
        <v>ORB.NAIL.2021</v>
      </c>
      <c r="L2" s="80"/>
      <c r="M2" s="80"/>
    </row>
    <row r="3" spans="2:14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261"/>
      <c r="G3" s="80"/>
      <c r="H3" s="80"/>
      <c r="I3" s="80"/>
      <c r="L3" s="80"/>
      <c r="M3" s="80"/>
    </row>
    <row r="4" spans="2:14" ht="18" customHeight="1" x14ac:dyDescent="0.2">
      <c r="B4" s="270" t="str">
        <f>'Fixed P&amp;Gs'!B4</f>
        <v>NAILANA VILLAGE WATER SUPPLY</v>
      </c>
      <c r="C4" s="270"/>
      <c r="D4" s="270"/>
      <c r="E4" s="270"/>
      <c r="F4" s="270"/>
      <c r="G4" s="269" t="str">
        <f>'Fixed P&amp;Gs'!F4</f>
        <v>CONTRACT No:INF-W06/2022/2023</v>
      </c>
      <c r="H4" s="269"/>
      <c r="I4" s="269"/>
    </row>
    <row r="5" spans="2:14" ht="18" customHeight="1" x14ac:dyDescent="0.2">
      <c r="B5" s="41" t="s">
        <v>425</v>
      </c>
      <c r="C5" s="125"/>
      <c r="D5" s="42"/>
      <c r="E5" s="43"/>
      <c r="F5" s="44"/>
      <c r="G5" s="44"/>
      <c r="H5" s="44"/>
      <c r="I5" s="113"/>
    </row>
    <row r="6" spans="2:14" ht="18" customHeight="1" x14ac:dyDescent="0.2">
      <c r="B6" s="46" t="s">
        <v>239</v>
      </c>
      <c r="C6" s="47"/>
      <c r="D6" s="47"/>
      <c r="E6" s="48"/>
      <c r="F6" s="47"/>
      <c r="G6" s="49"/>
      <c r="H6" s="49"/>
      <c r="I6" s="49"/>
    </row>
    <row r="7" spans="2:14" ht="4.9000000000000004" customHeight="1" x14ac:dyDescent="0.2">
      <c r="B7" s="1"/>
      <c r="C7" s="1"/>
      <c r="D7" s="1"/>
    </row>
    <row r="8" spans="2:14" ht="25.15" customHeight="1" x14ac:dyDescent="0.2">
      <c r="B8" s="51" t="s">
        <v>238</v>
      </c>
      <c r="C8" s="51" t="s">
        <v>573</v>
      </c>
      <c r="D8" s="51" t="s">
        <v>237</v>
      </c>
      <c r="E8" s="52" t="s">
        <v>1</v>
      </c>
      <c r="F8" s="52" t="s">
        <v>2</v>
      </c>
      <c r="G8" s="52" t="s">
        <v>3</v>
      </c>
      <c r="H8" s="52" t="s">
        <v>4</v>
      </c>
      <c r="I8" s="52" t="s">
        <v>5</v>
      </c>
    </row>
    <row r="9" spans="2:14" ht="18" customHeight="1" x14ac:dyDescent="0.2">
      <c r="B9" s="6" t="s">
        <v>52</v>
      </c>
      <c r="C9" s="6"/>
      <c r="D9" s="4"/>
      <c r="E9" s="18" t="s">
        <v>96</v>
      </c>
      <c r="F9" s="18"/>
      <c r="G9" s="18"/>
      <c r="H9" s="103"/>
      <c r="I9" s="103"/>
    </row>
    <row r="10" spans="2:14" s="7" customFormat="1" ht="25.15" customHeight="1" x14ac:dyDescent="0.2">
      <c r="B10" s="19"/>
      <c r="C10" s="19"/>
      <c r="D10" s="19"/>
      <c r="E10" s="9" t="s">
        <v>97</v>
      </c>
      <c r="F10" s="8"/>
      <c r="G10" s="8"/>
      <c r="H10" s="104"/>
      <c r="I10" s="104"/>
      <c r="L10"/>
      <c r="M10"/>
      <c r="N10"/>
    </row>
    <row r="11" spans="2:14" s="2" customFormat="1" ht="18" customHeight="1" x14ac:dyDescent="0.2">
      <c r="B11" s="10"/>
      <c r="C11" s="10"/>
      <c r="D11" s="10"/>
      <c r="E11" s="17"/>
      <c r="F11" s="12"/>
      <c r="G11" s="12"/>
      <c r="H11" s="105"/>
      <c r="I11" s="105"/>
      <c r="L11"/>
      <c r="M11"/>
      <c r="N11"/>
    </row>
    <row r="12" spans="2:14" s="2" customFormat="1" ht="18" customHeight="1" x14ac:dyDescent="0.2">
      <c r="B12" s="15">
        <v>1.1000000000000001</v>
      </c>
      <c r="C12" s="15"/>
      <c r="D12" s="10"/>
      <c r="E12" s="60" t="s">
        <v>99</v>
      </c>
      <c r="F12" s="10"/>
      <c r="G12" s="11"/>
      <c r="H12" s="105"/>
      <c r="I12" s="179"/>
      <c r="L12"/>
      <c r="M12"/>
      <c r="N12"/>
    </row>
    <row r="13" spans="2:14" s="2" customFormat="1" ht="23.85" customHeight="1" x14ac:dyDescent="0.2">
      <c r="B13" s="10" t="s">
        <v>47</v>
      </c>
      <c r="C13" s="10"/>
      <c r="D13" s="10" t="s">
        <v>256</v>
      </c>
      <c r="E13" s="24" t="s">
        <v>444</v>
      </c>
      <c r="F13" s="10" t="s">
        <v>105</v>
      </c>
      <c r="G13" s="61">
        <f>SUM(Pipelines1!G14:G18)</f>
        <v>29200</v>
      </c>
      <c r="H13" s="182"/>
      <c r="I13" s="179"/>
      <c r="L13"/>
      <c r="M13"/>
      <c r="N13"/>
    </row>
    <row r="14" spans="2:14" s="2" customFormat="1" ht="23.85" customHeight="1" x14ac:dyDescent="0.2">
      <c r="B14" s="10" t="s">
        <v>48</v>
      </c>
      <c r="C14" s="10"/>
      <c r="D14" s="10" t="s">
        <v>257</v>
      </c>
      <c r="E14" s="27" t="s">
        <v>249</v>
      </c>
      <c r="F14" s="10" t="s">
        <v>255</v>
      </c>
      <c r="G14" s="61">
        <f>ROUND(G13/2500,0)</f>
        <v>12</v>
      </c>
      <c r="H14" s="182"/>
      <c r="I14" s="179"/>
      <c r="L14"/>
      <c r="M14"/>
      <c r="N14"/>
    </row>
    <row r="15" spans="2:14" s="2" customFormat="1" ht="23.85" customHeight="1" x14ac:dyDescent="0.2">
      <c r="B15" s="10" t="s">
        <v>247</v>
      </c>
      <c r="C15" s="10"/>
      <c r="D15" s="10" t="s">
        <v>258</v>
      </c>
      <c r="E15" s="27" t="s">
        <v>445</v>
      </c>
      <c r="F15" s="10" t="s">
        <v>118</v>
      </c>
      <c r="G15" s="61">
        <f>G13*0.8*0.15</f>
        <v>3504</v>
      </c>
      <c r="H15" s="182"/>
      <c r="I15" s="179"/>
      <c r="J15" s="109"/>
      <c r="K15" s="109"/>
      <c r="L15"/>
      <c r="M15"/>
      <c r="N15"/>
    </row>
    <row r="16" spans="2:14" s="2" customFormat="1" ht="23.85" customHeight="1" x14ac:dyDescent="0.2">
      <c r="B16" s="10" t="s">
        <v>248</v>
      </c>
      <c r="C16" s="15" t="s">
        <v>573</v>
      </c>
      <c r="D16" s="15"/>
      <c r="E16" s="24" t="s">
        <v>107</v>
      </c>
      <c r="F16" s="10" t="s">
        <v>106</v>
      </c>
      <c r="G16" s="61">
        <f>ROUND(G13/5000,0)</f>
        <v>6</v>
      </c>
      <c r="H16" s="182"/>
      <c r="I16" s="179"/>
      <c r="L16"/>
      <c r="M16"/>
      <c r="N16"/>
    </row>
    <row r="17" spans="2:14" s="2" customFormat="1" ht="23.85" customHeight="1" x14ac:dyDescent="0.2">
      <c r="B17" s="15"/>
      <c r="C17" s="15"/>
      <c r="D17" s="10"/>
      <c r="E17" s="23"/>
      <c r="F17" s="10"/>
      <c r="G17" s="61"/>
      <c r="H17" s="183"/>
      <c r="I17" s="179"/>
      <c r="L17"/>
      <c r="M17"/>
      <c r="N17"/>
    </row>
    <row r="18" spans="2:14" s="2" customFormat="1" ht="18" customHeight="1" x14ac:dyDescent="0.2">
      <c r="B18" s="15">
        <v>1.2</v>
      </c>
      <c r="C18" s="15"/>
      <c r="D18" s="10" t="s">
        <v>371</v>
      </c>
      <c r="E18" s="23" t="s">
        <v>101</v>
      </c>
      <c r="F18" s="10"/>
      <c r="G18" s="61"/>
      <c r="H18" s="182"/>
      <c r="I18" s="179"/>
      <c r="L18"/>
      <c r="M18"/>
      <c r="N18"/>
    </row>
    <row r="19" spans="2:14" s="2" customFormat="1" ht="34.5" customHeight="1" x14ac:dyDescent="0.2">
      <c r="B19" s="10" t="s">
        <v>8</v>
      </c>
      <c r="C19" s="10"/>
      <c r="D19" s="10"/>
      <c r="E19" s="27" t="s">
        <v>446</v>
      </c>
      <c r="F19" s="10" t="s">
        <v>105</v>
      </c>
      <c r="G19" s="61">
        <f>G13</f>
        <v>29200</v>
      </c>
      <c r="H19" s="182"/>
      <c r="I19" s="179"/>
      <c r="J19" s="109"/>
      <c r="K19" s="109"/>
      <c r="L19"/>
      <c r="M19"/>
      <c r="N19"/>
    </row>
    <row r="20" spans="2:14" s="2" customFormat="1" ht="35.1" customHeight="1" x14ac:dyDescent="0.2">
      <c r="B20" s="10" t="s">
        <v>9</v>
      </c>
      <c r="C20" s="10"/>
      <c r="D20" s="10"/>
      <c r="E20" s="27" t="s">
        <v>401</v>
      </c>
      <c r="F20" s="10" t="s">
        <v>105</v>
      </c>
      <c r="G20" s="61">
        <f>G19*0.05</f>
        <v>1460</v>
      </c>
      <c r="H20" s="182"/>
      <c r="I20" s="179"/>
      <c r="J20" s="109"/>
      <c r="K20" s="109"/>
      <c r="L20"/>
      <c r="M20"/>
      <c r="N20"/>
    </row>
    <row r="21" spans="2:14" s="2" customFormat="1" ht="34.5" customHeight="1" x14ac:dyDescent="0.2">
      <c r="B21" s="10" t="s">
        <v>17</v>
      </c>
      <c r="C21" s="10"/>
      <c r="D21" s="10"/>
      <c r="E21" s="27" t="s">
        <v>496</v>
      </c>
      <c r="F21" s="10" t="s">
        <v>106</v>
      </c>
      <c r="G21" s="61">
        <f>G19*0.025</f>
        <v>730</v>
      </c>
      <c r="H21" s="185"/>
      <c r="I21" s="179"/>
      <c r="L21"/>
      <c r="M21"/>
      <c r="N21"/>
    </row>
    <row r="22" spans="2:14" s="2" customFormat="1" ht="34.5" customHeight="1" x14ac:dyDescent="0.2">
      <c r="B22" s="10" t="s">
        <v>236</v>
      </c>
      <c r="C22" s="10"/>
      <c r="D22" s="10"/>
      <c r="E22" s="27" t="s">
        <v>497</v>
      </c>
      <c r="F22" s="10" t="s">
        <v>106</v>
      </c>
      <c r="G22" s="121">
        <f>G19*0.8*0.25</f>
        <v>5840</v>
      </c>
      <c r="H22" s="216"/>
      <c r="I22" s="217"/>
      <c r="J22" s="109"/>
      <c r="K22" s="109"/>
      <c r="L22"/>
      <c r="M22"/>
      <c r="N22"/>
    </row>
    <row r="23" spans="2:14" s="2" customFormat="1" ht="34.5" customHeight="1" x14ac:dyDescent="0.2">
      <c r="B23" s="10" t="s">
        <v>251</v>
      </c>
      <c r="C23" s="10"/>
      <c r="D23" s="10"/>
      <c r="E23" s="27" t="s">
        <v>103</v>
      </c>
      <c r="F23" s="10" t="s">
        <v>106</v>
      </c>
      <c r="G23" s="61">
        <f>G19*0.15*0.8*0.5</f>
        <v>1752</v>
      </c>
      <c r="H23" s="185"/>
      <c r="I23" s="179"/>
      <c r="J23" s="109"/>
      <c r="K23" s="109"/>
      <c r="L23"/>
      <c r="M23"/>
      <c r="N23"/>
    </row>
    <row r="24" spans="2:14" s="2" customFormat="1" ht="18" customHeight="1" x14ac:dyDescent="0.2">
      <c r="B24" s="10" t="s">
        <v>252</v>
      </c>
      <c r="C24" s="10"/>
      <c r="D24" s="10"/>
      <c r="E24" s="25" t="s">
        <v>104</v>
      </c>
      <c r="F24" s="10" t="s">
        <v>106</v>
      </c>
      <c r="G24" s="61">
        <f>G19*0.15*0.8*0.1</f>
        <v>350.40000000000003</v>
      </c>
      <c r="H24" s="185"/>
      <c r="I24" s="179"/>
      <c r="L24"/>
      <c r="M24"/>
      <c r="N24"/>
    </row>
    <row r="25" spans="2:14" s="2" customFormat="1" ht="23.85" customHeight="1" x14ac:dyDescent="0.2">
      <c r="B25" s="10"/>
      <c r="C25" s="10"/>
      <c r="D25" s="10"/>
      <c r="E25" s="25"/>
      <c r="F25" s="10"/>
      <c r="G25" s="61"/>
      <c r="H25" s="185"/>
      <c r="I25" s="179"/>
      <c r="L25"/>
      <c r="M25"/>
      <c r="N25"/>
    </row>
    <row r="26" spans="2:14" s="2" customFormat="1" ht="18" customHeight="1" x14ac:dyDescent="0.2">
      <c r="B26" s="15">
        <v>1.3</v>
      </c>
      <c r="C26" s="15" t="s">
        <v>573</v>
      </c>
      <c r="D26" s="10" t="s">
        <v>371</v>
      </c>
      <c r="E26" s="23" t="s">
        <v>102</v>
      </c>
      <c r="F26" s="10"/>
      <c r="G26" s="61"/>
      <c r="H26" s="185"/>
      <c r="I26" s="179"/>
      <c r="L26"/>
      <c r="M26"/>
      <c r="N26"/>
    </row>
    <row r="27" spans="2:14" s="2" customFormat="1" ht="34.5" customHeight="1" x14ac:dyDescent="0.2">
      <c r="B27" s="10" t="s">
        <v>18</v>
      </c>
      <c r="C27" s="15" t="s">
        <v>573</v>
      </c>
      <c r="D27" s="10"/>
      <c r="E27" s="27" t="s">
        <v>259</v>
      </c>
      <c r="F27" s="10" t="s">
        <v>105</v>
      </c>
      <c r="G27" s="61">
        <f>G19</f>
        <v>29200</v>
      </c>
      <c r="H27" s="185"/>
      <c r="I27" s="179"/>
      <c r="J27" s="109"/>
      <c r="K27" s="109"/>
      <c r="L27"/>
      <c r="M27"/>
      <c r="N27"/>
    </row>
    <row r="28" spans="2:14" s="2" customFormat="1" ht="34.5" customHeight="1" x14ac:dyDescent="0.2">
      <c r="B28" s="10" t="s">
        <v>19</v>
      </c>
      <c r="C28" s="15" t="s">
        <v>573</v>
      </c>
      <c r="D28" s="10"/>
      <c r="E28" s="27" t="s">
        <v>260</v>
      </c>
      <c r="F28" s="10" t="s">
        <v>105</v>
      </c>
      <c r="G28" s="61">
        <f>G20</f>
        <v>1460</v>
      </c>
      <c r="H28" s="185"/>
      <c r="I28" s="179"/>
      <c r="J28" s="109"/>
      <c r="K28" s="109"/>
      <c r="L28"/>
      <c r="M28"/>
      <c r="N28"/>
    </row>
    <row r="29" spans="2:14" s="2" customFormat="1" ht="34.5" customHeight="1" x14ac:dyDescent="0.2">
      <c r="B29" s="10" t="s">
        <v>21</v>
      </c>
      <c r="C29" s="15" t="s">
        <v>573</v>
      </c>
      <c r="D29" s="10"/>
      <c r="E29" s="27" t="s">
        <v>498</v>
      </c>
      <c r="F29" s="10" t="s">
        <v>106</v>
      </c>
      <c r="G29" s="61">
        <f>G21</f>
        <v>730</v>
      </c>
      <c r="H29" s="185"/>
      <c r="I29" s="179"/>
      <c r="L29"/>
      <c r="M29"/>
      <c r="N29"/>
    </row>
    <row r="30" spans="2:14" s="2" customFormat="1" ht="34.5" customHeight="1" x14ac:dyDescent="0.2">
      <c r="B30" s="10" t="s">
        <v>22</v>
      </c>
      <c r="C30" s="15" t="s">
        <v>573</v>
      </c>
      <c r="D30" s="10"/>
      <c r="E30" s="27" t="s">
        <v>499</v>
      </c>
      <c r="F30" s="10" t="s">
        <v>106</v>
      </c>
      <c r="G30" s="61">
        <f>G23</f>
        <v>1752</v>
      </c>
      <c r="H30" s="185"/>
      <c r="I30" s="179"/>
      <c r="J30" s="109"/>
      <c r="K30" s="109"/>
      <c r="L30"/>
      <c r="M30"/>
      <c r="N30"/>
    </row>
    <row r="31" spans="2:14" s="2" customFormat="1" ht="23.85" customHeight="1" x14ac:dyDescent="0.2">
      <c r="B31" s="10"/>
      <c r="C31" s="10"/>
      <c r="D31" s="10"/>
      <c r="E31" s="27"/>
      <c r="F31" s="10"/>
      <c r="G31" s="61"/>
      <c r="H31" s="218"/>
      <c r="I31" s="86"/>
      <c r="L31"/>
      <c r="M31"/>
      <c r="N31"/>
    </row>
    <row r="32" spans="2:14" ht="20.100000000000001" customHeight="1" x14ac:dyDescent="0.2">
      <c r="B32" s="244" t="s">
        <v>276</v>
      </c>
      <c r="C32" s="245"/>
      <c r="D32" s="245"/>
      <c r="E32" s="245"/>
      <c r="F32" s="245"/>
      <c r="G32" s="245"/>
      <c r="H32" s="253"/>
      <c r="I32" s="248"/>
    </row>
    <row r="33" spans="2:9" ht="17.100000000000001" customHeight="1" x14ac:dyDescent="0.2"/>
    <row r="34" spans="2:9" ht="17.100000000000001" customHeight="1" x14ac:dyDescent="0.2">
      <c r="B34" s="259" t="str">
        <f>'Fixed P&amp;Gs'!$B$44:$G$44</f>
        <v xml:space="preserve">NAILANA WS BoQ </v>
      </c>
      <c r="C34" s="259"/>
      <c r="D34" s="259"/>
      <c r="E34" s="259"/>
      <c r="F34" s="259"/>
      <c r="G34" s="259"/>
      <c r="H34" s="259"/>
      <c r="I34" s="82"/>
    </row>
  </sheetData>
  <sheetProtection algorithmName="SHA-512" hashValue="TyfUjStbmB1Ro37UO9575TcyDT/3SHAWk6SjUBb69EzUrw4LTIDhPRjvkJ5yOM9JUr6UaOGb1sdF5npy1KuEWg==" saltValue="7XnAhPxsQy5cvvGs2sSOpg==" spinCount="100000" sheet="1" objects="1" scenarios="1" selectLockedCells="1"/>
  <mergeCells count="5">
    <mergeCell ref="G4:I4"/>
    <mergeCell ref="B4:F4"/>
    <mergeCell ref="B34:H34"/>
    <mergeCell ref="B2:F2"/>
    <mergeCell ref="B3:F3"/>
  </mergeCells>
  <phoneticPr fontId="3" type="noConversion"/>
  <pageMargins left="0.25" right="0.25" top="0.75" bottom="0.75" header="0.3" footer="0.3"/>
  <pageSetup paperSize="9" scale="94" orientation="portrait" r:id="rId1"/>
  <headerFooter alignWithMargins="0">
    <oddHeader>&amp;CBoQ &amp;[7] of &amp;[17]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B1:M36"/>
  <sheetViews>
    <sheetView view="pageBreakPreview" topLeftCell="A7" zoomScale="96" zoomScaleNormal="100" zoomScaleSheetLayoutView="96" workbookViewId="0">
      <selection activeCell="I22" sqref="I22"/>
    </sheetView>
  </sheetViews>
  <sheetFormatPr defaultRowHeight="12.75" x14ac:dyDescent="0.2"/>
  <cols>
    <col min="1" max="1" width="1.7109375" customWidth="1"/>
    <col min="2" max="2" width="7.28515625" customWidth="1"/>
    <col min="3" max="3" width="6.7109375" customWidth="1"/>
    <col min="4" max="4" width="8.7109375" customWidth="1"/>
    <col min="5" max="5" width="35.5703125" customWidth="1"/>
    <col min="6" max="7" width="8.7109375" customWidth="1"/>
    <col min="8" max="8" width="10.7109375" customWidth="1"/>
    <col min="9" max="9" width="15.42578125" customWidth="1"/>
    <col min="10" max="10" width="1.7109375" customWidth="1"/>
    <col min="12" max="12" width="10.7109375" customWidth="1"/>
    <col min="13" max="13" width="14.42578125" customWidth="1"/>
  </cols>
  <sheetData>
    <row r="1" spans="2:13" ht="15" customHeight="1" x14ac:dyDescent="0.2">
      <c r="B1" s="72"/>
      <c r="C1" s="72"/>
      <c r="D1" s="72"/>
      <c r="E1" s="72"/>
      <c r="F1" s="72"/>
      <c r="G1" s="72"/>
      <c r="H1" s="72"/>
      <c r="I1" s="73"/>
      <c r="J1" s="74"/>
      <c r="L1" s="72"/>
      <c r="M1" s="72"/>
    </row>
    <row r="2" spans="2:13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260"/>
      <c r="G2" s="80"/>
      <c r="H2" s="80"/>
      <c r="I2" s="80" t="str">
        <f>'Fixed P&amp;Gs'!H1</f>
        <v>ORB.NAIL.2021</v>
      </c>
      <c r="L2" s="80"/>
      <c r="M2" s="80"/>
    </row>
    <row r="3" spans="2:13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261"/>
      <c r="G3" s="80"/>
      <c r="H3" s="80"/>
      <c r="I3" s="80"/>
      <c r="L3" s="80"/>
      <c r="M3" s="80"/>
    </row>
    <row r="4" spans="2:13" ht="18" customHeight="1" x14ac:dyDescent="0.2">
      <c r="B4" s="260" t="str">
        <f>'Fixed P&amp;Gs'!B4</f>
        <v>NAILANA VILLAGE WATER SUPPLY</v>
      </c>
      <c r="C4" s="260"/>
      <c r="D4" s="260"/>
      <c r="E4" s="260"/>
      <c r="F4" s="260"/>
      <c r="G4" s="262" t="str">
        <f>'Fixed P&amp;Gs'!F4</f>
        <v>CONTRACT No:INF-W06/2022/2023</v>
      </c>
      <c r="H4" s="262"/>
      <c r="I4" s="262"/>
    </row>
    <row r="5" spans="2:13" ht="18" customHeight="1" x14ac:dyDescent="0.2">
      <c r="B5" s="41" t="s">
        <v>425</v>
      </c>
      <c r="C5" s="125"/>
      <c r="D5" s="42"/>
      <c r="E5" s="43"/>
      <c r="F5" s="44"/>
      <c r="G5" s="44"/>
      <c r="H5" s="44"/>
      <c r="I5" s="113"/>
      <c r="L5" s="7"/>
      <c r="M5" s="7"/>
    </row>
    <row r="6" spans="2:13" ht="18" customHeight="1" x14ac:dyDescent="0.2">
      <c r="B6" s="46" t="s">
        <v>239</v>
      </c>
      <c r="C6" s="47"/>
      <c r="D6" s="47"/>
      <c r="E6" s="48"/>
      <c r="F6" s="47"/>
      <c r="G6" s="49"/>
      <c r="H6" s="49"/>
      <c r="I6" s="49"/>
      <c r="L6" s="7"/>
      <c r="M6" s="7"/>
    </row>
    <row r="7" spans="2:13" ht="4.9000000000000004" customHeight="1" x14ac:dyDescent="0.2">
      <c r="B7" s="1"/>
      <c r="C7" s="1"/>
      <c r="D7" s="1"/>
      <c r="L7" s="7"/>
      <c r="M7" s="7"/>
    </row>
    <row r="8" spans="2:13" ht="25.15" customHeight="1" x14ac:dyDescent="0.2">
      <c r="B8" s="51" t="s">
        <v>238</v>
      </c>
      <c r="C8" s="51" t="s">
        <v>573</v>
      </c>
      <c r="D8" s="51" t="s">
        <v>237</v>
      </c>
      <c r="E8" s="52" t="s">
        <v>1</v>
      </c>
      <c r="F8" s="52" t="s">
        <v>2</v>
      </c>
      <c r="G8" s="52" t="s">
        <v>3</v>
      </c>
      <c r="H8" s="52" t="s">
        <v>4</v>
      </c>
      <c r="I8" s="52" t="s">
        <v>5</v>
      </c>
      <c r="L8" s="7"/>
      <c r="M8" s="7"/>
    </row>
    <row r="9" spans="2:13" ht="20.100000000000001" customHeight="1" x14ac:dyDescent="0.2">
      <c r="B9" s="271" t="s">
        <v>277</v>
      </c>
      <c r="C9" s="271"/>
      <c r="D9" s="271"/>
      <c r="E9" s="271"/>
      <c r="F9" s="271"/>
      <c r="G9" s="271"/>
      <c r="H9" s="271"/>
      <c r="I9" s="130">
        <f>Earthworks_Trench!I32</f>
        <v>0</v>
      </c>
      <c r="L9" s="7"/>
      <c r="M9" s="7"/>
    </row>
    <row r="10" spans="2:13" ht="18" customHeight="1" x14ac:dyDescent="0.2">
      <c r="B10" s="6" t="s">
        <v>52</v>
      </c>
      <c r="C10" s="6"/>
      <c r="D10" s="4"/>
      <c r="E10" s="18" t="s">
        <v>281</v>
      </c>
      <c r="F10" s="18"/>
      <c r="G10" s="18"/>
      <c r="H10" s="103"/>
      <c r="I10" s="219"/>
      <c r="L10" s="7"/>
      <c r="M10" s="7"/>
    </row>
    <row r="11" spans="2:13" s="7" customFormat="1" ht="25.15" customHeight="1" x14ac:dyDescent="0.2">
      <c r="B11" s="19"/>
      <c r="C11" s="19"/>
      <c r="D11" s="19"/>
      <c r="E11" s="9" t="s">
        <v>97</v>
      </c>
      <c r="F11" s="8"/>
      <c r="G11" s="8"/>
      <c r="H11" s="104"/>
      <c r="I11" s="220"/>
    </row>
    <row r="12" spans="2:13" s="7" customFormat="1" ht="18" customHeight="1" x14ac:dyDescent="0.2">
      <c r="B12" s="19"/>
      <c r="C12" s="19"/>
      <c r="D12" s="19"/>
      <c r="E12" s="9"/>
      <c r="F12" s="8"/>
      <c r="G12" s="8"/>
      <c r="H12" s="104"/>
      <c r="I12" s="220"/>
    </row>
    <row r="13" spans="2:13" s="7" customFormat="1" ht="18" customHeight="1" x14ac:dyDescent="0.2">
      <c r="B13" s="15">
        <v>1.4</v>
      </c>
      <c r="C13" s="15"/>
      <c r="D13" s="10" t="s">
        <v>372</v>
      </c>
      <c r="E13" s="23" t="s">
        <v>108</v>
      </c>
      <c r="F13" s="10"/>
      <c r="G13" s="11"/>
      <c r="H13" s="104"/>
      <c r="I13" s="220"/>
    </row>
    <row r="14" spans="2:13" s="7" customFormat="1" ht="34.5" customHeight="1" x14ac:dyDescent="0.2">
      <c r="B14" s="10" t="s">
        <v>253</v>
      </c>
      <c r="C14" s="15" t="s">
        <v>573</v>
      </c>
      <c r="D14" s="10"/>
      <c r="E14" s="28" t="s">
        <v>109</v>
      </c>
      <c r="F14" s="10" t="s">
        <v>106</v>
      </c>
      <c r="G14" s="13">
        <f>Earthworks_Trench!G13*0.8*0.85*1.05</f>
        <v>20848.8</v>
      </c>
      <c r="H14" s="185"/>
      <c r="I14" s="220"/>
      <c r="J14" s="110"/>
      <c r="K14" s="110"/>
    </row>
    <row r="15" spans="2:13" s="7" customFormat="1" ht="34.5" customHeight="1" x14ac:dyDescent="0.2">
      <c r="B15" s="10" t="s">
        <v>254</v>
      </c>
      <c r="C15" s="15" t="s">
        <v>573</v>
      </c>
      <c r="D15" s="10"/>
      <c r="E15" s="28" t="s">
        <v>441</v>
      </c>
      <c r="F15" s="10" t="s">
        <v>106</v>
      </c>
      <c r="G15" s="13">
        <f>Earthworks_Trench!G13*0.8*0.3*0.05</f>
        <v>350.40000000000003</v>
      </c>
      <c r="H15" s="185"/>
      <c r="I15" s="220"/>
    </row>
    <row r="16" spans="2:13" s="7" customFormat="1" ht="20.85" customHeight="1" x14ac:dyDescent="0.2">
      <c r="B16" s="19"/>
      <c r="C16" s="19"/>
      <c r="D16" s="19"/>
      <c r="E16" s="9"/>
      <c r="F16" s="8"/>
      <c r="G16" s="8"/>
      <c r="H16" s="185"/>
      <c r="I16" s="220"/>
    </row>
    <row r="17" spans="2:13" s="2" customFormat="1" ht="18" customHeight="1" x14ac:dyDescent="0.2">
      <c r="B17" s="15">
        <v>1.5</v>
      </c>
      <c r="C17" s="15"/>
      <c r="D17" s="37"/>
      <c r="E17" s="23" t="s">
        <v>100</v>
      </c>
      <c r="F17" s="10"/>
      <c r="G17" s="11"/>
      <c r="H17" s="185"/>
      <c r="I17" s="220"/>
      <c r="L17" s="7"/>
      <c r="M17" s="7"/>
    </row>
    <row r="18" spans="2:13" s="2" customFormat="1" ht="34.5" customHeight="1" x14ac:dyDescent="0.2">
      <c r="B18" s="10" t="s">
        <v>265</v>
      </c>
      <c r="C18" s="10"/>
      <c r="D18" s="10" t="s">
        <v>261</v>
      </c>
      <c r="E18" s="8" t="s">
        <v>110</v>
      </c>
      <c r="F18" s="10" t="s">
        <v>106</v>
      </c>
      <c r="G18" s="13">
        <f>G14*0.045*1.05</f>
        <v>985.10579999999993</v>
      </c>
      <c r="H18" s="185"/>
      <c r="I18" s="220"/>
      <c r="L18" s="7"/>
      <c r="M18" s="7"/>
    </row>
    <row r="19" spans="2:13" s="30" customFormat="1" ht="34.5" customHeight="1" x14ac:dyDescent="0.2">
      <c r="B19" s="10" t="s">
        <v>266</v>
      </c>
      <c r="C19" s="10"/>
      <c r="D19" s="19" t="s">
        <v>262</v>
      </c>
      <c r="E19" s="8" t="s">
        <v>111</v>
      </c>
      <c r="F19" s="10" t="s">
        <v>106</v>
      </c>
      <c r="G19" s="13">
        <f>G14*0.025*1.05</f>
        <v>547.28100000000006</v>
      </c>
      <c r="H19" s="185"/>
      <c r="I19" s="220"/>
      <c r="K19" s="31"/>
      <c r="L19" s="7"/>
      <c r="M19" s="7"/>
    </row>
    <row r="20" spans="2:13" ht="34.5" customHeight="1" x14ac:dyDescent="0.2">
      <c r="B20" s="10" t="s">
        <v>267</v>
      </c>
      <c r="C20" s="10"/>
      <c r="D20" s="10" t="s">
        <v>263</v>
      </c>
      <c r="E20" s="8" t="s">
        <v>112</v>
      </c>
      <c r="F20" s="10" t="s">
        <v>0</v>
      </c>
      <c r="G20" s="13">
        <v>1</v>
      </c>
      <c r="H20" s="185"/>
      <c r="I20" s="221">
        <f t="shared" ref="I20" si="0">H20*G20</f>
        <v>0</v>
      </c>
      <c r="K20" s="3"/>
      <c r="L20" s="7"/>
      <c r="M20" s="7"/>
    </row>
    <row r="21" spans="2:13" ht="34.5" customHeight="1" x14ac:dyDescent="0.2">
      <c r="B21" s="10" t="s">
        <v>268</v>
      </c>
      <c r="C21" s="10"/>
      <c r="D21" s="10" t="s">
        <v>264</v>
      </c>
      <c r="E21" s="8" t="s">
        <v>114</v>
      </c>
      <c r="F21" s="10" t="s">
        <v>106</v>
      </c>
      <c r="G21" s="13">
        <f>G15</f>
        <v>350.40000000000003</v>
      </c>
      <c r="H21" s="185"/>
      <c r="I21" s="220"/>
      <c r="K21" s="3"/>
      <c r="L21" s="7"/>
      <c r="M21" s="7"/>
    </row>
    <row r="22" spans="2:13" ht="34.5" customHeight="1" x14ac:dyDescent="0.2">
      <c r="B22" s="10" t="s">
        <v>269</v>
      </c>
      <c r="C22" s="10"/>
      <c r="D22" s="10" t="s">
        <v>264</v>
      </c>
      <c r="E22" s="8" t="s">
        <v>113</v>
      </c>
      <c r="F22" s="10" t="s">
        <v>106</v>
      </c>
      <c r="G22" s="13">
        <f>G21*0.6</f>
        <v>210.24</v>
      </c>
      <c r="H22" s="185"/>
      <c r="I22" s="220"/>
      <c r="J22" s="1"/>
      <c r="K22" s="3"/>
      <c r="L22" s="7"/>
      <c r="M22" s="7"/>
    </row>
    <row r="23" spans="2:13" ht="20.85" customHeight="1" x14ac:dyDescent="0.2">
      <c r="B23" s="10"/>
      <c r="C23" s="10"/>
      <c r="D23" s="10"/>
      <c r="E23" s="8"/>
      <c r="F23" s="10"/>
      <c r="G23" s="11"/>
      <c r="H23" s="185"/>
      <c r="I23" s="220"/>
      <c r="K23" s="3"/>
      <c r="L23" s="7"/>
      <c r="M23" s="7"/>
    </row>
    <row r="24" spans="2:13" ht="18" customHeight="1" x14ac:dyDescent="0.2">
      <c r="B24" s="15">
        <v>1.6</v>
      </c>
      <c r="C24" s="15"/>
      <c r="D24" s="10"/>
      <c r="E24" s="17" t="s">
        <v>115</v>
      </c>
      <c r="F24" s="10"/>
      <c r="G24" s="11"/>
      <c r="H24" s="185"/>
      <c r="I24" s="220"/>
      <c r="K24" s="3"/>
      <c r="L24" s="7"/>
      <c r="M24" s="7"/>
    </row>
    <row r="25" spans="2:13" ht="23.85" customHeight="1" x14ac:dyDescent="0.2">
      <c r="B25" s="10" t="s">
        <v>270</v>
      </c>
      <c r="C25" s="10"/>
      <c r="D25" s="10" t="s">
        <v>274</v>
      </c>
      <c r="E25" s="8" t="s">
        <v>116</v>
      </c>
      <c r="F25" s="10" t="s">
        <v>129</v>
      </c>
      <c r="G25" s="13">
        <f>ROUND(G19,0)</f>
        <v>547</v>
      </c>
      <c r="H25" s="185"/>
      <c r="I25" s="220"/>
      <c r="K25" s="3"/>
      <c r="L25" s="7"/>
      <c r="M25" s="7"/>
    </row>
    <row r="26" spans="2:13" ht="20.85" customHeight="1" x14ac:dyDescent="0.2">
      <c r="B26" s="15"/>
      <c r="C26" s="15"/>
      <c r="D26" s="10"/>
      <c r="E26" s="17"/>
      <c r="F26" s="10"/>
      <c r="G26" s="11"/>
      <c r="H26" s="185"/>
      <c r="I26" s="220"/>
      <c r="K26" s="3"/>
      <c r="L26" s="7"/>
      <c r="M26" s="7"/>
    </row>
    <row r="27" spans="2:13" ht="18" customHeight="1" x14ac:dyDescent="0.2">
      <c r="B27" s="15">
        <v>1.7</v>
      </c>
      <c r="C27" s="15"/>
      <c r="D27" s="10"/>
      <c r="E27" s="17" t="s">
        <v>117</v>
      </c>
      <c r="F27" s="10"/>
      <c r="G27" s="11"/>
      <c r="H27" s="185"/>
      <c r="I27" s="220"/>
      <c r="K27" s="3"/>
      <c r="L27" s="7"/>
      <c r="M27" s="7"/>
    </row>
    <row r="28" spans="2:13" ht="23.85" customHeight="1" x14ac:dyDescent="0.2">
      <c r="B28" s="10" t="s">
        <v>271</v>
      </c>
      <c r="C28" s="10" t="s">
        <v>573</v>
      </c>
      <c r="D28" s="10" t="s">
        <v>275</v>
      </c>
      <c r="E28" s="8" t="s">
        <v>280</v>
      </c>
      <c r="F28" s="10" t="s">
        <v>255</v>
      </c>
      <c r="G28" s="13">
        <f>ROUND(Earthworks_Trench!G13/2500,0)</f>
        <v>12</v>
      </c>
      <c r="H28" s="185"/>
      <c r="I28" s="220"/>
      <c r="L28" s="7"/>
      <c r="M28" s="7"/>
    </row>
    <row r="29" spans="2:13" ht="20.85" customHeight="1" x14ac:dyDescent="0.2">
      <c r="B29" s="22"/>
      <c r="C29" s="22"/>
      <c r="D29" s="10"/>
      <c r="E29" s="12"/>
      <c r="F29" s="22"/>
      <c r="G29" s="22"/>
      <c r="H29" s="185"/>
      <c r="I29" s="179"/>
      <c r="L29" s="7"/>
      <c r="M29" s="7"/>
    </row>
    <row r="30" spans="2:13" ht="18" customHeight="1" x14ac:dyDescent="0.2">
      <c r="B30" s="15">
        <v>1.8</v>
      </c>
      <c r="C30" s="15"/>
      <c r="D30" s="10"/>
      <c r="E30" s="60" t="s">
        <v>119</v>
      </c>
      <c r="F30" s="10"/>
      <c r="G30" s="11"/>
      <c r="H30" s="185"/>
      <c r="I30" s="179" t="str">
        <f>IF(G30="",IF(F30="","","Rate Only"),"")</f>
        <v/>
      </c>
      <c r="L30" s="7"/>
      <c r="M30" s="7"/>
    </row>
    <row r="31" spans="2:13" ht="23.85" customHeight="1" x14ac:dyDescent="0.2">
      <c r="B31" s="10" t="s">
        <v>272</v>
      </c>
      <c r="C31" s="10"/>
      <c r="D31" s="10" t="s">
        <v>279</v>
      </c>
      <c r="E31" s="12" t="s">
        <v>120</v>
      </c>
      <c r="F31" s="10" t="s">
        <v>118</v>
      </c>
      <c r="G31" s="11"/>
      <c r="H31" s="185"/>
      <c r="I31" s="179" t="str">
        <f>IF(G31="",IF(F31="","","Rate Only"),"")</f>
        <v>Rate Only</v>
      </c>
      <c r="L31" s="7"/>
      <c r="M31" s="7"/>
    </row>
    <row r="32" spans="2:13" ht="23.85" customHeight="1" x14ac:dyDescent="0.2">
      <c r="B32" s="10" t="s">
        <v>273</v>
      </c>
      <c r="C32" s="10" t="s">
        <v>573</v>
      </c>
      <c r="D32" s="37"/>
      <c r="E32" s="12" t="s">
        <v>278</v>
      </c>
      <c r="F32" s="10" t="s">
        <v>118</v>
      </c>
      <c r="G32" s="35">
        <f>Earthworks_Trench!G13*0.8*0.15*1.05</f>
        <v>3679.2000000000003</v>
      </c>
      <c r="H32" s="185"/>
      <c r="I32" s="179"/>
      <c r="J32" s="111"/>
      <c r="K32" s="111"/>
      <c r="L32" s="7"/>
      <c r="M32" s="7"/>
    </row>
    <row r="33" spans="2:13" ht="18" customHeight="1" x14ac:dyDescent="0.2">
      <c r="B33" s="22"/>
      <c r="C33" s="22"/>
      <c r="D33" s="22"/>
      <c r="E33" s="12"/>
      <c r="F33" s="10"/>
      <c r="G33" s="22"/>
      <c r="H33" s="201"/>
      <c r="I33" s="199"/>
      <c r="L33" s="7"/>
      <c r="M33" s="7"/>
    </row>
    <row r="34" spans="2:13" ht="20.100000000000001" customHeight="1" x14ac:dyDescent="0.2">
      <c r="B34" s="263" t="s">
        <v>250</v>
      </c>
      <c r="C34" s="264"/>
      <c r="D34" s="264"/>
      <c r="E34" s="264"/>
      <c r="F34" s="264"/>
      <c r="G34" s="265"/>
      <c r="H34" s="247"/>
      <c r="I34" s="252">
        <f>SUM(I9:I32)</f>
        <v>0</v>
      </c>
      <c r="L34" s="7"/>
      <c r="M34" s="7"/>
    </row>
    <row r="35" spans="2:13" ht="17.100000000000001" customHeight="1" x14ac:dyDescent="0.2"/>
    <row r="36" spans="2:13" ht="17.100000000000001" customHeight="1" x14ac:dyDescent="0.2">
      <c r="B36" s="259" t="str">
        <f>'Fixed P&amp;Gs'!$B$44:$G$44</f>
        <v xml:space="preserve">NAILANA WS BoQ </v>
      </c>
      <c r="C36" s="259"/>
      <c r="D36" s="259"/>
      <c r="E36" s="259"/>
      <c r="F36" s="259"/>
      <c r="G36" s="259"/>
      <c r="H36" s="259"/>
      <c r="I36" s="82"/>
    </row>
  </sheetData>
  <sheetProtection algorithmName="SHA-512" hashValue="UTT2HoKalE7eJSpFrWdss76dJbAlvVIeHhXybWVLJ6JyxqEZMumiWqBeCGDSXcTEaB2waVkE6CQwVMmQw9M66Q==" saltValue="SI1Waxg6XesHltCi42KNXA==" spinCount="100000" sheet="1" objects="1" scenarios="1" selectLockedCells="1"/>
  <mergeCells count="7">
    <mergeCell ref="B36:H36"/>
    <mergeCell ref="B2:F2"/>
    <mergeCell ref="B3:F3"/>
    <mergeCell ref="B9:H9"/>
    <mergeCell ref="G4:I4"/>
    <mergeCell ref="B4:F4"/>
    <mergeCell ref="B34:G34"/>
  </mergeCells>
  <phoneticPr fontId="3" type="noConversion"/>
  <pageMargins left="0.25" right="0.25" top="0.75" bottom="0.75" header="0.3" footer="0.3"/>
  <pageSetup paperSize="9" scale="94" orientation="portrait" r:id="rId1"/>
  <headerFooter alignWithMargins="0">
    <oddHeader>&amp;CBoQ &amp;[8] of &amp;[17]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B1:N28"/>
  <sheetViews>
    <sheetView view="pageBreakPreview" zoomScale="96" zoomScaleNormal="100" zoomScaleSheetLayoutView="96" workbookViewId="0">
      <selection activeCell="I26" sqref="I26"/>
    </sheetView>
  </sheetViews>
  <sheetFormatPr defaultRowHeight="12.75" x14ac:dyDescent="0.2"/>
  <cols>
    <col min="1" max="1" width="1.7109375" customWidth="1"/>
    <col min="2" max="2" width="7.42578125" customWidth="1"/>
    <col min="3" max="3" width="6.7109375" customWidth="1"/>
    <col min="4" max="4" width="8.7109375" customWidth="1"/>
    <col min="5" max="5" width="35.5703125" customWidth="1"/>
    <col min="6" max="7" width="8.7109375" customWidth="1"/>
    <col min="8" max="8" width="10.7109375" customWidth="1"/>
    <col min="9" max="9" width="12.7109375" customWidth="1"/>
    <col min="10" max="10" width="1.7109375" customWidth="1"/>
    <col min="12" max="12" width="10.7109375" customWidth="1"/>
    <col min="13" max="13" width="14.42578125" customWidth="1"/>
  </cols>
  <sheetData>
    <row r="1" spans="2:14" ht="15" customHeight="1" x14ac:dyDescent="0.2">
      <c r="B1" s="72"/>
      <c r="C1" s="72"/>
      <c r="D1" s="72"/>
      <c r="E1" s="72"/>
      <c r="F1" s="72"/>
      <c r="G1" s="72"/>
      <c r="H1" s="72"/>
      <c r="I1" s="73"/>
      <c r="J1" s="74"/>
      <c r="L1" s="72"/>
      <c r="M1" s="72"/>
    </row>
    <row r="2" spans="2:14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260"/>
      <c r="G2" s="80"/>
      <c r="H2" s="80"/>
      <c r="I2" s="80" t="str">
        <f>'Fixed P&amp;Gs'!H1</f>
        <v>ORB.NAIL.2021</v>
      </c>
      <c r="L2" s="80"/>
      <c r="M2" s="80"/>
    </row>
    <row r="3" spans="2:14" ht="18" customHeight="1" x14ac:dyDescent="0.2">
      <c r="B3" s="260" t="str">
        <f>'Fixed P&amp;Gs'!B3</f>
        <v xml:space="preserve">SCHEDULE OF QUANTITIES: </v>
      </c>
      <c r="C3" s="260"/>
      <c r="D3" s="260"/>
      <c r="E3" s="260"/>
      <c r="F3" s="260"/>
      <c r="G3" s="80"/>
      <c r="H3" s="80"/>
      <c r="I3" s="80"/>
      <c r="L3" s="80"/>
      <c r="M3" s="80"/>
    </row>
    <row r="4" spans="2:14" ht="18" customHeight="1" x14ac:dyDescent="0.2">
      <c r="B4" s="260" t="str">
        <f>'Fixed P&amp;Gs'!B4</f>
        <v>NAILANA VILLAGE WATER SUPPLY</v>
      </c>
      <c r="C4" s="260"/>
      <c r="D4" s="260"/>
      <c r="E4" s="260"/>
      <c r="F4" s="260"/>
      <c r="G4" s="262" t="str">
        <f>'Fixed P&amp;Gs'!F4</f>
        <v>CONTRACT No:INF-W06/2022/2023</v>
      </c>
      <c r="H4" s="262"/>
      <c r="I4" s="262"/>
      <c r="L4" s="80"/>
      <c r="M4" s="80"/>
      <c r="N4" s="80"/>
    </row>
    <row r="5" spans="2:14" ht="18" customHeight="1" x14ac:dyDescent="0.2">
      <c r="B5" s="41" t="s">
        <v>425</v>
      </c>
      <c r="C5" s="125"/>
      <c r="D5" s="42"/>
      <c r="E5" s="43"/>
      <c r="F5" s="44"/>
      <c r="G5" s="44"/>
      <c r="H5" s="44"/>
      <c r="I5" s="113"/>
      <c r="L5" s="80"/>
      <c r="M5" s="80"/>
      <c r="N5" s="80"/>
    </row>
    <row r="6" spans="2:14" ht="18" customHeight="1" x14ac:dyDescent="0.2">
      <c r="B6" s="46" t="s">
        <v>282</v>
      </c>
      <c r="C6" s="47"/>
      <c r="D6" s="47"/>
      <c r="E6" s="48"/>
      <c r="F6" s="47"/>
      <c r="G6" s="49"/>
      <c r="H6" s="49"/>
      <c r="I6" s="49"/>
      <c r="L6" s="80"/>
      <c r="M6" s="80"/>
      <c r="N6" s="80"/>
    </row>
    <row r="7" spans="2:14" ht="4.9000000000000004" customHeight="1" x14ac:dyDescent="0.2">
      <c r="B7" s="1"/>
      <c r="C7" s="1"/>
      <c r="D7" s="1"/>
      <c r="L7" s="80"/>
      <c r="M7" s="80"/>
      <c r="N7" s="80"/>
    </row>
    <row r="8" spans="2:14" ht="25.15" customHeight="1" x14ac:dyDescent="0.2">
      <c r="B8" s="51" t="s">
        <v>238</v>
      </c>
      <c r="C8" s="131" t="s">
        <v>573</v>
      </c>
      <c r="D8" s="51" t="s">
        <v>237</v>
      </c>
      <c r="E8" s="52" t="s">
        <v>1</v>
      </c>
      <c r="F8" s="52" t="s">
        <v>2</v>
      </c>
      <c r="G8" s="52" t="s">
        <v>3</v>
      </c>
      <c r="H8" s="52" t="s">
        <v>4</v>
      </c>
      <c r="I8" s="52" t="s">
        <v>5</v>
      </c>
      <c r="L8" s="80"/>
      <c r="M8" s="80"/>
      <c r="N8" s="80"/>
    </row>
    <row r="9" spans="2:14" ht="18" customHeight="1" x14ac:dyDescent="0.2">
      <c r="B9" s="6" t="s">
        <v>283</v>
      </c>
      <c r="C9" s="6"/>
      <c r="D9" s="4"/>
      <c r="E9" s="18" t="s">
        <v>122</v>
      </c>
      <c r="F9" s="18"/>
      <c r="G9" s="18"/>
      <c r="H9" s="103"/>
      <c r="I9" s="103"/>
      <c r="L9" s="80"/>
      <c r="M9" s="80"/>
      <c r="N9" s="80"/>
    </row>
    <row r="10" spans="2:14" s="7" customFormat="1" ht="25.15" customHeight="1" x14ac:dyDescent="0.2">
      <c r="B10" s="19"/>
      <c r="C10" s="132"/>
      <c r="D10" s="19"/>
      <c r="E10" s="9" t="s">
        <v>121</v>
      </c>
      <c r="F10" s="8"/>
      <c r="G10" s="8"/>
      <c r="H10" s="104"/>
      <c r="I10" s="104"/>
      <c r="L10" s="80"/>
      <c r="M10" s="80"/>
      <c r="N10" s="80"/>
    </row>
    <row r="11" spans="2:14" s="2" customFormat="1" ht="18" customHeight="1" x14ac:dyDescent="0.2">
      <c r="B11" s="10"/>
      <c r="C11" s="15"/>
      <c r="D11" s="10"/>
      <c r="E11" s="17"/>
      <c r="F11" s="12"/>
      <c r="G11" s="12"/>
      <c r="H11" s="105"/>
      <c r="I11" s="105"/>
      <c r="L11" s="80"/>
      <c r="M11" s="80"/>
      <c r="N11" s="80"/>
    </row>
    <row r="12" spans="2:14" s="2" customFormat="1" ht="18" customHeight="1" x14ac:dyDescent="0.2">
      <c r="B12" s="15">
        <v>2.1</v>
      </c>
      <c r="D12" s="10" t="s">
        <v>130</v>
      </c>
      <c r="E12" s="17" t="s">
        <v>123</v>
      </c>
      <c r="F12" s="12"/>
      <c r="G12" s="12"/>
      <c r="H12" s="105"/>
      <c r="I12" s="105"/>
      <c r="L12" s="80"/>
      <c r="M12" s="80"/>
      <c r="N12" s="80"/>
    </row>
    <row r="13" spans="2:14" s="2" customFormat="1" ht="25.15" customHeight="1" x14ac:dyDescent="0.2">
      <c r="B13" s="15"/>
      <c r="C13" s="15"/>
      <c r="D13" s="10"/>
      <c r="E13" s="9" t="s">
        <v>402</v>
      </c>
      <c r="F13" s="12"/>
      <c r="G13" s="12"/>
      <c r="H13" s="105"/>
      <c r="I13" s="179"/>
      <c r="L13" s="80"/>
      <c r="M13" s="80"/>
      <c r="N13" s="80"/>
    </row>
    <row r="14" spans="2:14" s="2" customFormat="1" ht="25.15" customHeight="1" x14ac:dyDescent="0.2">
      <c r="B14" s="10" t="s">
        <v>54</v>
      </c>
      <c r="C14" s="15" t="s">
        <v>573</v>
      </c>
      <c r="D14" s="10"/>
      <c r="E14" s="33" t="s">
        <v>124</v>
      </c>
      <c r="F14" s="10" t="s">
        <v>106</v>
      </c>
      <c r="G14" s="61">
        <f>Earthworks_Trench!G19*0.8*0.3</f>
        <v>7008</v>
      </c>
      <c r="H14" s="182"/>
      <c r="I14" s="179"/>
      <c r="L14" s="80"/>
      <c r="M14" s="80"/>
      <c r="N14" s="80"/>
    </row>
    <row r="15" spans="2:14" s="2" customFormat="1" ht="25.15" customHeight="1" x14ac:dyDescent="0.2">
      <c r="B15" s="10" t="s">
        <v>284</v>
      </c>
      <c r="C15" s="15" t="s">
        <v>573</v>
      </c>
      <c r="D15" s="10"/>
      <c r="E15" s="33" t="s">
        <v>125</v>
      </c>
      <c r="F15" s="10" t="s">
        <v>106</v>
      </c>
      <c r="G15" s="61">
        <f>G14*0.35</f>
        <v>2452.7999999999997</v>
      </c>
      <c r="H15" s="182"/>
      <c r="I15" s="179"/>
      <c r="L15" s="80"/>
      <c r="M15" s="80"/>
      <c r="N15" s="80"/>
    </row>
    <row r="16" spans="2:14" s="2" customFormat="1" ht="18" customHeight="1" x14ac:dyDescent="0.2">
      <c r="B16" s="15"/>
      <c r="C16" s="15"/>
      <c r="D16" s="10"/>
      <c r="E16" s="32"/>
      <c r="F16" s="10"/>
      <c r="G16" s="11"/>
      <c r="H16" s="182"/>
      <c r="I16" s="179"/>
      <c r="L16" s="80"/>
      <c r="M16" s="80"/>
      <c r="N16" s="80"/>
    </row>
    <row r="17" spans="2:14" s="2" customFormat="1" ht="18" customHeight="1" x14ac:dyDescent="0.2">
      <c r="B17" s="15">
        <v>2.2000000000000002</v>
      </c>
      <c r="C17" s="15"/>
      <c r="D17" s="10" t="s">
        <v>305</v>
      </c>
      <c r="E17" s="17" t="s">
        <v>126</v>
      </c>
      <c r="F17" s="10"/>
      <c r="G17" s="11"/>
      <c r="H17" s="182"/>
      <c r="I17" s="179"/>
      <c r="L17" s="80"/>
      <c r="M17" s="80"/>
      <c r="N17" s="80"/>
    </row>
    <row r="18" spans="2:14" s="2" customFormat="1" ht="25.15" customHeight="1" x14ac:dyDescent="0.2">
      <c r="B18" s="15"/>
      <c r="C18" s="15"/>
      <c r="D18" s="10"/>
      <c r="E18" s="9" t="s">
        <v>402</v>
      </c>
      <c r="F18" s="10"/>
      <c r="G18" s="11"/>
      <c r="H18" s="182"/>
      <c r="I18" s="179"/>
      <c r="L18" s="80"/>
      <c r="M18" s="80"/>
      <c r="N18" s="80"/>
    </row>
    <row r="19" spans="2:14" s="2" customFormat="1" ht="25.15" customHeight="1" x14ac:dyDescent="0.2">
      <c r="B19" s="10" t="s">
        <v>55</v>
      </c>
      <c r="C19" s="15"/>
      <c r="D19" s="10"/>
      <c r="E19" s="33" t="s">
        <v>127</v>
      </c>
      <c r="F19" s="10" t="s">
        <v>106</v>
      </c>
      <c r="G19" s="11">
        <f>ROUND(G14*0.25,0)</f>
        <v>1752</v>
      </c>
      <c r="H19" s="182"/>
      <c r="I19" s="179"/>
      <c r="L19" s="80"/>
      <c r="M19" s="80"/>
      <c r="N19" s="80"/>
    </row>
    <row r="20" spans="2:14" s="2" customFormat="1" ht="25.15" customHeight="1" x14ac:dyDescent="0.2">
      <c r="B20" s="10" t="s">
        <v>56</v>
      </c>
      <c r="C20" s="15"/>
      <c r="D20" s="10"/>
      <c r="E20" s="33" t="s">
        <v>128</v>
      </c>
      <c r="F20" s="10" t="s">
        <v>106</v>
      </c>
      <c r="G20" s="11">
        <f>ROUND(G15*0.25,0)</f>
        <v>613</v>
      </c>
      <c r="H20" s="182"/>
      <c r="I20" s="179"/>
      <c r="L20" s="80"/>
      <c r="M20" s="80"/>
      <c r="N20" s="80"/>
    </row>
    <row r="21" spans="2:14" s="2" customFormat="1" ht="18" customHeight="1" x14ac:dyDescent="0.2">
      <c r="B21" s="10"/>
      <c r="C21" s="15"/>
      <c r="D21" s="10"/>
      <c r="E21" s="32"/>
      <c r="F21" s="10"/>
      <c r="G21" s="11"/>
      <c r="H21" s="182"/>
      <c r="I21" s="179"/>
      <c r="L21" s="80"/>
      <c r="M21" s="80"/>
      <c r="N21" s="80"/>
    </row>
    <row r="22" spans="2:14" s="2" customFormat="1" ht="18" customHeight="1" x14ac:dyDescent="0.2">
      <c r="B22" s="10"/>
      <c r="C22" s="10"/>
      <c r="D22" s="10"/>
      <c r="E22" s="27"/>
      <c r="F22" s="10"/>
      <c r="G22" s="11"/>
      <c r="H22" s="105"/>
      <c r="I22" s="179"/>
      <c r="L22" s="80"/>
      <c r="M22" s="80"/>
      <c r="N22" s="80"/>
    </row>
    <row r="23" spans="2:14" s="2" customFormat="1" ht="18" customHeight="1" x14ac:dyDescent="0.2">
      <c r="B23" s="15"/>
      <c r="C23" s="15"/>
      <c r="D23" s="10"/>
      <c r="E23" s="29"/>
      <c r="F23" s="10"/>
      <c r="G23" s="11"/>
      <c r="H23" s="105"/>
      <c r="I23" s="179"/>
      <c r="L23" s="80"/>
      <c r="M23" s="80"/>
      <c r="N23" s="80"/>
    </row>
    <row r="24" spans="2:14" s="2" customFormat="1" ht="28.35" customHeight="1" x14ac:dyDescent="0.2">
      <c r="B24" s="10"/>
      <c r="C24" s="10"/>
      <c r="D24" s="10"/>
      <c r="E24" s="28"/>
      <c r="F24" s="10"/>
      <c r="G24" s="11"/>
      <c r="H24" s="105"/>
      <c r="I24" s="179"/>
      <c r="L24"/>
      <c r="M24" s="101"/>
    </row>
    <row r="25" spans="2:14" ht="18" customHeight="1" x14ac:dyDescent="0.2">
      <c r="B25" s="5"/>
      <c r="C25" s="5"/>
      <c r="D25" s="5"/>
      <c r="E25" s="5"/>
      <c r="F25" s="5"/>
      <c r="G25" s="5"/>
      <c r="H25" s="181"/>
      <c r="I25" s="181"/>
    </row>
    <row r="26" spans="2:14" ht="20.100000000000001" customHeight="1" x14ac:dyDescent="0.2">
      <c r="B26" s="266" t="s">
        <v>285</v>
      </c>
      <c r="C26" s="267"/>
      <c r="D26" s="267"/>
      <c r="E26" s="267"/>
      <c r="F26" s="267"/>
      <c r="G26" s="268"/>
      <c r="H26" s="247"/>
      <c r="I26" s="248"/>
    </row>
    <row r="27" spans="2:14" ht="17.100000000000001" customHeight="1" x14ac:dyDescent="0.2"/>
    <row r="28" spans="2:14" ht="17.100000000000001" customHeight="1" x14ac:dyDescent="0.2">
      <c r="B28" s="259" t="str">
        <f>'Fixed P&amp;Gs'!$B$44:$G$44</f>
        <v xml:space="preserve">NAILANA WS BoQ </v>
      </c>
      <c r="C28" s="259"/>
      <c r="D28" s="259"/>
      <c r="E28" s="259"/>
      <c r="F28" s="259"/>
      <c r="G28" s="259"/>
      <c r="H28" s="259"/>
      <c r="I28" s="82"/>
    </row>
  </sheetData>
  <sheetProtection algorithmName="SHA-512" hashValue="TV2F7jiJBrhHmoomzOh7eAx79FMYv59NuOdcy+/VqXxXcIxd9BOgiuEO5dR0qc8rH56Q1feeRsdX7VkdBfoiOg==" saltValue="+McwXf7bPuAo7LAJn8Hz8A==" spinCount="100000" sheet="1" objects="1" scenarios="1" selectLockedCells="1"/>
  <mergeCells count="6">
    <mergeCell ref="G4:I4"/>
    <mergeCell ref="B4:F4"/>
    <mergeCell ref="B28:H28"/>
    <mergeCell ref="B2:F2"/>
    <mergeCell ref="B3:F3"/>
    <mergeCell ref="B26:G26"/>
  </mergeCells>
  <phoneticPr fontId="3" type="noConversion"/>
  <pageMargins left="0.25" right="0.25" top="0.75" bottom="0.75" header="0.3" footer="0.3"/>
  <pageSetup paperSize="9" scale="98" orientation="portrait" r:id="rId1"/>
  <headerFooter alignWithMargins="0">
    <oddHeader>&amp;CBoQ&amp;[9] of &amp;[17]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B1:Q44"/>
  <sheetViews>
    <sheetView view="pageBreakPreview" topLeftCell="A19" zoomScale="120" zoomScaleNormal="100" zoomScaleSheetLayoutView="120" workbookViewId="0">
      <selection activeCell="H39" sqref="H39"/>
    </sheetView>
  </sheetViews>
  <sheetFormatPr defaultRowHeight="12.75" x14ac:dyDescent="0.2"/>
  <cols>
    <col min="1" max="1" width="1.7109375" customWidth="1"/>
    <col min="2" max="3" width="6.7109375" customWidth="1"/>
    <col min="4" max="4" width="8.7109375" customWidth="1"/>
    <col min="5" max="5" width="35.5703125" customWidth="1"/>
    <col min="6" max="7" width="8.7109375" customWidth="1"/>
    <col min="8" max="8" width="10.7109375" customWidth="1"/>
    <col min="9" max="9" width="15" customWidth="1"/>
    <col min="10" max="10" width="1.7109375" customWidth="1"/>
    <col min="12" max="12" width="10.7109375" customWidth="1"/>
    <col min="13" max="13" width="12.7109375" customWidth="1"/>
  </cols>
  <sheetData>
    <row r="1" spans="2:17" ht="15" customHeight="1" x14ac:dyDescent="0.2">
      <c r="B1" s="72"/>
      <c r="C1" s="72"/>
      <c r="D1" s="72"/>
      <c r="E1" s="72"/>
      <c r="F1" s="72"/>
      <c r="G1" s="72"/>
      <c r="H1" s="72"/>
      <c r="I1" s="73"/>
      <c r="J1" s="74"/>
      <c r="L1" s="72"/>
      <c r="M1" s="73"/>
    </row>
    <row r="2" spans="2:17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260"/>
      <c r="G2" s="80"/>
      <c r="H2" s="80"/>
      <c r="I2" s="80" t="str">
        <f>'Fixed P&amp;Gs'!H1</f>
        <v>ORB.NAIL.2021</v>
      </c>
      <c r="L2" s="80"/>
      <c r="M2" s="80"/>
    </row>
    <row r="3" spans="2:17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261"/>
      <c r="G3" s="80"/>
      <c r="H3" s="80"/>
      <c r="I3" s="80"/>
      <c r="L3" s="80"/>
      <c r="M3" s="80"/>
    </row>
    <row r="4" spans="2:17" ht="18" customHeight="1" x14ac:dyDescent="0.2">
      <c r="B4" s="260" t="str">
        <f>'Fixed P&amp;Gs'!B4</f>
        <v>NAILANA VILLAGE WATER SUPPLY</v>
      </c>
      <c r="C4" s="260"/>
      <c r="D4" s="260"/>
      <c r="E4" s="260"/>
      <c r="F4" s="260"/>
      <c r="G4" s="262" t="str">
        <f>'Fixed P&amp;Gs'!F4</f>
        <v>CONTRACT No:INF-W06/2022/2023</v>
      </c>
      <c r="H4" s="262"/>
      <c r="I4" s="262"/>
    </row>
    <row r="5" spans="2:17" ht="18" customHeight="1" x14ac:dyDescent="0.2">
      <c r="B5" s="41" t="s">
        <v>425</v>
      </c>
      <c r="C5" s="125"/>
      <c r="D5" s="42"/>
      <c r="E5" s="43"/>
      <c r="F5" s="44"/>
      <c r="G5" s="44"/>
      <c r="H5" s="44"/>
      <c r="I5" s="113"/>
    </row>
    <row r="6" spans="2:17" ht="18" customHeight="1" x14ac:dyDescent="0.2">
      <c r="B6" s="46" t="s">
        <v>286</v>
      </c>
      <c r="C6" s="47"/>
      <c r="D6" s="47"/>
      <c r="E6" s="48"/>
      <c r="F6" s="47"/>
      <c r="G6" s="49"/>
      <c r="H6" s="49"/>
      <c r="I6" s="49"/>
    </row>
    <row r="7" spans="2:17" ht="4.9000000000000004" customHeight="1" x14ac:dyDescent="0.2">
      <c r="B7" s="1"/>
      <c r="C7" s="1"/>
      <c r="D7" s="1"/>
    </row>
    <row r="8" spans="2:17" ht="25.15" customHeight="1" x14ac:dyDescent="0.2">
      <c r="B8" s="51" t="s">
        <v>238</v>
      </c>
      <c r="C8" s="51" t="s">
        <v>573</v>
      </c>
      <c r="D8" s="51" t="s">
        <v>237</v>
      </c>
      <c r="E8" s="53" t="s">
        <v>1</v>
      </c>
      <c r="F8" s="52" t="s">
        <v>2</v>
      </c>
      <c r="G8" s="52" t="s">
        <v>3</v>
      </c>
      <c r="H8" s="52" t="s">
        <v>4</v>
      </c>
      <c r="I8" s="52" t="s">
        <v>5</v>
      </c>
    </row>
    <row r="9" spans="2:17" ht="18" customHeight="1" x14ac:dyDescent="0.2">
      <c r="B9" s="6" t="s">
        <v>287</v>
      </c>
      <c r="C9" s="6"/>
      <c r="D9" s="4"/>
      <c r="E9" s="18" t="s">
        <v>132</v>
      </c>
      <c r="F9" s="18"/>
      <c r="G9" s="18"/>
      <c r="H9" s="103"/>
      <c r="I9" s="103"/>
    </row>
    <row r="10" spans="2:17" s="7" customFormat="1" ht="25.15" customHeight="1" x14ac:dyDescent="0.2">
      <c r="B10" s="19"/>
      <c r="C10" s="19"/>
      <c r="D10" s="19"/>
      <c r="E10" s="9" t="s">
        <v>131</v>
      </c>
      <c r="F10" s="8"/>
      <c r="G10" s="8"/>
      <c r="H10" s="104"/>
      <c r="I10" s="104"/>
      <c r="L10"/>
      <c r="M10"/>
      <c r="N10"/>
      <c r="O10"/>
    </row>
    <row r="11" spans="2:17" s="2" customFormat="1" ht="15" customHeight="1" x14ac:dyDescent="0.2">
      <c r="B11" s="10"/>
      <c r="C11" s="10"/>
      <c r="D11" s="10"/>
      <c r="E11" s="17"/>
      <c r="F11" s="12"/>
      <c r="G11" s="12"/>
      <c r="H11" s="105"/>
      <c r="I11" s="105"/>
      <c r="L11"/>
      <c r="M11"/>
      <c r="N11"/>
      <c r="O11"/>
    </row>
    <row r="12" spans="2:17" s="2" customFormat="1" ht="18" customHeight="1" x14ac:dyDescent="0.2">
      <c r="B12" s="15">
        <v>3.1</v>
      </c>
      <c r="C12" s="15" t="s">
        <v>573</v>
      </c>
      <c r="D12" s="10" t="s">
        <v>130</v>
      </c>
      <c r="E12" s="17" t="s">
        <v>133</v>
      </c>
      <c r="F12" s="12"/>
      <c r="G12" s="12"/>
      <c r="H12" s="105"/>
      <c r="I12" s="105"/>
      <c r="L12"/>
      <c r="M12"/>
      <c r="N12"/>
      <c r="O12"/>
    </row>
    <row r="13" spans="2:17" s="2" customFormat="1" ht="25.15" customHeight="1" x14ac:dyDescent="0.2">
      <c r="B13" s="15"/>
      <c r="C13" s="15"/>
      <c r="D13" s="10"/>
      <c r="E13" s="9" t="s">
        <v>134</v>
      </c>
      <c r="F13" s="12"/>
      <c r="G13" s="21"/>
      <c r="H13" s="105"/>
      <c r="I13" s="179"/>
      <c r="L13"/>
      <c r="M13"/>
      <c r="N13"/>
      <c r="O13"/>
    </row>
    <row r="14" spans="2:17" s="2" customFormat="1" ht="20.85" customHeight="1" x14ac:dyDescent="0.2">
      <c r="B14" s="10" t="s">
        <v>178</v>
      </c>
      <c r="C14" s="15" t="s">
        <v>573</v>
      </c>
      <c r="D14" s="10"/>
      <c r="E14" s="64" t="s">
        <v>531</v>
      </c>
      <c r="F14" s="39" t="s">
        <v>105</v>
      </c>
      <c r="G14" s="121">
        <v>20500</v>
      </c>
      <c r="H14" s="222"/>
      <c r="I14" s="217"/>
      <c r="J14" s="109"/>
      <c r="K14" s="109"/>
      <c r="L14"/>
      <c r="M14"/>
      <c r="N14"/>
      <c r="O14"/>
    </row>
    <row r="15" spans="2:17" s="2" customFormat="1" ht="20.85" customHeight="1" x14ac:dyDescent="0.2">
      <c r="B15" s="10" t="s">
        <v>179</v>
      </c>
      <c r="C15" s="15" t="s">
        <v>573</v>
      </c>
      <c r="D15" s="10"/>
      <c r="E15" s="36" t="s">
        <v>570</v>
      </c>
      <c r="F15" s="39" t="s">
        <v>105</v>
      </c>
      <c r="G15" s="121">
        <v>5500</v>
      </c>
      <c r="H15" s="222"/>
      <c r="I15" s="217"/>
      <c r="J15" s="109"/>
      <c r="K15" s="109"/>
      <c r="L15"/>
      <c r="M15"/>
      <c r="N15"/>
      <c r="O15"/>
      <c r="Q15" s="124"/>
    </row>
    <row r="16" spans="2:17" s="2" customFormat="1" ht="20.85" customHeight="1" x14ac:dyDescent="0.2">
      <c r="B16" s="10" t="s">
        <v>180</v>
      </c>
      <c r="C16" s="15" t="s">
        <v>573</v>
      </c>
      <c r="D16" s="10"/>
      <c r="E16" s="64" t="s">
        <v>561</v>
      </c>
      <c r="F16" s="39" t="s">
        <v>105</v>
      </c>
      <c r="G16" s="121">
        <v>3200</v>
      </c>
      <c r="H16" s="222"/>
      <c r="I16" s="217"/>
      <c r="J16" s="109"/>
      <c r="K16" s="109"/>
      <c r="L16"/>
      <c r="M16"/>
      <c r="N16"/>
      <c r="O16"/>
    </row>
    <row r="17" spans="2:15" s="2" customFormat="1" ht="23.85" hidden="1" customHeight="1" x14ac:dyDescent="0.2">
      <c r="B17" s="10" t="s">
        <v>292</v>
      </c>
      <c r="C17" s="10"/>
      <c r="D17" s="10"/>
      <c r="E17" s="64" t="s">
        <v>495</v>
      </c>
      <c r="F17" s="39" t="s">
        <v>105</v>
      </c>
      <c r="G17" s="61"/>
      <c r="H17" s="182"/>
      <c r="I17" s="179"/>
      <c r="L17"/>
      <c r="M17"/>
      <c r="N17"/>
      <c r="O17"/>
    </row>
    <row r="18" spans="2:15" s="2" customFormat="1" ht="23.85" hidden="1" customHeight="1" x14ac:dyDescent="0.2">
      <c r="B18" s="10" t="s">
        <v>362</v>
      </c>
      <c r="C18" s="10"/>
      <c r="D18" s="10"/>
      <c r="E18" s="64" t="s">
        <v>452</v>
      </c>
      <c r="F18" s="39" t="s">
        <v>105</v>
      </c>
      <c r="G18" s="61"/>
      <c r="H18" s="182"/>
      <c r="I18" s="179"/>
      <c r="L18"/>
      <c r="M18"/>
      <c r="N18"/>
      <c r="O18"/>
    </row>
    <row r="19" spans="2:15" s="2" customFormat="1" ht="20.85" customHeight="1" x14ac:dyDescent="0.2">
      <c r="B19" s="10"/>
      <c r="C19" s="10"/>
      <c r="D19" s="10"/>
      <c r="E19" s="36"/>
      <c r="F19" s="39"/>
      <c r="G19" s="61"/>
      <c r="H19" s="183"/>
      <c r="I19" s="179"/>
      <c r="L19"/>
      <c r="M19"/>
      <c r="N19"/>
      <c r="O19"/>
    </row>
    <row r="20" spans="2:15" s="2" customFormat="1" ht="23.85" customHeight="1" x14ac:dyDescent="0.2">
      <c r="B20" s="15">
        <v>3.2</v>
      </c>
      <c r="C20" s="15"/>
      <c r="D20" s="10" t="s">
        <v>305</v>
      </c>
      <c r="E20" s="65" t="s">
        <v>410</v>
      </c>
      <c r="F20" s="39"/>
      <c r="G20" s="61"/>
      <c r="H20" s="182"/>
      <c r="I20" s="179"/>
      <c r="L20"/>
      <c r="M20"/>
      <c r="N20"/>
      <c r="O20"/>
    </row>
    <row r="21" spans="2:15" s="2" customFormat="1" ht="20.85" customHeight="1" x14ac:dyDescent="0.2">
      <c r="B21" s="10"/>
      <c r="C21" s="10"/>
      <c r="D21" s="10"/>
      <c r="E21" s="66" t="s">
        <v>500</v>
      </c>
      <c r="F21" s="39"/>
      <c r="G21" s="61"/>
      <c r="H21" s="182"/>
      <c r="I21" s="179"/>
      <c r="L21"/>
      <c r="M21"/>
      <c r="N21"/>
      <c r="O21"/>
    </row>
    <row r="22" spans="2:15" s="2" customFormat="1" ht="20.85" customHeight="1" x14ac:dyDescent="0.2">
      <c r="B22" s="15" t="s">
        <v>186</v>
      </c>
      <c r="C22" s="15" t="s">
        <v>573</v>
      </c>
      <c r="D22" s="10"/>
      <c r="E22" s="65" t="s">
        <v>532</v>
      </c>
      <c r="F22" s="39"/>
      <c r="G22" s="61"/>
      <c r="H22" s="182"/>
      <c r="I22" s="179"/>
      <c r="L22"/>
      <c r="M22"/>
      <c r="N22"/>
      <c r="O22"/>
    </row>
    <row r="23" spans="2:15" s="2" customFormat="1" ht="20.85" customHeight="1" x14ac:dyDescent="0.2">
      <c r="B23" s="10" t="s">
        <v>289</v>
      </c>
      <c r="C23" s="15" t="s">
        <v>573</v>
      </c>
      <c r="D23" s="10"/>
      <c r="E23" s="36" t="s">
        <v>403</v>
      </c>
      <c r="F23" s="39" t="s">
        <v>255</v>
      </c>
      <c r="G23" s="61">
        <v>98</v>
      </c>
      <c r="H23" s="182"/>
      <c r="I23" s="179"/>
      <c r="L23"/>
      <c r="M23"/>
      <c r="N23"/>
      <c r="O23"/>
    </row>
    <row r="24" spans="2:15" s="2" customFormat="1" ht="20.85" customHeight="1" x14ac:dyDescent="0.2">
      <c r="B24" s="10" t="s">
        <v>290</v>
      </c>
      <c r="C24" s="15" t="s">
        <v>573</v>
      </c>
      <c r="D24" s="10"/>
      <c r="E24" s="67" t="s">
        <v>404</v>
      </c>
      <c r="F24" s="39" t="s">
        <v>255</v>
      </c>
      <c r="G24" s="61">
        <v>45</v>
      </c>
      <c r="H24" s="182"/>
      <c r="I24" s="179"/>
      <c r="L24"/>
      <c r="M24"/>
      <c r="N24"/>
      <c r="O24"/>
    </row>
    <row r="25" spans="2:15" s="2" customFormat="1" ht="20.85" customHeight="1" x14ac:dyDescent="0.2">
      <c r="B25" s="10" t="s">
        <v>291</v>
      </c>
      <c r="C25" s="15" t="s">
        <v>573</v>
      </c>
      <c r="D25" s="10"/>
      <c r="E25" s="67" t="s">
        <v>405</v>
      </c>
      <c r="F25" s="39" t="s">
        <v>255</v>
      </c>
      <c r="G25" s="61">
        <v>55</v>
      </c>
      <c r="H25" s="182"/>
      <c r="I25" s="179"/>
      <c r="L25"/>
      <c r="M25"/>
      <c r="N25"/>
      <c r="O25"/>
    </row>
    <row r="26" spans="2:15" s="2" customFormat="1" ht="20.85" customHeight="1" x14ac:dyDescent="0.2">
      <c r="B26" s="15" t="s">
        <v>288</v>
      </c>
      <c r="C26" s="15" t="s">
        <v>573</v>
      </c>
      <c r="D26" s="10"/>
      <c r="E26" s="68" t="s">
        <v>533</v>
      </c>
      <c r="F26" s="39"/>
      <c r="G26" s="61"/>
      <c r="H26" s="185"/>
      <c r="I26" s="179"/>
      <c r="L26"/>
      <c r="M26"/>
      <c r="N26"/>
      <c r="O26"/>
    </row>
    <row r="27" spans="2:15" s="2" customFormat="1" ht="20.85" customHeight="1" x14ac:dyDescent="0.2">
      <c r="B27" s="10" t="s">
        <v>293</v>
      </c>
      <c r="C27" s="15" t="s">
        <v>573</v>
      </c>
      <c r="D27" s="10"/>
      <c r="E27" s="36" t="s">
        <v>403</v>
      </c>
      <c r="F27" s="39" t="s">
        <v>255</v>
      </c>
      <c r="G27" s="61">
        <v>0</v>
      </c>
      <c r="H27" s="182"/>
      <c r="I27" s="179"/>
      <c r="L27"/>
      <c r="M27"/>
      <c r="N27"/>
      <c r="O27"/>
    </row>
    <row r="28" spans="2:15" s="2" customFormat="1" ht="20.85" customHeight="1" x14ac:dyDescent="0.2">
      <c r="B28" s="10" t="s">
        <v>294</v>
      </c>
      <c r="C28" s="15" t="s">
        <v>573</v>
      </c>
      <c r="D28" s="10"/>
      <c r="E28" s="36" t="s">
        <v>404</v>
      </c>
      <c r="F28" s="39" t="s">
        <v>255</v>
      </c>
      <c r="G28" s="61">
        <v>0</v>
      </c>
      <c r="H28" s="182"/>
      <c r="I28" s="179"/>
      <c r="L28"/>
      <c r="M28"/>
      <c r="N28"/>
      <c r="O28"/>
    </row>
    <row r="29" spans="2:15" s="2" customFormat="1" ht="20.85" customHeight="1" x14ac:dyDescent="0.2">
      <c r="B29" s="10" t="s">
        <v>295</v>
      </c>
      <c r="C29" s="15" t="s">
        <v>573</v>
      </c>
      <c r="D29" s="10"/>
      <c r="E29" s="36" t="s">
        <v>405</v>
      </c>
      <c r="F29" s="39" t="s">
        <v>255</v>
      </c>
      <c r="G29" s="61">
        <v>0</v>
      </c>
      <c r="H29" s="182"/>
      <c r="I29" s="179"/>
      <c r="L29"/>
      <c r="M29"/>
      <c r="N29"/>
      <c r="O29"/>
    </row>
    <row r="30" spans="2:15" s="2" customFormat="1" ht="20.85" customHeight="1" x14ac:dyDescent="0.2">
      <c r="B30" s="15" t="s">
        <v>406</v>
      </c>
      <c r="C30" s="15" t="s">
        <v>573</v>
      </c>
      <c r="D30" s="10"/>
      <c r="E30" s="68" t="s">
        <v>534</v>
      </c>
      <c r="F30" s="39"/>
      <c r="G30" s="61"/>
      <c r="H30" s="182"/>
      <c r="I30" s="179"/>
      <c r="L30"/>
      <c r="M30"/>
      <c r="N30"/>
      <c r="O30"/>
    </row>
    <row r="31" spans="2:15" s="2" customFormat="1" ht="20.85" customHeight="1" x14ac:dyDescent="0.2">
      <c r="B31" s="10" t="s">
        <v>407</v>
      </c>
      <c r="C31" s="15" t="s">
        <v>573</v>
      </c>
      <c r="D31" s="10"/>
      <c r="E31" s="36" t="s">
        <v>403</v>
      </c>
      <c r="F31" s="39" t="s">
        <v>255</v>
      </c>
      <c r="G31" s="61">
        <v>0</v>
      </c>
      <c r="H31" s="182"/>
      <c r="I31" s="179"/>
      <c r="L31"/>
      <c r="M31"/>
      <c r="N31"/>
      <c r="O31"/>
    </row>
    <row r="32" spans="2:15" s="2" customFormat="1" ht="20.85" customHeight="1" x14ac:dyDescent="0.2">
      <c r="B32" s="10" t="s">
        <v>408</v>
      </c>
      <c r="C32" s="15" t="s">
        <v>573</v>
      </c>
      <c r="D32" s="10"/>
      <c r="E32" s="36" t="s">
        <v>404</v>
      </c>
      <c r="F32" s="39" t="s">
        <v>255</v>
      </c>
      <c r="G32" s="61">
        <v>0</v>
      </c>
      <c r="H32" s="182"/>
      <c r="I32" s="179"/>
      <c r="L32"/>
      <c r="M32"/>
      <c r="N32"/>
      <c r="O32"/>
    </row>
    <row r="33" spans="2:15" s="2" customFormat="1" ht="20.85" customHeight="1" x14ac:dyDescent="0.2">
      <c r="B33" s="10" t="s">
        <v>409</v>
      </c>
      <c r="C33" s="15" t="s">
        <v>573</v>
      </c>
      <c r="D33" s="10"/>
      <c r="E33" s="36" t="s">
        <v>405</v>
      </c>
      <c r="F33" s="39" t="s">
        <v>255</v>
      </c>
      <c r="G33" s="61">
        <v>0</v>
      </c>
      <c r="H33" s="182"/>
      <c r="I33" s="179"/>
      <c r="L33"/>
      <c r="M33"/>
      <c r="N33"/>
      <c r="O33"/>
    </row>
    <row r="34" spans="2:15" s="2" customFormat="1" ht="20.85" customHeight="1" x14ac:dyDescent="0.2">
      <c r="B34" s="10"/>
      <c r="C34" s="10"/>
      <c r="D34" s="10"/>
      <c r="E34" s="36"/>
      <c r="F34" s="39"/>
      <c r="G34" s="61"/>
      <c r="H34" s="182"/>
      <c r="I34" s="86"/>
      <c r="L34"/>
      <c r="M34"/>
      <c r="N34"/>
      <c r="O34"/>
    </row>
    <row r="35" spans="2:15" s="2" customFormat="1" ht="23.85" customHeight="1" x14ac:dyDescent="0.2">
      <c r="B35" s="15">
        <v>3.3</v>
      </c>
      <c r="C35" s="15" t="s">
        <v>573</v>
      </c>
      <c r="D35" s="10" t="s">
        <v>305</v>
      </c>
      <c r="E35" s="68" t="s">
        <v>296</v>
      </c>
      <c r="F35" s="69"/>
      <c r="G35" s="61"/>
      <c r="H35" s="182"/>
      <c r="I35" s="179"/>
      <c r="L35"/>
      <c r="M35"/>
      <c r="N35"/>
      <c r="O35"/>
    </row>
    <row r="36" spans="2:15" s="2" customFormat="1" ht="23.85" customHeight="1" x14ac:dyDescent="0.2">
      <c r="B36" s="10"/>
      <c r="C36" s="15" t="s">
        <v>573</v>
      </c>
      <c r="D36" s="10"/>
      <c r="E36" s="70" t="s">
        <v>298</v>
      </c>
      <c r="F36" s="69"/>
      <c r="G36" s="61"/>
      <c r="H36" s="182"/>
      <c r="I36" s="179"/>
      <c r="L36"/>
      <c r="M36"/>
      <c r="N36"/>
      <c r="O36"/>
    </row>
    <row r="37" spans="2:15" s="2" customFormat="1" ht="28.35" customHeight="1" x14ac:dyDescent="0.2">
      <c r="B37" s="10" t="s">
        <v>187</v>
      </c>
      <c r="C37" s="15" t="s">
        <v>573</v>
      </c>
      <c r="D37" s="10"/>
      <c r="E37" s="36" t="s">
        <v>297</v>
      </c>
      <c r="F37" s="69" t="s">
        <v>255</v>
      </c>
      <c r="G37" s="61">
        <v>25</v>
      </c>
      <c r="H37" s="182"/>
      <c r="I37" s="179"/>
      <c r="L37"/>
      <c r="M37"/>
      <c r="N37"/>
      <c r="O37"/>
    </row>
    <row r="38" spans="2:15" s="2" customFormat="1" ht="28.35" customHeight="1" x14ac:dyDescent="0.2">
      <c r="B38" s="10" t="s">
        <v>188</v>
      </c>
      <c r="C38" s="15" t="s">
        <v>573</v>
      </c>
      <c r="D38" s="10"/>
      <c r="E38" s="36" t="s">
        <v>528</v>
      </c>
      <c r="F38" s="69" t="s">
        <v>255</v>
      </c>
      <c r="G38" s="61">
        <v>0</v>
      </c>
      <c r="H38" s="182"/>
      <c r="I38" s="179"/>
      <c r="L38"/>
      <c r="M38"/>
      <c r="N38"/>
      <c r="O38"/>
    </row>
    <row r="39" spans="2:15" s="2" customFormat="1" ht="23.85" customHeight="1" x14ac:dyDescent="0.2">
      <c r="B39" s="10" t="s">
        <v>453</v>
      </c>
      <c r="C39" s="15" t="s">
        <v>573</v>
      </c>
      <c r="D39" s="10"/>
      <c r="E39" s="36" t="s">
        <v>537</v>
      </c>
      <c r="F39" s="69" t="s">
        <v>255</v>
      </c>
      <c r="G39" s="61">
        <v>0</v>
      </c>
      <c r="H39" s="182"/>
      <c r="I39" s="179"/>
      <c r="L39"/>
      <c r="M39"/>
      <c r="N39"/>
      <c r="O39"/>
    </row>
    <row r="40" spans="2:15" ht="20.100000000000001" customHeight="1" x14ac:dyDescent="0.2">
      <c r="B40" s="266" t="s">
        <v>363</v>
      </c>
      <c r="C40" s="267"/>
      <c r="D40" s="267"/>
      <c r="E40" s="267"/>
      <c r="F40" s="267"/>
      <c r="G40" s="268"/>
      <c r="H40" s="247"/>
      <c r="I40" s="248"/>
    </row>
    <row r="41" spans="2:15" ht="17.100000000000001" customHeight="1" x14ac:dyDescent="0.2"/>
    <row r="42" spans="2:15" ht="17.100000000000001" customHeight="1" x14ac:dyDescent="0.2">
      <c r="B42" s="259" t="str">
        <f>'Fixed P&amp;Gs'!$B$44:$G$44</f>
        <v xml:space="preserve">NAILANA WS BoQ </v>
      </c>
      <c r="C42" s="259"/>
      <c r="D42" s="259"/>
      <c r="E42" s="259"/>
      <c r="F42" s="259"/>
      <c r="G42" s="259"/>
      <c r="H42" s="259"/>
      <c r="I42" s="82"/>
    </row>
    <row r="44" spans="2:15" x14ac:dyDescent="0.2">
      <c r="I44" t="str">
        <f>IF(G44="",IF(F44="","","Rate Only"),"")</f>
        <v/>
      </c>
    </row>
  </sheetData>
  <sheetProtection algorithmName="SHA-512" hashValue="8RV6Z3v1n3Bkrx4kee1Qk2V9IfMZsqz/j7v+ixvVMoxYSurckwK8o9hc3k7URjjfPH68ugr6+x8txeOj1SlO6Q==" saltValue="g+KaQWM+NMA2BFtSvcXhBw==" spinCount="100000" sheet="1" objects="1" scenarios="1" selectLockedCells="1"/>
  <mergeCells count="6">
    <mergeCell ref="G4:I4"/>
    <mergeCell ref="B4:F4"/>
    <mergeCell ref="B42:H42"/>
    <mergeCell ref="B2:F2"/>
    <mergeCell ref="B3:F3"/>
    <mergeCell ref="B40:G40"/>
  </mergeCells>
  <phoneticPr fontId="3" type="noConversion"/>
  <pageMargins left="0.25590551181102361" right="0.25590551181102361" top="0.74803149606299213" bottom="0.74803149606299213" header="0.31496062992125984" footer="0.31496062992125984"/>
  <pageSetup paperSize="9" scale="92" orientation="portrait" r:id="rId1"/>
  <headerFooter alignWithMargins="0">
    <oddHeader>&amp;CBoQ &amp;[P10] of &amp;[17]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B1:J44"/>
  <sheetViews>
    <sheetView view="pageBreakPreview" topLeftCell="A22" zoomScale="120" zoomScaleNormal="100" zoomScaleSheetLayoutView="120" workbookViewId="0">
      <selection activeCell="I38" sqref="I38"/>
    </sheetView>
  </sheetViews>
  <sheetFormatPr defaultRowHeight="12.75" x14ac:dyDescent="0.2"/>
  <cols>
    <col min="1" max="1" width="1.7109375" customWidth="1"/>
    <col min="2" max="3" width="6.7109375" customWidth="1"/>
    <col min="4" max="4" width="8.7109375" customWidth="1"/>
    <col min="5" max="5" width="35.5703125" customWidth="1"/>
    <col min="6" max="6" width="8.7109375" customWidth="1"/>
    <col min="7" max="7" width="8.7109375" style="128" customWidth="1"/>
    <col min="8" max="8" width="10.7109375" customWidth="1"/>
    <col min="9" max="9" width="14.7109375" customWidth="1"/>
    <col min="10" max="10" width="1.7109375" customWidth="1"/>
    <col min="12" max="12" width="10.140625" bestFit="1" customWidth="1"/>
  </cols>
  <sheetData>
    <row r="1" spans="2:10" ht="15" customHeight="1" x14ac:dyDescent="0.2">
      <c r="B1" s="72"/>
      <c r="C1" s="72"/>
      <c r="D1" s="72"/>
      <c r="E1" s="72"/>
      <c r="F1" s="72"/>
      <c r="G1" s="72"/>
      <c r="H1" s="72"/>
      <c r="I1" s="73"/>
      <c r="J1" s="74"/>
    </row>
    <row r="2" spans="2:10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260"/>
      <c r="G2" s="80"/>
      <c r="H2" s="80"/>
      <c r="I2" s="80" t="str">
        <f>'Fixed P&amp;Gs'!H1</f>
        <v>ORB.NAIL.2021</v>
      </c>
    </row>
    <row r="3" spans="2:10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261"/>
      <c r="G3" s="80"/>
      <c r="H3" s="80"/>
      <c r="I3" s="80"/>
    </row>
    <row r="4" spans="2:10" ht="18" customHeight="1" x14ac:dyDescent="0.2">
      <c r="B4" s="260" t="str">
        <f>'Fixed P&amp;Gs'!B4</f>
        <v>NAILANA VILLAGE WATER SUPPLY</v>
      </c>
      <c r="C4" s="260"/>
      <c r="D4" s="260"/>
      <c r="E4" s="260"/>
      <c r="F4" s="260"/>
      <c r="G4" s="262" t="str">
        <f>'Fixed P&amp;Gs'!F4</f>
        <v>CONTRACT No:INF-W06/2022/2023</v>
      </c>
      <c r="H4" s="262"/>
      <c r="I4" s="262"/>
    </row>
    <row r="5" spans="2:10" ht="18" customHeight="1" x14ac:dyDescent="0.2">
      <c r="B5" s="41" t="s">
        <v>425</v>
      </c>
      <c r="C5" s="125"/>
      <c r="D5" s="42"/>
      <c r="E5" s="43"/>
      <c r="F5" s="44"/>
      <c r="G5" s="126"/>
      <c r="H5" s="44"/>
      <c r="I5" s="113"/>
    </row>
    <row r="6" spans="2:10" ht="18" customHeight="1" x14ac:dyDescent="0.2">
      <c r="B6" s="46" t="s">
        <v>286</v>
      </c>
      <c r="C6" s="47"/>
      <c r="D6" s="47"/>
      <c r="E6" s="48"/>
      <c r="F6" s="47"/>
      <c r="G6" s="127"/>
      <c r="H6" s="49"/>
      <c r="I6" s="49"/>
    </row>
    <row r="7" spans="2:10" ht="4.9000000000000004" customHeight="1" x14ac:dyDescent="0.2">
      <c r="B7" s="1"/>
      <c r="C7" s="1"/>
      <c r="D7" s="1"/>
    </row>
    <row r="8" spans="2:10" ht="25.15" customHeight="1" x14ac:dyDescent="0.2">
      <c r="B8" s="51" t="s">
        <v>238</v>
      </c>
      <c r="C8" s="51" t="s">
        <v>573</v>
      </c>
      <c r="D8" s="51" t="s">
        <v>237</v>
      </c>
      <c r="E8" s="53" t="s">
        <v>1</v>
      </c>
      <c r="F8" s="52" t="s">
        <v>2</v>
      </c>
      <c r="G8" s="52" t="s">
        <v>3</v>
      </c>
      <c r="H8" s="52" t="s">
        <v>4</v>
      </c>
      <c r="I8" s="52" t="s">
        <v>5</v>
      </c>
    </row>
    <row r="9" spans="2:10" ht="20.100000000000001" customHeight="1" x14ac:dyDescent="0.2">
      <c r="B9" s="271" t="s">
        <v>364</v>
      </c>
      <c r="C9" s="271"/>
      <c r="D9" s="271"/>
      <c r="E9" s="271"/>
      <c r="F9" s="271"/>
      <c r="G9" s="271"/>
      <c r="H9" s="271"/>
      <c r="I9" s="130">
        <f>Pipelines1!I40</f>
        <v>0</v>
      </c>
    </row>
    <row r="10" spans="2:10" ht="18" customHeight="1" x14ac:dyDescent="0.2">
      <c r="B10" s="6" t="s">
        <v>287</v>
      </c>
      <c r="C10" s="6"/>
      <c r="D10" s="4"/>
      <c r="E10" s="18" t="s">
        <v>132</v>
      </c>
      <c r="F10" s="18"/>
      <c r="G10" s="18"/>
      <c r="H10" s="103"/>
      <c r="I10" s="103"/>
    </row>
    <row r="11" spans="2:10" s="7" customFormat="1" ht="25.15" customHeight="1" x14ac:dyDescent="0.2">
      <c r="B11" s="19"/>
      <c r="C11" s="19"/>
      <c r="D11" s="19"/>
      <c r="E11" s="9" t="s">
        <v>131</v>
      </c>
      <c r="F11" s="8"/>
      <c r="G11" s="8"/>
      <c r="H11" s="104"/>
      <c r="I11" s="104"/>
    </row>
    <row r="12" spans="2:10" s="2" customFormat="1" ht="17.100000000000001" customHeight="1" x14ac:dyDescent="0.2">
      <c r="B12" s="10"/>
      <c r="C12" s="10"/>
      <c r="D12" s="10"/>
      <c r="E12" s="27"/>
      <c r="F12" s="10"/>
      <c r="G12" s="11"/>
      <c r="H12" s="105"/>
      <c r="I12" s="179"/>
    </row>
    <row r="13" spans="2:10" s="2" customFormat="1" ht="18" customHeight="1" x14ac:dyDescent="0.2">
      <c r="B13" s="15">
        <v>3.4</v>
      </c>
      <c r="C13" s="15" t="s">
        <v>573</v>
      </c>
      <c r="D13" s="10" t="s">
        <v>305</v>
      </c>
      <c r="E13" s="17" t="s">
        <v>411</v>
      </c>
      <c r="F13" s="10"/>
      <c r="G13" s="11"/>
      <c r="H13" s="105"/>
      <c r="I13" s="179"/>
    </row>
    <row r="14" spans="2:10" s="2" customFormat="1" ht="45.2" customHeight="1" x14ac:dyDescent="0.2">
      <c r="B14" s="10"/>
      <c r="C14" s="10"/>
      <c r="D14" s="10"/>
      <c r="E14" s="26" t="s">
        <v>412</v>
      </c>
      <c r="F14" s="10"/>
      <c r="G14" s="13"/>
      <c r="H14" s="105"/>
      <c r="I14" s="179"/>
    </row>
    <row r="15" spans="2:10" s="2" customFormat="1" ht="19.7" customHeight="1" x14ac:dyDescent="0.2">
      <c r="B15" s="10" t="s">
        <v>195</v>
      </c>
      <c r="C15" s="15" t="s">
        <v>573</v>
      </c>
      <c r="D15" s="10"/>
      <c r="E15" s="36" t="s">
        <v>297</v>
      </c>
      <c r="F15" s="10" t="s">
        <v>255</v>
      </c>
      <c r="G15" s="62">
        <v>5</v>
      </c>
      <c r="H15" s="185"/>
      <c r="I15" s="179"/>
    </row>
    <row r="16" spans="2:10" s="2" customFormat="1" ht="19.7" customHeight="1" x14ac:dyDescent="0.2">
      <c r="B16" s="10" t="s">
        <v>196</v>
      </c>
      <c r="C16" s="15" t="s">
        <v>573</v>
      </c>
      <c r="D16" s="10"/>
      <c r="E16" s="36" t="s">
        <v>528</v>
      </c>
      <c r="F16" s="10" t="s">
        <v>255</v>
      </c>
      <c r="G16" s="62">
        <v>0</v>
      </c>
      <c r="H16" s="186"/>
      <c r="I16" s="180"/>
    </row>
    <row r="17" spans="2:9" s="2" customFormat="1" ht="19.7" customHeight="1" x14ac:dyDescent="0.2">
      <c r="B17" s="10" t="s">
        <v>454</v>
      </c>
      <c r="C17" s="15" t="s">
        <v>573</v>
      </c>
      <c r="D17" s="10"/>
      <c r="E17" s="36" t="s">
        <v>538</v>
      </c>
      <c r="F17" s="10" t="s">
        <v>255</v>
      </c>
      <c r="G17" s="62">
        <v>0</v>
      </c>
      <c r="H17" s="186"/>
      <c r="I17" s="180"/>
    </row>
    <row r="18" spans="2:9" s="2" customFormat="1" ht="17.100000000000001" customHeight="1" x14ac:dyDescent="0.2">
      <c r="B18" s="10"/>
      <c r="C18" s="10"/>
      <c r="D18" s="10"/>
      <c r="E18" s="36"/>
      <c r="F18" s="10"/>
      <c r="G18" s="62"/>
      <c r="H18" s="185"/>
      <c r="I18" s="179"/>
    </row>
    <row r="19" spans="2:9" s="2" customFormat="1" ht="18" customHeight="1" x14ac:dyDescent="0.2">
      <c r="B19" s="15">
        <v>3.5</v>
      </c>
      <c r="C19" s="15" t="s">
        <v>573</v>
      </c>
      <c r="D19" s="10" t="s">
        <v>305</v>
      </c>
      <c r="E19" s="68" t="s">
        <v>349</v>
      </c>
      <c r="F19" s="10"/>
      <c r="G19" s="62"/>
      <c r="H19" s="185"/>
      <c r="I19" s="179"/>
    </row>
    <row r="20" spans="2:9" s="2" customFormat="1" ht="45.2" customHeight="1" x14ac:dyDescent="0.2">
      <c r="B20" s="10"/>
      <c r="C20" s="10"/>
      <c r="D20" s="10"/>
      <c r="E20" s="70" t="s">
        <v>413</v>
      </c>
      <c r="F20" s="10"/>
      <c r="G20" s="62"/>
      <c r="H20" s="185"/>
      <c r="I20" s="179"/>
    </row>
    <row r="21" spans="2:9" s="2" customFormat="1" ht="19.7" customHeight="1" x14ac:dyDescent="0.2">
      <c r="B21" s="10" t="s">
        <v>197</v>
      </c>
      <c r="C21" s="15" t="s">
        <v>573</v>
      </c>
      <c r="D21" s="10"/>
      <c r="E21" s="36" t="s">
        <v>297</v>
      </c>
      <c r="F21" s="10" t="s">
        <v>255</v>
      </c>
      <c r="G21" s="62">
        <v>5</v>
      </c>
      <c r="H21" s="185"/>
      <c r="I21" s="179"/>
    </row>
    <row r="22" spans="2:9" s="2" customFormat="1" ht="19.7" customHeight="1" x14ac:dyDescent="0.2">
      <c r="B22" s="10" t="s">
        <v>198</v>
      </c>
      <c r="C22" s="15" t="s">
        <v>573</v>
      </c>
      <c r="D22" s="10"/>
      <c r="E22" s="36" t="s">
        <v>528</v>
      </c>
      <c r="F22" s="10" t="s">
        <v>255</v>
      </c>
      <c r="G22" s="62">
        <v>0</v>
      </c>
      <c r="H22" s="186"/>
      <c r="I22" s="180"/>
    </row>
    <row r="23" spans="2:9" s="2" customFormat="1" ht="19.7" customHeight="1" x14ac:dyDescent="0.2">
      <c r="B23" s="10" t="s">
        <v>539</v>
      </c>
      <c r="C23" s="15" t="s">
        <v>573</v>
      </c>
      <c r="D23" s="10"/>
      <c r="E23" s="36" t="s">
        <v>538</v>
      </c>
      <c r="F23" s="10" t="s">
        <v>255</v>
      </c>
      <c r="G23" s="62">
        <v>0</v>
      </c>
      <c r="H23" s="186"/>
      <c r="I23" s="180"/>
    </row>
    <row r="24" spans="2:9" s="2" customFormat="1" ht="17.100000000000001" customHeight="1" x14ac:dyDescent="0.2">
      <c r="B24" s="10"/>
      <c r="C24" s="10"/>
      <c r="D24" s="10"/>
      <c r="E24" s="36"/>
      <c r="F24" s="10"/>
      <c r="G24" s="62"/>
      <c r="H24" s="185"/>
      <c r="I24" s="179"/>
    </row>
    <row r="25" spans="2:9" s="2" customFormat="1" ht="18" customHeight="1" x14ac:dyDescent="0.2">
      <c r="B25" s="15">
        <v>3.6</v>
      </c>
      <c r="C25" s="15" t="s">
        <v>573</v>
      </c>
      <c r="D25" s="10" t="s">
        <v>305</v>
      </c>
      <c r="E25" s="68" t="s">
        <v>299</v>
      </c>
      <c r="F25" s="10"/>
      <c r="G25" s="62"/>
      <c r="H25" s="185"/>
      <c r="I25" s="179"/>
    </row>
    <row r="26" spans="2:9" s="2" customFormat="1" ht="19.7" customHeight="1" x14ac:dyDescent="0.2">
      <c r="B26" s="10" t="s">
        <v>199</v>
      </c>
      <c r="C26" s="15" t="s">
        <v>573</v>
      </c>
      <c r="D26" s="10"/>
      <c r="E26" s="36" t="s">
        <v>297</v>
      </c>
      <c r="F26" s="10" t="s">
        <v>255</v>
      </c>
      <c r="G26" s="62">
        <v>20</v>
      </c>
      <c r="H26" s="185"/>
      <c r="I26" s="179"/>
    </row>
    <row r="27" spans="2:9" s="2" customFormat="1" ht="19.7" customHeight="1" x14ac:dyDescent="0.2">
      <c r="B27" s="10" t="s">
        <v>200</v>
      </c>
      <c r="C27" s="15" t="s">
        <v>573</v>
      </c>
      <c r="D27" s="10"/>
      <c r="E27" s="36" t="s">
        <v>528</v>
      </c>
      <c r="F27" s="10" t="s">
        <v>255</v>
      </c>
      <c r="G27" s="62">
        <v>0</v>
      </c>
      <c r="H27" s="186"/>
      <c r="I27" s="180"/>
    </row>
    <row r="28" spans="2:9" s="2" customFormat="1" ht="17.100000000000001" customHeight="1" x14ac:dyDescent="0.2">
      <c r="B28" s="15"/>
      <c r="C28" s="15"/>
      <c r="D28" s="10"/>
      <c r="E28" s="36"/>
      <c r="F28" s="10"/>
      <c r="G28" s="62"/>
      <c r="H28" s="185"/>
      <c r="I28" s="179"/>
    </row>
    <row r="29" spans="2:9" s="2" customFormat="1" ht="18" customHeight="1" x14ac:dyDescent="0.2">
      <c r="B29" s="15">
        <v>3.7</v>
      </c>
      <c r="C29" s="15" t="s">
        <v>573</v>
      </c>
      <c r="D29" s="10" t="s">
        <v>305</v>
      </c>
      <c r="E29" s="68" t="s">
        <v>300</v>
      </c>
      <c r="F29" s="10"/>
      <c r="G29" s="62"/>
      <c r="H29" s="185"/>
      <c r="I29" s="179"/>
    </row>
    <row r="30" spans="2:9" s="2" customFormat="1" ht="34.5" customHeight="1" x14ac:dyDescent="0.2">
      <c r="B30" s="15"/>
      <c r="C30" s="15"/>
      <c r="D30" s="10"/>
      <c r="E30" s="70" t="s">
        <v>414</v>
      </c>
      <c r="F30" s="10"/>
      <c r="G30" s="62"/>
      <c r="H30" s="185"/>
      <c r="I30" s="179"/>
    </row>
    <row r="31" spans="2:9" s="2" customFormat="1" ht="19.7" customHeight="1" x14ac:dyDescent="0.2">
      <c r="B31" s="10" t="s">
        <v>201</v>
      </c>
      <c r="C31" s="10"/>
      <c r="D31" s="10"/>
      <c r="E31" s="36" t="s">
        <v>541</v>
      </c>
      <c r="F31" s="122" t="s">
        <v>255</v>
      </c>
      <c r="G31" s="62">
        <v>0</v>
      </c>
      <c r="H31" s="186"/>
      <c r="I31" s="180"/>
    </row>
    <row r="32" spans="2:9" s="2" customFormat="1" ht="19.7" customHeight="1" x14ac:dyDescent="0.2">
      <c r="B32" s="10" t="s">
        <v>202</v>
      </c>
      <c r="C32" s="10"/>
      <c r="D32" s="10"/>
      <c r="E32" s="36" t="s">
        <v>542</v>
      </c>
      <c r="F32" s="122" t="s">
        <v>255</v>
      </c>
      <c r="G32" s="62">
        <v>0</v>
      </c>
      <c r="H32" s="186"/>
      <c r="I32" s="180"/>
    </row>
    <row r="33" spans="2:9" s="2" customFormat="1" ht="19.7" customHeight="1" x14ac:dyDescent="0.2">
      <c r="B33" s="10" t="s">
        <v>419</v>
      </c>
      <c r="C33" s="10"/>
      <c r="D33" s="10"/>
      <c r="E33" s="36" t="s">
        <v>543</v>
      </c>
      <c r="F33" s="122" t="s">
        <v>255</v>
      </c>
      <c r="G33" s="62">
        <v>0</v>
      </c>
      <c r="H33" s="186"/>
      <c r="I33" s="180"/>
    </row>
    <row r="34" spans="2:9" s="2" customFormat="1" ht="17.100000000000001" customHeight="1" x14ac:dyDescent="0.2">
      <c r="B34" s="10"/>
      <c r="C34" s="10"/>
      <c r="D34" s="10"/>
      <c r="E34" s="36"/>
      <c r="F34" s="122"/>
      <c r="G34" s="62"/>
      <c r="H34" s="185"/>
      <c r="I34" s="179"/>
    </row>
    <row r="35" spans="2:9" s="2" customFormat="1" ht="18" customHeight="1" x14ac:dyDescent="0.2">
      <c r="B35" s="15">
        <v>3.8</v>
      </c>
      <c r="C35" s="15" t="s">
        <v>573</v>
      </c>
      <c r="D35" s="10" t="s">
        <v>305</v>
      </c>
      <c r="E35" s="68" t="s">
        <v>415</v>
      </c>
      <c r="F35" s="122"/>
      <c r="G35" s="62"/>
      <c r="H35" s="185"/>
      <c r="I35" s="179"/>
    </row>
    <row r="36" spans="2:9" s="2" customFormat="1" ht="34.5" customHeight="1" x14ac:dyDescent="0.2">
      <c r="B36" s="15"/>
      <c r="C36" s="15"/>
      <c r="D36" s="10"/>
      <c r="E36" s="70" t="s">
        <v>348</v>
      </c>
      <c r="F36" s="122"/>
      <c r="G36" s="62"/>
      <c r="H36" s="185"/>
      <c r="I36" s="179"/>
    </row>
    <row r="37" spans="2:9" s="2" customFormat="1" ht="19.7" customHeight="1" x14ac:dyDescent="0.2">
      <c r="B37" s="10" t="s">
        <v>302</v>
      </c>
      <c r="C37" s="15" t="s">
        <v>573</v>
      </c>
      <c r="D37" s="10"/>
      <c r="E37" s="36" t="s">
        <v>297</v>
      </c>
      <c r="F37" s="122" t="s">
        <v>255</v>
      </c>
      <c r="G37" s="62">
        <v>15</v>
      </c>
      <c r="H37" s="185"/>
      <c r="I37" s="179"/>
    </row>
    <row r="38" spans="2:9" s="2" customFormat="1" ht="19.7" customHeight="1" x14ac:dyDescent="0.2">
      <c r="B38" s="10" t="s">
        <v>303</v>
      </c>
      <c r="C38" s="15" t="s">
        <v>573</v>
      </c>
      <c r="D38" s="10"/>
      <c r="E38" s="36" t="s">
        <v>528</v>
      </c>
      <c r="F38" s="122" t="s">
        <v>255</v>
      </c>
      <c r="G38" s="62">
        <v>0</v>
      </c>
      <c r="H38" s="186"/>
      <c r="I38" s="180"/>
    </row>
    <row r="39" spans="2:9" s="2" customFormat="1" ht="23.85" hidden="1" customHeight="1" x14ac:dyDescent="0.2">
      <c r="B39" s="10" t="s">
        <v>365</v>
      </c>
      <c r="C39" s="15" t="s">
        <v>573</v>
      </c>
      <c r="D39" s="10"/>
      <c r="E39" s="36" t="s">
        <v>540</v>
      </c>
      <c r="F39" s="122" t="s">
        <v>255</v>
      </c>
      <c r="G39" s="62"/>
      <c r="H39" s="186"/>
      <c r="I39" s="180"/>
    </row>
    <row r="40" spans="2:9" s="2" customFormat="1" ht="23.85" customHeight="1" x14ac:dyDescent="0.2">
      <c r="B40" s="10" t="s">
        <v>544</v>
      </c>
      <c r="C40" s="15" t="s">
        <v>573</v>
      </c>
      <c r="D40" s="10"/>
      <c r="E40" s="36" t="s">
        <v>538</v>
      </c>
      <c r="F40" s="122" t="s">
        <v>255</v>
      </c>
      <c r="G40" s="62">
        <v>0</v>
      </c>
      <c r="H40" s="186"/>
      <c r="I40" s="180"/>
    </row>
    <row r="41" spans="2:9" ht="6.75" customHeight="1" x14ac:dyDescent="0.2">
      <c r="B41" s="5"/>
      <c r="C41" s="5"/>
      <c r="D41" s="5"/>
      <c r="E41" s="5"/>
      <c r="F41" s="5"/>
      <c r="G41" s="129"/>
      <c r="H41" s="96"/>
      <c r="I41" s="96"/>
    </row>
    <row r="42" spans="2:9" ht="20.100000000000001" customHeight="1" x14ac:dyDescent="0.2">
      <c r="B42" s="263" t="s">
        <v>363</v>
      </c>
      <c r="C42" s="264"/>
      <c r="D42" s="264"/>
      <c r="E42" s="264"/>
      <c r="F42" s="264"/>
      <c r="G42" s="265"/>
      <c r="H42" s="247"/>
      <c r="I42" s="248"/>
    </row>
    <row r="43" spans="2:9" ht="17.100000000000001" customHeight="1" x14ac:dyDescent="0.2"/>
    <row r="44" spans="2:9" ht="17.100000000000001" customHeight="1" x14ac:dyDescent="0.2">
      <c r="B44" s="259" t="str">
        <f>'Fixed P&amp;Gs'!$B$44:$G$44</f>
        <v xml:space="preserve">NAILANA WS BoQ </v>
      </c>
      <c r="C44" s="259"/>
      <c r="D44" s="259"/>
      <c r="E44" s="259"/>
      <c r="F44" s="259"/>
      <c r="G44" s="259"/>
      <c r="H44" s="259"/>
      <c r="I44" s="82"/>
    </row>
  </sheetData>
  <sheetProtection algorithmName="SHA-512" hashValue="3Z+WncK55o7E2FAqX8r4d9LUmEVoh2UjkTw7v2sIZ8VQbZLc9RR61TxjkcXnMAlO8nNgoJMjQj7bfgVgXbE8vQ==" saltValue="niZAdk0+z3fX7BHWg7Zmjg==" spinCount="100000" sheet="1" objects="1" scenarios="1" selectLockedCells="1"/>
  <mergeCells count="7">
    <mergeCell ref="B44:H44"/>
    <mergeCell ref="B2:F2"/>
    <mergeCell ref="B3:F3"/>
    <mergeCell ref="B9:H9"/>
    <mergeCell ref="G4:I4"/>
    <mergeCell ref="B4:F4"/>
    <mergeCell ref="B42:G42"/>
  </mergeCells>
  <phoneticPr fontId="3" type="noConversion"/>
  <pageMargins left="0.29527559055118113" right="0.29527559055118113" top="0.78740157480314965" bottom="0.74803149606299213" header="0.31496062992125984" footer="0.31496062992125984"/>
  <pageSetup paperSize="9" scale="86" orientation="portrait" r:id="rId1"/>
  <headerFooter alignWithMargins="0">
    <oddHeader>&amp;CBoQ &amp;[11] of &amp;[17]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B1:Q50"/>
  <sheetViews>
    <sheetView view="pageBreakPreview" topLeftCell="A17" zoomScale="110" zoomScaleNormal="100" zoomScaleSheetLayoutView="110" workbookViewId="0">
      <selection activeCell="H10" sqref="H10:I46"/>
    </sheetView>
  </sheetViews>
  <sheetFormatPr defaultRowHeight="12.75" x14ac:dyDescent="0.2"/>
  <cols>
    <col min="1" max="1" width="1.7109375" customWidth="1"/>
    <col min="2" max="3" width="6.7109375" customWidth="1"/>
    <col min="4" max="4" width="8.7109375" customWidth="1"/>
    <col min="5" max="5" width="35.5703125" customWidth="1"/>
    <col min="6" max="6" width="8.7109375" customWidth="1"/>
    <col min="7" max="7" width="8.7109375" style="128" customWidth="1"/>
    <col min="8" max="8" width="14" customWidth="1"/>
    <col min="9" max="9" width="16.85546875" customWidth="1"/>
    <col min="10" max="10" width="1.7109375" customWidth="1"/>
    <col min="12" max="12" width="10.7109375" customWidth="1"/>
    <col min="13" max="13" width="12.7109375" customWidth="1"/>
    <col min="16" max="16" width="11" bestFit="1" customWidth="1"/>
  </cols>
  <sheetData>
    <row r="1" spans="2:17" ht="15" customHeight="1" x14ac:dyDescent="0.2">
      <c r="B1" s="72"/>
      <c r="C1" s="72"/>
      <c r="D1" s="72"/>
      <c r="E1" s="72"/>
      <c r="F1" s="72"/>
      <c r="G1" s="72"/>
      <c r="H1" s="72"/>
      <c r="I1" s="73"/>
      <c r="J1" s="74"/>
      <c r="L1" s="72"/>
      <c r="M1" s="73"/>
    </row>
    <row r="2" spans="2:17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260"/>
      <c r="G2" s="80"/>
      <c r="H2" s="80"/>
      <c r="I2" s="80" t="str">
        <f>'Fixed P&amp;Gs'!H1</f>
        <v>ORB.NAIL.2021</v>
      </c>
      <c r="L2" s="80"/>
      <c r="M2" s="80"/>
    </row>
    <row r="3" spans="2:17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261"/>
      <c r="G3" s="80"/>
      <c r="H3" s="80"/>
      <c r="I3" s="80"/>
      <c r="L3" s="80"/>
      <c r="M3" s="80"/>
    </row>
    <row r="4" spans="2:17" ht="18" customHeight="1" x14ac:dyDescent="0.2">
      <c r="B4" s="260" t="str">
        <f>'Fixed P&amp;Gs'!B4</f>
        <v>NAILANA VILLAGE WATER SUPPLY</v>
      </c>
      <c r="C4" s="260"/>
      <c r="D4" s="260"/>
      <c r="E4" s="260"/>
      <c r="F4" s="260"/>
      <c r="G4" s="262" t="str">
        <f>'Fixed P&amp;Gs'!F4</f>
        <v>CONTRACT No:INF-W06/2022/2023</v>
      </c>
      <c r="H4" s="262"/>
      <c r="I4" s="262"/>
    </row>
    <row r="5" spans="2:17" ht="18" customHeight="1" x14ac:dyDescent="0.2">
      <c r="B5" s="41" t="s">
        <v>425</v>
      </c>
      <c r="C5" s="125"/>
      <c r="D5" s="42"/>
      <c r="E5" s="43"/>
      <c r="F5" s="44"/>
      <c r="G5" s="126"/>
      <c r="H5" s="44"/>
      <c r="I5" s="113"/>
      <c r="L5" s="7"/>
      <c r="M5" s="7"/>
      <c r="N5" s="7"/>
      <c r="O5" s="7"/>
      <c r="P5" s="7"/>
      <c r="Q5" s="7"/>
    </row>
    <row r="6" spans="2:17" ht="18" customHeight="1" x14ac:dyDescent="0.2">
      <c r="B6" s="46" t="s">
        <v>286</v>
      </c>
      <c r="C6" s="47"/>
      <c r="D6" s="47"/>
      <c r="E6" s="48"/>
      <c r="F6" s="47"/>
      <c r="G6" s="127"/>
      <c r="H6" s="49"/>
      <c r="I6" s="49"/>
      <c r="L6" s="7"/>
      <c r="M6" s="7"/>
      <c r="N6" s="7"/>
      <c r="O6" s="7"/>
      <c r="P6" s="7"/>
      <c r="Q6" s="7"/>
    </row>
    <row r="7" spans="2:17" ht="4.9000000000000004" customHeight="1" x14ac:dyDescent="0.2">
      <c r="B7" s="1"/>
      <c r="C7" s="1"/>
      <c r="D7" s="1"/>
      <c r="L7" s="7"/>
      <c r="M7" s="7"/>
      <c r="N7" s="7"/>
      <c r="O7" s="7"/>
      <c r="P7" s="7"/>
      <c r="Q7" s="7"/>
    </row>
    <row r="8" spans="2:17" ht="25.15" customHeight="1" x14ac:dyDescent="0.2">
      <c r="B8" s="51" t="s">
        <v>238</v>
      </c>
      <c r="C8" s="51" t="s">
        <v>573</v>
      </c>
      <c r="D8" s="51" t="s">
        <v>237</v>
      </c>
      <c r="E8" s="53" t="s">
        <v>1</v>
      </c>
      <c r="F8" s="52" t="s">
        <v>2</v>
      </c>
      <c r="G8" s="52" t="s">
        <v>3</v>
      </c>
      <c r="H8" s="52" t="s">
        <v>4</v>
      </c>
      <c r="I8" s="52" t="s">
        <v>5</v>
      </c>
      <c r="L8" s="7"/>
      <c r="M8" s="7"/>
      <c r="N8" s="7"/>
      <c r="O8" s="7"/>
      <c r="P8" s="7"/>
      <c r="Q8" s="7"/>
    </row>
    <row r="9" spans="2:17" ht="20.100000000000001" customHeight="1" x14ac:dyDescent="0.2">
      <c r="B9" s="271" t="s">
        <v>364</v>
      </c>
      <c r="C9" s="271"/>
      <c r="D9" s="271"/>
      <c r="E9" s="271"/>
      <c r="F9" s="271"/>
      <c r="G9" s="271"/>
      <c r="H9" s="271"/>
      <c r="I9" s="108"/>
      <c r="L9" s="7"/>
      <c r="M9" s="7"/>
      <c r="N9" s="7"/>
      <c r="O9" s="7"/>
      <c r="P9" s="7"/>
      <c r="Q9" s="7"/>
    </row>
    <row r="10" spans="2:17" ht="18" customHeight="1" x14ac:dyDescent="0.2">
      <c r="B10" s="6" t="s">
        <v>287</v>
      </c>
      <c r="C10" s="6"/>
      <c r="D10" s="4"/>
      <c r="E10" s="18" t="s">
        <v>132</v>
      </c>
      <c r="F10" s="18"/>
      <c r="G10" s="18"/>
      <c r="H10" s="103"/>
      <c r="I10" s="103"/>
      <c r="L10" s="7"/>
      <c r="M10" s="7"/>
      <c r="N10" s="7"/>
      <c r="O10" s="7"/>
      <c r="P10" s="7"/>
      <c r="Q10" s="7"/>
    </row>
    <row r="11" spans="2:17" s="7" customFormat="1" ht="25.15" customHeight="1" x14ac:dyDescent="0.2">
      <c r="B11" s="19"/>
      <c r="C11" s="19"/>
      <c r="D11" s="19"/>
      <c r="E11" s="9" t="s">
        <v>131</v>
      </c>
      <c r="F11" s="8"/>
      <c r="G11" s="8"/>
      <c r="H11" s="104"/>
      <c r="I11" s="220"/>
    </row>
    <row r="12" spans="2:17" s="7" customFormat="1" ht="19.7" customHeight="1" x14ac:dyDescent="0.2">
      <c r="B12" s="19"/>
      <c r="C12" s="19"/>
      <c r="D12" s="19"/>
      <c r="E12" s="9"/>
      <c r="F12" s="8"/>
      <c r="G12" s="8"/>
      <c r="H12" s="104"/>
      <c r="I12" s="220"/>
    </row>
    <row r="13" spans="2:17" s="7" customFormat="1" ht="18" customHeight="1" x14ac:dyDescent="0.2">
      <c r="B13" s="15">
        <v>3.9</v>
      </c>
      <c r="C13" s="15" t="s">
        <v>573</v>
      </c>
      <c r="D13" s="10" t="s">
        <v>305</v>
      </c>
      <c r="E13" s="17" t="s">
        <v>301</v>
      </c>
      <c r="F13" s="10"/>
      <c r="G13" s="13"/>
      <c r="H13" s="104"/>
      <c r="I13" s="220"/>
    </row>
    <row r="14" spans="2:17" s="7" customFormat="1" ht="25.15" customHeight="1" x14ac:dyDescent="0.2">
      <c r="B14" s="15"/>
      <c r="C14" s="15"/>
      <c r="D14" s="10"/>
      <c r="E14" s="26" t="s">
        <v>416</v>
      </c>
      <c r="F14" s="10"/>
      <c r="G14" s="13"/>
      <c r="H14" s="104"/>
      <c r="I14" s="220"/>
    </row>
    <row r="15" spans="2:17" s="7" customFormat="1" ht="19.7" customHeight="1" x14ac:dyDescent="0.2">
      <c r="B15" s="10" t="s">
        <v>366</v>
      </c>
      <c r="C15" s="15" t="s">
        <v>573</v>
      </c>
      <c r="D15" s="10"/>
      <c r="E15" s="24" t="s">
        <v>297</v>
      </c>
      <c r="F15" s="10" t="s">
        <v>255</v>
      </c>
      <c r="G15" s="13">
        <v>170</v>
      </c>
      <c r="H15" s="105"/>
      <c r="I15" s="179"/>
    </row>
    <row r="16" spans="2:17" s="7" customFormat="1" ht="19.7" customHeight="1" x14ac:dyDescent="0.2">
      <c r="B16" s="10" t="s">
        <v>367</v>
      </c>
      <c r="C16" s="15" t="s">
        <v>573</v>
      </c>
      <c r="D16" s="10"/>
      <c r="E16" s="24" t="s">
        <v>528</v>
      </c>
      <c r="F16" s="10" t="s">
        <v>255</v>
      </c>
      <c r="G16" s="13">
        <v>20</v>
      </c>
      <c r="H16" s="105"/>
      <c r="I16" s="179" t="s">
        <v>545</v>
      </c>
    </row>
    <row r="17" spans="2:17" s="7" customFormat="1" ht="19.7" customHeight="1" x14ac:dyDescent="0.2">
      <c r="B17" s="19"/>
      <c r="C17" s="19"/>
      <c r="D17" s="19"/>
      <c r="E17" s="9"/>
      <c r="F17" s="8"/>
      <c r="G17" s="8"/>
      <c r="H17" s="105"/>
      <c r="I17" s="179"/>
    </row>
    <row r="18" spans="2:17" s="2" customFormat="1" ht="18" customHeight="1" x14ac:dyDescent="0.2">
      <c r="B18" s="38" t="s">
        <v>368</v>
      </c>
      <c r="C18" s="38" t="s">
        <v>573</v>
      </c>
      <c r="D18" s="10" t="s">
        <v>382</v>
      </c>
      <c r="E18" s="17" t="s">
        <v>417</v>
      </c>
      <c r="F18" s="10"/>
      <c r="G18" s="13"/>
      <c r="H18" s="105"/>
      <c r="I18" s="179"/>
      <c r="L18" s="7"/>
      <c r="M18" s="7"/>
      <c r="N18" s="7"/>
      <c r="O18" s="7"/>
      <c r="P18" s="7"/>
      <c r="Q18" s="7"/>
    </row>
    <row r="19" spans="2:17" s="2" customFormat="1" ht="25.15" customHeight="1" x14ac:dyDescent="0.2">
      <c r="B19" s="15"/>
      <c r="C19" s="15"/>
      <c r="D19" s="10"/>
      <c r="E19" s="26" t="s">
        <v>306</v>
      </c>
      <c r="F19" s="10"/>
      <c r="G19" s="13"/>
      <c r="H19" s="105"/>
      <c r="I19" s="179"/>
      <c r="L19" s="7"/>
      <c r="M19" s="7"/>
      <c r="N19" s="7"/>
      <c r="O19" s="7"/>
      <c r="P19" s="7"/>
      <c r="Q19" s="7"/>
    </row>
    <row r="20" spans="2:17" s="2" customFormat="1" ht="19.7" customHeight="1" x14ac:dyDescent="0.2">
      <c r="B20" s="10" t="s">
        <v>369</v>
      </c>
      <c r="C20" s="15" t="s">
        <v>573</v>
      </c>
      <c r="D20" s="10"/>
      <c r="E20" s="36" t="s">
        <v>350</v>
      </c>
      <c r="F20" s="10" t="s">
        <v>255</v>
      </c>
      <c r="G20" s="63">
        <v>15</v>
      </c>
      <c r="H20" s="105"/>
      <c r="I20" s="179"/>
      <c r="L20" s="7"/>
      <c r="M20" s="7"/>
      <c r="N20" s="7"/>
      <c r="O20" s="7"/>
      <c r="P20" s="7"/>
      <c r="Q20" s="7"/>
    </row>
    <row r="21" spans="2:17" s="2" customFormat="1" ht="19.7" customHeight="1" x14ac:dyDescent="0.2">
      <c r="B21" s="10" t="s">
        <v>370</v>
      </c>
      <c r="C21" s="15" t="s">
        <v>573</v>
      </c>
      <c r="D21" s="10"/>
      <c r="E21" s="36" t="s">
        <v>546</v>
      </c>
      <c r="F21" s="10" t="s">
        <v>255</v>
      </c>
      <c r="G21" s="63">
        <v>0</v>
      </c>
      <c r="H21" s="223"/>
      <c r="I21" s="180"/>
      <c r="L21" s="7"/>
      <c r="M21" s="7"/>
      <c r="N21" s="7"/>
      <c r="O21" s="7"/>
      <c r="P21" s="7"/>
      <c r="Q21" s="7"/>
    </row>
    <row r="22" spans="2:17" s="2" customFormat="1" ht="18" hidden="1" customHeight="1" x14ac:dyDescent="0.2">
      <c r="B22" s="10" t="s">
        <v>456</v>
      </c>
      <c r="C22" s="15" t="s">
        <v>573</v>
      </c>
      <c r="D22" s="10"/>
      <c r="E22" s="36" t="s">
        <v>547</v>
      </c>
      <c r="F22" s="10" t="s">
        <v>255</v>
      </c>
      <c r="G22" s="63"/>
      <c r="H22" s="223"/>
      <c r="I22" s="180"/>
      <c r="L22" s="7"/>
      <c r="M22" s="7"/>
      <c r="N22" s="7"/>
      <c r="O22" s="7"/>
      <c r="P22" s="7"/>
      <c r="Q22" s="7"/>
    </row>
    <row r="23" spans="2:17" s="2" customFormat="1" ht="18" customHeight="1" x14ac:dyDescent="0.2">
      <c r="B23" s="10" t="s">
        <v>548</v>
      </c>
      <c r="C23" s="15" t="s">
        <v>573</v>
      </c>
      <c r="D23" s="10"/>
      <c r="E23" s="36" t="s">
        <v>549</v>
      </c>
      <c r="F23" s="10" t="s">
        <v>255</v>
      </c>
      <c r="G23" s="63">
        <v>0</v>
      </c>
      <c r="H23" s="223"/>
      <c r="I23" s="180"/>
      <c r="L23" s="7"/>
      <c r="M23" s="7"/>
      <c r="N23" s="7"/>
      <c r="O23" s="7"/>
      <c r="P23" s="7"/>
      <c r="Q23" s="7"/>
    </row>
    <row r="24" spans="2:17" s="118" customFormat="1" ht="18" customHeight="1" x14ac:dyDescent="0.2">
      <c r="B24" s="116"/>
      <c r="C24" s="116"/>
      <c r="D24" s="117"/>
      <c r="E24" s="71"/>
      <c r="F24" s="117"/>
      <c r="G24" s="62"/>
      <c r="H24" s="185"/>
      <c r="I24" s="182"/>
      <c r="L24" s="7"/>
      <c r="M24" s="7"/>
      <c r="N24" s="7"/>
      <c r="O24" s="7"/>
      <c r="P24" s="7"/>
      <c r="Q24" s="7"/>
    </row>
    <row r="25" spans="2:17" s="2" customFormat="1" ht="18" customHeight="1" x14ac:dyDescent="0.2">
      <c r="B25" s="15">
        <v>3.11</v>
      </c>
      <c r="C25" s="15" t="s">
        <v>573</v>
      </c>
      <c r="D25" s="10" t="s">
        <v>382</v>
      </c>
      <c r="E25" s="68" t="s">
        <v>418</v>
      </c>
      <c r="F25" s="10"/>
      <c r="G25" s="63"/>
      <c r="H25" s="105"/>
      <c r="I25" s="179"/>
      <c r="L25" s="7"/>
      <c r="M25" s="7"/>
      <c r="N25" s="7"/>
      <c r="O25" s="7"/>
      <c r="P25" s="7"/>
      <c r="Q25" s="7"/>
    </row>
    <row r="26" spans="2:17" s="2" customFormat="1" ht="25.15" customHeight="1" x14ac:dyDescent="0.2">
      <c r="B26" s="15"/>
      <c r="C26" s="15"/>
      <c r="D26" s="10"/>
      <c r="E26" s="70" t="s">
        <v>351</v>
      </c>
      <c r="F26" s="10"/>
      <c r="G26" s="63"/>
      <c r="H26" s="105"/>
      <c r="I26" s="179"/>
      <c r="L26" s="7"/>
      <c r="M26" s="7"/>
      <c r="N26" s="7"/>
      <c r="O26" s="7"/>
      <c r="P26" s="7"/>
      <c r="Q26" s="7"/>
    </row>
    <row r="27" spans="2:17" s="2" customFormat="1" ht="19.7" customHeight="1" x14ac:dyDescent="0.2">
      <c r="B27" s="10" t="s">
        <v>373</v>
      </c>
      <c r="C27" s="15" t="s">
        <v>573</v>
      </c>
      <c r="D27" s="10"/>
      <c r="E27" s="36" t="s">
        <v>459</v>
      </c>
      <c r="F27" s="10" t="s">
        <v>255</v>
      </c>
      <c r="G27" s="63">
        <v>15</v>
      </c>
      <c r="H27" s="105"/>
      <c r="I27" s="179"/>
      <c r="J27" s="109"/>
      <c r="K27" s="109"/>
      <c r="L27" s="7"/>
      <c r="M27" s="7"/>
      <c r="N27" s="7"/>
      <c r="O27" s="7"/>
      <c r="P27" s="7"/>
      <c r="Q27" s="7"/>
    </row>
    <row r="28" spans="2:17" s="2" customFormat="1" ht="19.7" customHeight="1" x14ac:dyDescent="0.2">
      <c r="B28" s="10" t="s">
        <v>457</v>
      </c>
      <c r="C28" s="15" t="s">
        <v>573</v>
      </c>
      <c r="D28" s="10"/>
      <c r="E28" s="36" t="s">
        <v>546</v>
      </c>
      <c r="F28" s="10" t="s">
        <v>255</v>
      </c>
      <c r="G28" s="63">
        <v>0</v>
      </c>
      <c r="H28" s="223"/>
      <c r="I28" s="180"/>
      <c r="J28" s="109"/>
      <c r="K28" s="109"/>
      <c r="L28" s="7"/>
      <c r="M28" s="7"/>
      <c r="N28" s="7"/>
      <c r="O28" s="7"/>
      <c r="P28" s="7"/>
      <c r="Q28" s="7"/>
    </row>
    <row r="29" spans="2:17" s="2" customFormat="1" ht="19.7" customHeight="1" x14ac:dyDescent="0.2">
      <c r="B29" s="10" t="s">
        <v>458</v>
      </c>
      <c r="C29" s="15" t="s">
        <v>573</v>
      </c>
      <c r="D29" s="10"/>
      <c r="E29" s="36" t="s">
        <v>549</v>
      </c>
      <c r="F29" s="10" t="s">
        <v>255</v>
      </c>
      <c r="G29" s="63">
        <v>0</v>
      </c>
      <c r="H29" s="223"/>
      <c r="I29" s="180"/>
      <c r="L29" s="7"/>
      <c r="M29" s="7"/>
      <c r="N29" s="7"/>
      <c r="O29" s="7"/>
      <c r="P29" s="7"/>
      <c r="Q29" s="7"/>
    </row>
    <row r="30" spans="2:17" s="2" customFormat="1" ht="19.7" customHeight="1" x14ac:dyDescent="0.2">
      <c r="B30" s="15"/>
      <c r="C30" s="15"/>
      <c r="D30" s="10"/>
      <c r="E30" s="36"/>
      <c r="F30" s="10"/>
      <c r="G30" s="63"/>
      <c r="H30" s="105"/>
      <c r="I30" s="179"/>
      <c r="L30" s="7"/>
      <c r="M30" s="7"/>
      <c r="N30" s="7"/>
      <c r="O30" s="7"/>
      <c r="P30" s="7"/>
      <c r="Q30" s="7"/>
    </row>
    <row r="31" spans="2:17" s="2" customFormat="1" ht="18" customHeight="1" x14ac:dyDescent="0.2">
      <c r="B31" s="15">
        <v>3.12</v>
      </c>
      <c r="C31" s="15" t="s">
        <v>573</v>
      </c>
      <c r="D31" s="10" t="s">
        <v>382</v>
      </c>
      <c r="E31" s="68" t="s">
        <v>352</v>
      </c>
      <c r="F31" s="10"/>
      <c r="G31" s="63"/>
      <c r="H31" s="105"/>
      <c r="I31" s="179"/>
      <c r="L31" s="7"/>
      <c r="M31" s="7"/>
      <c r="N31" s="7"/>
      <c r="O31" s="7"/>
      <c r="P31" s="7"/>
      <c r="Q31" s="7"/>
    </row>
    <row r="32" spans="2:17" s="2" customFormat="1" ht="35.1" customHeight="1" x14ac:dyDescent="0.2">
      <c r="B32" s="15"/>
      <c r="C32" s="15"/>
      <c r="D32" s="10"/>
      <c r="E32" s="70" t="s">
        <v>353</v>
      </c>
      <c r="F32" s="10"/>
      <c r="G32" s="63"/>
      <c r="H32" s="105"/>
      <c r="I32" s="179"/>
      <c r="L32" s="7"/>
      <c r="M32" s="7"/>
      <c r="N32" s="7"/>
      <c r="O32" s="7"/>
      <c r="P32" s="7"/>
      <c r="Q32" s="7"/>
    </row>
    <row r="33" spans="2:17" s="2" customFormat="1" ht="19.7" customHeight="1" x14ac:dyDescent="0.2">
      <c r="B33" s="10" t="s">
        <v>374</v>
      </c>
      <c r="C33" s="15" t="s">
        <v>573</v>
      </c>
      <c r="D33" s="10"/>
      <c r="E33" s="36" t="s">
        <v>354</v>
      </c>
      <c r="F33" s="10" t="s">
        <v>255</v>
      </c>
      <c r="G33" s="63">
        <v>4</v>
      </c>
      <c r="H33" s="224"/>
      <c r="I33" s="217"/>
      <c r="J33" s="109"/>
      <c r="K33" s="109"/>
      <c r="L33" s="7"/>
      <c r="M33" s="7"/>
      <c r="N33" s="7"/>
      <c r="O33" s="7"/>
      <c r="P33" s="7"/>
      <c r="Q33" s="7"/>
    </row>
    <row r="34" spans="2:17" s="2" customFormat="1" ht="19.7" customHeight="1" x14ac:dyDescent="0.2">
      <c r="B34" s="15"/>
      <c r="C34" s="15"/>
      <c r="D34" s="10"/>
      <c r="E34" s="71"/>
      <c r="F34" s="10"/>
      <c r="G34" s="63"/>
      <c r="H34" s="105"/>
      <c r="I34" s="179"/>
      <c r="L34" s="7"/>
      <c r="M34" s="7"/>
      <c r="N34" s="7"/>
      <c r="O34" s="7"/>
      <c r="P34" s="7"/>
      <c r="Q34" s="7"/>
    </row>
    <row r="35" spans="2:17" s="2" customFormat="1" ht="18" customHeight="1" x14ac:dyDescent="0.2">
      <c r="B35" s="15">
        <v>3.13</v>
      </c>
      <c r="C35" s="15" t="s">
        <v>573</v>
      </c>
      <c r="D35" s="10" t="s">
        <v>382</v>
      </c>
      <c r="E35" s="68" t="s">
        <v>421</v>
      </c>
      <c r="F35" s="10"/>
      <c r="G35" s="63"/>
      <c r="H35" s="105"/>
      <c r="I35" s="179"/>
      <c r="L35" s="7"/>
      <c r="M35" s="7"/>
      <c r="N35" s="7"/>
      <c r="O35" s="7"/>
      <c r="P35" s="7"/>
      <c r="Q35" s="7"/>
    </row>
    <row r="36" spans="2:17" s="2" customFormat="1" ht="25.15" customHeight="1" x14ac:dyDescent="0.2">
      <c r="B36" s="15"/>
      <c r="C36" s="15"/>
      <c r="D36" s="10"/>
      <c r="E36" s="70" t="s">
        <v>355</v>
      </c>
      <c r="F36" s="10"/>
      <c r="G36" s="63"/>
      <c r="H36" s="105"/>
      <c r="I36" s="179"/>
      <c r="L36" s="7"/>
      <c r="M36" s="7"/>
      <c r="N36" s="7"/>
      <c r="O36" s="7"/>
      <c r="P36" s="7"/>
      <c r="Q36" s="7"/>
    </row>
    <row r="37" spans="2:17" s="2" customFormat="1" ht="19.7" customHeight="1" x14ac:dyDescent="0.2">
      <c r="B37" s="10" t="s">
        <v>375</v>
      </c>
      <c r="C37" s="15" t="s">
        <v>573</v>
      </c>
      <c r="D37" s="10"/>
      <c r="E37" s="36" t="s">
        <v>356</v>
      </c>
      <c r="F37" s="10" t="s">
        <v>255</v>
      </c>
      <c r="G37" s="63">
        <v>2</v>
      </c>
      <c r="H37" s="105"/>
      <c r="I37" s="179"/>
      <c r="L37" s="7"/>
      <c r="M37" s="7"/>
      <c r="N37" s="7"/>
      <c r="O37" s="7"/>
      <c r="P37" s="7"/>
      <c r="Q37" s="7"/>
    </row>
    <row r="38" spans="2:17" s="2" customFormat="1" ht="19.7" customHeight="1" x14ac:dyDescent="0.2">
      <c r="B38" s="10" t="s">
        <v>376</v>
      </c>
      <c r="C38" s="15" t="s">
        <v>573</v>
      </c>
      <c r="D38" s="10"/>
      <c r="E38" s="36" t="s">
        <v>551</v>
      </c>
      <c r="F38" s="10" t="s">
        <v>255</v>
      </c>
      <c r="G38" s="63">
        <v>0</v>
      </c>
      <c r="H38" s="223"/>
      <c r="I38" s="180"/>
      <c r="L38" s="7"/>
      <c r="M38" s="7"/>
      <c r="N38" s="7"/>
      <c r="O38" s="7"/>
      <c r="P38" s="7"/>
      <c r="Q38" s="7"/>
    </row>
    <row r="39" spans="2:17" s="2" customFormat="1" ht="19.7" customHeight="1" x14ac:dyDescent="0.2">
      <c r="B39" s="10" t="s">
        <v>460</v>
      </c>
      <c r="C39" s="15" t="s">
        <v>573</v>
      </c>
      <c r="D39" s="10"/>
      <c r="E39" s="36" t="s">
        <v>550</v>
      </c>
      <c r="F39" s="10" t="s">
        <v>255</v>
      </c>
      <c r="G39" s="63">
        <v>0</v>
      </c>
      <c r="H39" s="223"/>
      <c r="I39" s="180"/>
      <c r="L39" s="7"/>
      <c r="M39" s="7"/>
      <c r="N39" s="7"/>
      <c r="O39" s="7"/>
      <c r="P39" s="7"/>
      <c r="Q39" s="7"/>
    </row>
    <row r="40" spans="2:17" s="2" customFormat="1" ht="19.7" customHeight="1" x14ac:dyDescent="0.2">
      <c r="B40" s="10"/>
      <c r="C40" s="15"/>
      <c r="D40" s="10"/>
      <c r="E40" s="36"/>
      <c r="F40" s="10"/>
      <c r="G40" s="63"/>
      <c r="H40" s="223"/>
      <c r="I40" s="180"/>
      <c r="L40" s="7"/>
      <c r="M40" s="7"/>
      <c r="N40" s="7"/>
      <c r="O40" s="7"/>
      <c r="P40" s="7"/>
      <c r="Q40" s="7"/>
    </row>
    <row r="41" spans="2:17" s="2" customFormat="1" ht="19.7" customHeight="1" x14ac:dyDescent="0.2">
      <c r="B41" s="15">
        <v>3.14</v>
      </c>
      <c r="C41" s="15" t="s">
        <v>573</v>
      </c>
      <c r="D41" s="10" t="s">
        <v>382</v>
      </c>
      <c r="E41" s="68" t="s">
        <v>579</v>
      </c>
      <c r="F41" s="10"/>
      <c r="G41" s="63"/>
      <c r="H41" s="105"/>
      <c r="I41" s="179"/>
      <c r="L41" s="7"/>
      <c r="M41" s="7"/>
      <c r="N41" s="7"/>
      <c r="O41" s="7"/>
      <c r="P41" s="7"/>
      <c r="Q41" s="7"/>
    </row>
    <row r="42" spans="2:17" s="2" customFormat="1" ht="19.7" customHeight="1" x14ac:dyDescent="0.2">
      <c r="B42" s="15"/>
      <c r="C42" s="15"/>
      <c r="D42" s="10"/>
      <c r="E42" s="70" t="s">
        <v>580</v>
      </c>
      <c r="F42" s="10"/>
      <c r="G42" s="63"/>
      <c r="H42" s="105"/>
      <c r="I42" s="179"/>
      <c r="L42" s="7"/>
      <c r="M42" s="7"/>
      <c r="N42" s="7"/>
      <c r="O42" s="7"/>
      <c r="P42" s="7"/>
      <c r="Q42" s="7"/>
    </row>
    <row r="43" spans="2:17" s="2" customFormat="1" ht="25.5" customHeight="1" x14ac:dyDescent="0.2">
      <c r="B43" s="10" t="s">
        <v>377</v>
      </c>
      <c r="C43" s="10"/>
      <c r="D43" s="10"/>
      <c r="E43" s="36" t="s">
        <v>581</v>
      </c>
      <c r="F43" s="10" t="s">
        <v>255</v>
      </c>
      <c r="G43" s="63">
        <v>2</v>
      </c>
      <c r="H43" s="105"/>
      <c r="I43" s="179" t="s">
        <v>545</v>
      </c>
      <c r="L43" s="7"/>
      <c r="M43" s="7"/>
      <c r="N43" s="7"/>
      <c r="O43" s="7"/>
      <c r="P43" s="7"/>
      <c r="Q43" s="7"/>
    </row>
    <row r="44" spans="2:17" s="2" customFormat="1" ht="19.7" customHeight="1" x14ac:dyDescent="0.2">
      <c r="B44" s="10"/>
      <c r="C44" s="15"/>
      <c r="D44" s="10"/>
      <c r="E44" s="36"/>
      <c r="F44" s="10"/>
      <c r="G44" s="63"/>
      <c r="H44" s="223"/>
      <c r="I44" s="180"/>
      <c r="L44" s="7"/>
      <c r="M44" s="7"/>
      <c r="N44" s="7"/>
      <c r="O44" s="7"/>
      <c r="P44" s="7"/>
      <c r="Q44" s="7"/>
    </row>
    <row r="45" spans="2:17" s="2" customFormat="1" ht="18" customHeight="1" x14ac:dyDescent="0.2">
      <c r="B45" s="10"/>
      <c r="C45" s="10"/>
      <c r="D45" s="10"/>
      <c r="E45" s="27"/>
      <c r="F45" s="10"/>
      <c r="G45" s="13"/>
      <c r="H45" s="105"/>
      <c r="I45" s="179"/>
      <c r="L45" s="7"/>
      <c r="M45" s="7"/>
      <c r="N45" s="7"/>
      <c r="O45" s="7"/>
      <c r="P45" s="7"/>
      <c r="Q45" s="7"/>
    </row>
    <row r="46" spans="2:17" ht="20.100000000000001" customHeight="1" x14ac:dyDescent="0.2">
      <c r="B46" s="243" t="s">
        <v>363</v>
      </c>
      <c r="C46" s="244"/>
      <c r="D46" s="245"/>
      <c r="E46" s="245"/>
      <c r="F46" s="245"/>
      <c r="G46" s="246"/>
      <c r="H46" s="247"/>
      <c r="I46" s="248"/>
      <c r="L46" s="7"/>
      <c r="M46" s="7"/>
      <c r="N46" s="7"/>
      <c r="O46" s="7"/>
      <c r="P46" s="7"/>
      <c r="Q46" s="7"/>
    </row>
    <row r="47" spans="2:17" ht="17.100000000000001" customHeight="1" x14ac:dyDescent="0.2">
      <c r="L47" s="7"/>
      <c r="M47" s="7"/>
      <c r="N47" s="7"/>
      <c r="O47" s="7"/>
      <c r="P47" s="7"/>
      <c r="Q47" s="7"/>
    </row>
    <row r="48" spans="2:17" ht="17.100000000000001" customHeight="1" x14ac:dyDescent="0.2">
      <c r="B48" s="259" t="str">
        <f>'Fixed P&amp;Gs'!$B$44:$G$44</f>
        <v xml:space="preserve">NAILANA WS BoQ </v>
      </c>
      <c r="C48" s="259"/>
      <c r="D48" s="259"/>
      <c r="E48" s="259"/>
      <c r="F48" s="259"/>
      <c r="G48" s="259"/>
      <c r="H48" s="259"/>
      <c r="I48" s="82"/>
      <c r="L48" s="7"/>
      <c r="M48" s="7"/>
      <c r="N48" s="7"/>
      <c r="O48" s="7"/>
      <c r="P48" s="7"/>
      <c r="Q48" s="7"/>
    </row>
    <row r="49" spans="12:17" x14ac:dyDescent="0.2">
      <c r="L49" s="7"/>
      <c r="M49" s="7"/>
      <c r="N49" s="7"/>
      <c r="O49" s="7"/>
      <c r="P49" s="7"/>
      <c r="Q49" s="7"/>
    </row>
    <row r="50" spans="12:17" x14ac:dyDescent="0.2">
      <c r="L50" s="7"/>
      <c r="M50" s="7"/>
      <c r="N50" s="7"/>
      <c r="O50" s="7"/>
      <c r="P50" s="7"/>
      <c r="Q50" s="7"/>
    </row>
  </sheetData>
  <sheetProtection selectLockedCells="1"/>
  <mergeCells count="6">
    <mergeCell ref="B48:H48"/>
    <mergeCell ref="B2:F2"/>
    <mergeCell ref="B3:F3"/>
    <mergeCell ref="B9:H9"/>
    <mergeCell ref="G4:I4"/>
    <mergeCell ref="B4:F4"/>
  </mergeCells>
  <phoneticPr fontId="3" type="noConversion"/>
  <pageMargins left="0.27559055118110237" right="0.27559055118110237" top="0.70866141732283472" bottom="0.70866141732283472" header="0.31496062992125984" footer="0.31496062992125984"/>
  <pageSetup paperSize="9" scale="82" orientation="portrait" r:id="rId1"/>
  <headerFooter alignWithMargins="0">
    <oddHeader>&amp;CBoQ&amp;[12] of &amp;[17]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B1:R40"/>
  <sheetViews>
    <sheetView view="pageBreakPreview" topLeftCell="A13" zoomScale="96" zoomScaleNormal="100" zoomScaleSheetLayoutView="96" workbookViewId="0">
      <selection activeCell="I33" sqref="I33"/>
    </sheetView>
  </sheetViews>
  <sheetFormatPr defaultRowHeight="12.75" x14ac:dyDescent="0.2"/>
  <cols>
    <col min="1" max="1" width="1.7109375" customWidth="1"/>
    <col min="2" max="3" width="6.7109375" customWidth="1"/>
    <col min="4" max="4" width="8.7109375" customWidth="1"/>
    <col min="5" max="5" width="35.5703125" customWidth="1"/>
    <col min="6" max="7" width="8.7109375" customWidth="1"/>
    <col min="8" max="8" width="10.7109375" customWidth="1"/>
    <col min="9" max="9" width="17" customWidth="1"/>
    <col min="10" max="10" width="1.7109375" customWidth="1"/>
    <col min="12" max="12" width="10.7109375" customWidth="1"/>
    <col min="13" max="13" width="12.7109375" customWidth="1"/>
    <col min="17" max="17" width="23.7109375" customWidth="1"/>
    <col min="18" max="18" width="24" customWidth="1"/>
  </cols>
  <sheetData>
    <row r="1" spans="2:18" ht="15" customHeight="1" x14ac:dyDescent="0.2">
      <c r="B1" s="72"/>
      <c r="C1" s="72"/>
      <c r="D1" s="72"/>
      <c r="E1" s="72"/>
      <c r="F1" s="72"/>
      <c r="G1" s="72"/>
      <c r="H1" s="72"/>
      <c r="I1" s="73"/>
      <c r="J1" s="74"/>
      <c r="L1" s="72"/>
      <c r="M1" s="73"/>
    </row>
    <row r="2" spans="2:18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260"/>
      <c r="G2" s="80"/>
      <c r="H2" s="80"/>
      <c r="I2" s="80" t="str">
        <f>'Fixed P&amp;Gs'!H1</f>
        <v>ORB.NAIL.2021</v>
      </c>
      <c r="L2" s="80"/>
      <c r="M2" s="80"/>
    </row>
    <row r="3" spans="2:18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261"/>
      <c r="G3" s="80"/>
      <c r="H3" s="80"/>
      <c r="I3" s="80"/>
      <c r="L3" s="80"/>
      <c r="M3" s="80"/>
    </row>
    <row r="4" spans="2:18" ht="18" customHeight="1" x14ac:dyDescent="0.2">
      <c r="B4" s="260" t="str">
        <f>'Fixed P&amp;Gs'!B4</f>
        <v>NAILANA VILLAGE WATER SUPPLY</v>
      </c>
      <c r="C4" s="260"/>
      <c r="D4" s="260"/>
      <c r="E4" s="260"/>
      <c r="F4" s="260"/>
      <c r="G4" s="262" t="str">
        <f>'Fixed P&amp;Gs'!F4</f>
        <v>CONTRACT No:INF-W06/2022/2023</v>
      </c>
      <c r="H4" s="262"/>
      <c r="I4" s="262"/>
    </row>
    <row r="5" spans="2:18" ht="18" customHeight="1" x14ac:dyDescent="0.2">
      <c r="B5" s="41" t="s">
        <v>425</v>
      </c>
      <c r="C5" s="125"/>
      <c r="D5" s="42"/>
      <c r="E5" s="43"/>
      <c r="F5" s="44"/>
      <c r="G5" s="44"/>
      <c r="H5" s="44"/>
      <c r="I5" s="113"/>
    </row>
    <row r="6" spans="2:18" ht="18" customHeight="1" x14ac:dyDescent="0.2">
      <c r="B6" s="46" t="s">
        <v>286</v>
      </c>
      <c r="C6" s="47"/>
      <c r="D6" s="47"/>
      <c r="E6" s="48"/>
      <c r="F6" s="47"/>
      <c r="G6" s="49"/>
      <c r="H6" s="49"/>
      <c r="I6" s="49"/>
    </row>
    <row r="7" spans="2:18" ht="4.9000000000000004" customHeight="1" x14ac:dyDescent="0.2">
      <c r="B7" s="1"/>
      <c r="C7" s="1"/>
      <c r="D7" s="1"/>
    </row>
    <row r="8" spans="2:18" ht="25.15" customHeight="1" x14ac:dyDescent="0.2">
      <c r="B8" s="51" t="s">
        <v>238</v>
      </c>
      <c r="C8" s="51" t="s">
        <v>573</v>
      </c>
      <c r="D8" s="51" t="s">
        <v>237</v>
      </c>
      <c r="E8" s="53" t="s">
        <v>1</v>
      </c>
      <c r="F8" s="52" t="s">
        <v>2</v>
      </c>
      <c r="G8" s="52" t="s">
        <v>3</v>
      </c>
      <c r="H8" s="52" t="s">
        <v>4</v>
      </c>
      <c r="I8" s="52" t="s">
        <v>5</v>
      </c>
    </row>
    <row r="9" spans="2:18" ht="20.100000000000001" customHeight="1" x14ac:dyDescent="0.2">
      <c r="B9" s="271" t="s">
        <v>364</v>
      </c>
      <c r="C9" s="271"/>
      <c r="D9" s="271"/>
      <c r="E9" s="271"/>
      <c r="F9" s="271"/>
      <c r="G9" s="271"/>
      <c r="H9" s="271"/>
      <c r="I9" s="130">
        <f>Pipelines3!I46</f>
        <v>0</v>
      </c>
    </row>
    <row r="10" spans="2:18" ht="18" customHeight="1" x14ac:dyDescent="0.2">
      <c r="B10" s="6" t="s">
        <v>287</v>
      </c>
      <c r="C10" s="6"/>
      <c r="D10" s="4"/>
      <c r="E10" s="18" t="s">
        <v>132</v>
      </c>
      <c r="F10" s="18"/>
      <c r="G10" s="18"/>
      <c r="H10" s="103"/>
      <c r="I10" s="103"/>
    </row>
    <row r="11" spans="2:18" s="7" customFormat="1" ht="25.15" customHeight="1" x14ac:dyDescent="0.2">
      <c r="B11" s="19"/>
      <c r="C11" s="19"/>
      <c r="D11" s="19"/>
      <c r="E11" s="9" t="s">
        <v>131</v>
      </c>
      <c r="F11" s="8"/>
      <c r="G11" s="8"/>
      <c r="H11" s="104"/>
      <c r="I11" s="179"/>
      <c r="L11"/>
      <c r="M11"/>
      <c r="N11"/>
      <c r="O11"/>
      <c r="P11"/>
      <c r="Q11"/>
      <c r="R11"/>
    </row>
    <row r="12" spans="2:18" s="7" customFormat="1" ht="18" customHeight="1" x14ac:dyDescent="0.2">
      <c r="B12" s="15">
        <v>3.14</v>
      </c>
      <c r="C12" s="15" t="s">
        <v>573</v>
      </c>
      <c r="D12" s="10" t="s">
        <v>305</v>
      </c>
      <c r="E12" s="17" t="s">
        <v>357</v>
      </c>
      <c r="F12" s="10"/>
      <c r="G12" s="13"/>
      <c r="H12" s="104"/>
      <c r="I12" s="179"/>
      <c r="L12"/>
      <c r="M12"/>
      <c r="N12"/>
      <c r="O12"/>
      <c r="P12"/>
      <c r="Q12"/>
      <c r="R12"/>
    </row>
    <row r="13" spans="2:18" s="7" customFormat="1" ht="35.1" customHeight="1" x14ac:dyDescent="0.2">
      <c r="B13" s="10" t="s">
        <v>377</v>
      </c>
      <c r="C13" s="15" t="s">
        <v>573</v>
      </c>
      <c r="D13" s="10"/>
      <c r="E13" s="27" t="s">
        <v>420</v>
      </c>
      <c r="F13" s="10" t="s">
        <v>255</v>
      </c>
      <c r="G13" s="123">
        <v>190</v>
      </c>
      <c r="H13" s="216"/>
      <c r="I13" s="217"/>
      <c r="L13"/>
      <c r="M13"/>
      <c r="N13"/>
      <c r="O13"/>
      <c r="P13"/>
      <c r="Q13"/>
      <c r="R13"/>
    </row>
    <row r="14" spans="2:18" s="7" customFormat="1" ht="35.1" customHeight="1" x14ac:dyDescent="0.2">
      <c r="B14" s="10" t="s">
        <v>494</v>
      </c>
      <c r="C14" s="15" t="s">
        <v>573</v>
      </c>
      <c r="D14" s="10"/>
      <c r="E14" s="27" t="s">
        <v>552</v>
      </c>
      <c r="F14" s="19" t="s">
        <v>255</v>
      </c>
      <c r="G14" s="123">
        <f>G13</f>
        <v>190</v>
      </c>
      <c r="H14" s="216"/>
      <c r="I14" s="217"/>
      <c r="L14"/>
      <c r="M14"/>
      <c r="N14"/>
      <c r="O14"/>
      <c r="P14"/>
      <c r="Q14"/>
      <c r="R14"/>
    </row>
    <row r="15" spans="2:18" s="7" customFormat="1" ht="18" customHeight="1" x14ac:dyDescent="0.2">
      <c r="B15" s="19"/>
      <c r="C15" s="19"/>
      <c r="D15" s="19"/>
      <c r="E15" s="9"/>
      <c r="F15" s="8"/>
      <c r="G15" s="63"/>
      <c r="H15" s="185"/>
      <c r="I15" s="179"/>
      <c r="L15"/>
      <c r="M15"/>
      <c r="N15"/>
      <c r="O15"/>
      <c r="P15"/>
      <c r="Q15"/>
      <c r="R15"/>
    </row>
    <row r="16" spans="2:18" s="7" customFormat="1" ht="18" customHeight="1" x14ac:dyDescent="0.2">
      <c r="B16" s="15">
        <v>3.15</v>
      </c>
      <c r="C16" s="15" t="s">
        <v>573</v>
      </c>
      <c r="D16" s="10" t="s">
        <v>305</v>
      </c>
      <c r="E16" s="17" t="s">
        <v>422</v>
      </c>
      <c r="F16" s="10"/>
      <c r="G16" s="63"/>
      <c r="H16" s="185"/>
      <c r="I16" s="179"/>
      <c r="L16"/>
      <c r="M16"/>
      <c r="N16"/>
      <c r="O16"/>
      <c r="P16"/>
      <c r="Q16"/>
      <c r="R16"/>
    </row>
    <row r="17" spans="2:18" s="7" customFormat="1" ht="25.15" customHeight="1" x14ac:dyDescent="0.2">
      <c r="B17" s="10" t="s">
        <v>378</v>
      </c>
      <c r="C17" s="15" t="s">
        <v>573</v>
      </c>
      <c r="D17" s="10"/>
      <c r="E17" s="54" t="s">
        <v>424</v>
      </c>
      <c r="F17" s="10" t="s">
        <v>255</v>
      </c>
      <c r="G17" s="63">
        <f>Pipelines3!G33</f>
        <v>4</v>
      </c>
      <c r="H17" s="185"/>
      <c r="I17" s="179"/>
      <c r="L17"/>
      <c r="M17"/>
      <c r="N17"/>
      <c r="O17"/>
      <c r="P17"/>
      <c r="Q17"/>
      <c r="R17"/>
    </row>
    <row r="18" spans="2:18" s="7" customFormat="1" ht="23.85" customHeight="1" x14ac:dyDescent="0.2">
      <c r="B18" s="10" t="s">
        <v>379</v>
      </c>
      <c r="C18" s="15" t="s">
        <v>573</v>
      </c>
      <c r="D18" s="10"/>
      <c r="E18" s="27" t="s">
        <v>423</v>
      </c>
      <c r="F18" s="10" t="s">
        <v>255</v>
      </c>
      <c r="G18" s="63">
        <f>G17</f>
        <v>4</v>
      </c>
      <c r="H18" s="185"/>
      <c r="I18" s="179"/>
      <c r="J18" s="110"/>
      <c r="K18" s="110"/>
      <c r="L18"/>
      <c r="M18"/>
      <c r="N18"/>
      <c r="O18"/>
      <c r="P18"/>
      <c r="Q18"/>
      <c r="R18"/>
    </row>
    <row r="19" spans="2:18" s="7" customFormat="1" ht="18" customHeight="1" x14ac:dyDescent="0.2">
      <c r="B19" s="15"/>
      <c r="C19" s="15"/>
      <c r="D19" s="10"/>
      <c r="E19" s="24"/>
      <c r="F19" s="10"/>
      <c r="G19" s="63"/>
      <c r="H19" s="185"/>
      <c r="I19" s="179"/>
      <c r="L19"/>
      <c r="M19"/>
      <c r="N19"/>
      <c r="O19"/>
      <c r="P19"/>
      <c r="Q19"/>
      <c r="R19"/>
    </row>
    <row r="20" spans="2:18" s="7" customFormat="1" ht="18" customHeight="1" x14ac:dyDescent="0.2">
      <c r="B20" s="15">
        <v>3.16</v>
      </c>
      <c r="C20" s="15" t="s">
        <v>573</v>
      </c>
      <c r="D20" s="10" t="s">
        <v>381</v>
      </c>
      <c r="E20" s="17" t="s">
        <v>304</v>
      </c>
      <c r="F20" s="10"/>
      <c r="G20" s="63"/>
      <c r="H20" s="185"/>
      <c r="I20" s="179"/>
      <c r="L20"/>
      <c r="M20"/>
      <c r="N20"/>
      <c r="O20"/>
      <c r="P20"/>
      <c r="Q20"/>
      <c r="R20"/>
    </row>
    <row r="21" spans="2:18" s="7" customFormat="1" ht="45.2" customHeight="1" x14ac:dyDescent="0.2">
      <c r="B21" s="10" t="s">
        <v>384</v>
      </c>
      <c r="C21" s="10"/>
      <c r="D21" s="10"/>
      <c r="E21" s="8" t="s">
        <v>426</v>
      </c>
      <c r="F21" s="10" t="s">
        <v>255</v>
      </c>
      <c r="G21" s="63">
        <f>Pipelines3!G20+Pipelines3!G21+Pipelines3!G22+Pipelines3!G27+Pipelines3!G28+Pipelines3!G29+Pipelines3!G33+Pipelines3!G37+Pipelines3!G38</f>
        <v>36</v>
      </c>
      <c r="H21" s="185"/>
      <c r="I21" s="179"/>
      <c r="J21" s="110"/>
      <c r="K21" s="110"/>
      <c r="L21"/>
      <c r="M21"/>
      <c r="N21"/>
      <c r="O21"/>
      <c r="P21"/>
      <c r="Q21"/>
      <c r="R21"/>
    </row>
    <row r="22" spans="2:18" s="7" customFormat="1" ht="25.15" customHeight="1" x14ac:dyDescent="0.2">
      <c r="B22" s="10" t="s">
        <v>428</v>
      </c>
      <c r="C22" s="10"/>
      <c r="D22" s="10"/>
      <c r="E22" s="8" t="s">
        <v>380</v>
      </c>
      <c r="F22" s="10" t="s">
        <v>255</v>
      </c>
      <c r="G22" s="62">
        <v>2</v>
      </c>
      <c r="H22" s="185"/>
      <c r="I22" s="179"/>
      <c r="L22"/>
      <c r="M22"/>
      <c r="N22"/>
      <c r="O22"/>
      <c r="P22"/>
      <c r="Q22"/>
      <c r="R22"/>
    </row>
    <row r="23" spans="2:18" s="7" customFormat="1" ht="18" customHeight="1" x14ac:dyDescent="0.2">
      <c r="B23" s="19"/>
      <c r="C23" s="19"/>
      <c r="D23" s="19"/>
      <c r="E23" s="9"/>
      <c r="F23" s="8"/>
      <c r="G23" s="8"/>
      <c r="H23" s="104"/>
      <c r="I23" s="179"/>
      <c r="L23"/>
      <c r="M23"/>
      <c r="N23"/>
      <c r="O23"/>
      <c r="P23"/>
      <c r="Q23"/>
      <c r="R23"/>
    </row>
    <row r="24" spans="2:18" s="2" customFormat="1" ht="18" customHeight="1" x14ac:dyDescent="0.2">
      <c r="B24" s="15">
        <v>3.17</v>
      </c>
      <c r="C24" s="15" t="s">
        <v>573</v>
      </c>
      <c r="D24" s="10"/>
      <c r="E24" s="17" t="s">
        <v>358</v>
      </c>
      <c r="F24" s="10"/>
      <c r="G24" s="13"/>
      <c r="H24" s="105"/>
      <c r="I24" s="179"/>
      <c r="L24"/>
      <c r="M24"/>
      <c r="N24"/>
      <c r="O24"/>
      <c r="P24"/>
      <c r="Q24"/>
      <c r="R24"/>
    </row>
    <row r="25" spans="2:18" s="2" customFormat="1" ht="35.1" customHeight="1" x14ac:dyDescent="0.2">
      <c r="B25" s="10" t="s">
        <v>385</v>
      </c>
      <c r="C25" s="15" t="s">
        <v>573</v>
      </c>
      <c r="D25" s="10"/>
      <c r="E25" s="27" t="s">
        <v>434</v>
      </c>
      <c r="F25" s="10" t="s">
        <v>255</v>
      </c>
      <c r="G25" s="13">
        <f>G13</f>
        <v>190</v>
      </c>
      <c r="H25" s="105"/>
      <c r="I25" s="179"/>
      <c r="L25"/>
      <c r="M25"/>
      <c r="N25"/>
      <c r="O25"/>
      <c r="P25"/>
      <c r="Q25"/>
      <c r="R25"/>
    </row>
    <row r="26" spans="2:18" s="2" customFormat="1" ht="18" customHeight="1" x14ac:dyDescent="0.2">
      <c r="B26" s="15"/>
      <c r="C26" s="15"/>
      <c r="D26" s="10"/>
      <c r="E26" s="27"/>
      <c r="F26" s="10"/>
      <c r="G26" s="13"/>
      <c r="H26" s="105"/>
      <c r="I26" s="179"/>
      <c r="L26"/>
      <c r="M26"/>
      <c r="N26"/>
      <c r="O26"/>
      <c r="P26"/>
      <c r="Q26"/>
      <c r="R26"/>
    </row>
    <row r="27" spans="2:18" s="2" customFormat="1" ht="18" customHeight="1" x14ac:dyDescent="0.2">
      <c r="B27" s="15">
        <v>3.18</v>
      </c>
      <c r="C27" s="15"/>
      <c r="D27" s="10" t="s">
        <v>130</v>
      </c>
      <c r="E27" s="23" t="s">
        <v>359</v>
      </c>
      <c r="F27" s="10"/>
      <c r="G27" s="13"/>
      <c r="H27" s="105"/>
      <c r="I27" s="179"/>
      <c r="L27"/>
      <c r="M27"/>
      <c r="N27"/>
      <c r="O27"/>
      <c r="P27"/>
      <c r="Q27"/>
      <c r="R27"/>
    </row>
    <row r="28" spans="2:18" s="2" customFormat="1" ht="19.7" customHeight="1" x14ac:dyDescent="0.2">
      <c r="B28" s="10" t="s">
        <v>386</v>
      </c>
      <c r="C28" s="10"/>
      <c r="D28" s="10"/>
      <c r="E28" s="12" t="s">
        <v>461</v>
      </c>
      <c r="F28" s="10" t="s">
        <v>105</v>
      </c>
      <c r="G28" s="13">
        <f>IF(Pipelines1!G14="","",Pipelines1!G14)</f>
        <v>20500</v>
      </c>
      <c r="H28" s="105"/>
      <c r="I28" s="179"/>
      <c r="J28" s="109"/>
      <c r="K28" s="109"/>
      <c r="L28"/>
      <c r="M28"/>
      <c r="N28"/>
      <c r="O28"/>
      <c r="P28"/>
      <c r="Q28"/>
      <c r="R28"/>
    </row>
    <row r="29" spans="2:18" s="2" customFormat="1" ht="19.7" customHeight="1" x14ac:dyDescent="0.2">
      <c r="B29" s="10" t="s">
        <v>387</v>
      </c>
      <c r="C29" s="10"/>
      <c r="D29" s="10"/>
      <c r="E29" s="12" t="s">
        <v>553</v>
      </c>
      <c r="F29" s="10" t="s">
        <v>105</v>
      </c>
      <c r="G29" s="13"/>
      <c r="H29" s="105"/>
      <c r="I29" s="179"/>
      <c r="J29" s="109"/>
      <c r="K29" s="109"/>
      <c r="L29"/>
      <c r="M29"/>
      <c r="N29"/>
      <c r="O29"/>
      <c r="P29"/>
      <c r="Q29"/>
      <c r="R29"/>
    </row>
    <row r="30" spans="2:18" s="2" customFormat="1" ht="19.7" customHeight="1" x14ac:dyDescent="0.2">
      <c r="B30" s="10" t="s">
        <v>388</v>
      </c>
      <c r="C30" s="10"/>
      <c r="D30" s="10"/>
      <c r="E30" s="64" t="s">
        <v>561</v>
      </c>
      <c r="F30" s="10" t="s">
        <v>105</v>
      </c>
      <c r="G30" s="13">
        <f>IF(Pipelines1!G16="","",Pipelines1!G16)</f>
        <v>3200</v>
      </c>
      <c r="H30" s="105"/>
      <c r="I30" s="179"/>
      <c r="J30" s="109"/>
      <c r="K30" s="109"/>
      <c r="L30"/>
      <c r="M30"/>
      <c r="N30"/>
      <c r="O30"/>
      <c r="P30"/>
      <c r="Q30"/>
      <c r="R30"/>
    </row>
    <row r="31" spans="2:18" s="2" customFormat="1" ht="19.7" customHeight="1" x14ac:dyDescent="0.2">
      <c r="B31" s="10" t="s">
        <v>462</v>
      </c>
      <c r="C31" s="10"/>
      <c r="D31" s="10"/>
      <c r="E31" s="28" t="s">
        <v>429</v>
      </c>
      <c r="F31" s="10" t="s">
        <v>0</v>
      </c>
      <c r="G31" s="13">
        <v>1</v>
      </c>
      <c r="H31" s="105"/>
      <c r="I31" s="215">
        <f t="shared" ref="I31" si="0">H31*G31</f>
        <v>0</v>
      </c>
      <c r="L31"/>
      <c r="M31"/>
      <c r="N31"/>
      <c r="O31"/>
      <c r="P31"/>
      <c r="Q31"/>
      <c r="R31"/>
    </row>
    <row r="32" spans="2:18" s="2" customFormat="1" ht="19.7" customHeight="1" x14ac:dyDescent="0.2">
      <c r="B32" s="10"/>
      <c r="C32" s="10"/>
      <c r="D32" s="10"/>
      <c r="E32" s="28"/>
      <c r="F32" s="10"/>
      <c r="G32" s="13"/>
      <c r="H32" s="105"/>
      <c r="I32" s="179"/>
      <c r="L32"/>
      <c r="M32"/>
      <c r="N32"/>
      <c r="O32"/>
      <c r="P32"/>
      <c r="Q32"/>
      <c r="R32"/>
    </row>
    <row r="33" spans="2:18" s="2" customFormat="1" ht="18" customHeight="1" x14ac:dyDescent="0.2">
      <c r="B33" s="15">
        <v>3.19</v>
      </c>
      <c r="C33" s="15" t="s">
        <v>573</v>
      </c>
      <c r="D33" s="10" t="s">
        <v>130</v>
      </c>
      <c r="E33" s="23" t="s">
        <v>360</v>
      </c>
      <c r="F33" s="10"/>
      <c r="G33" s="13"/>
      <c r="H33" s="105"/>
      <c r="I33" s="179"/>
      <c r="L33"/>
      <c r="M33"/>
      <c r="N33"/>
      <c r="O33"/>
      <c r="P33"/>
      <c r="Q33"/>
      <c r="R33"/>
    </row>
    <row r="34" spans="2:18" s="2" customFormat="1" ht="19.7" customHeight="1" x14ac:dyDescent="0.2">
      <c r="B34" s="10" t="s">
        <v>389</v>
      </c>
      <c r="C34" s="10"/>
      <c r="D34" s="10"/>
      <c r="E34" s="12" t="s">
        <v>461</v>
      </c>
      <c r="F34" s="10" t="s">
        <v>105</v>
      </c>
      <c r="G34" s="13">
        <f>IF(G28="","",G28)</f>
        <v>20500</v>
      </c>
      <c r="H34" s="105"/>
      <c r="I34" s="179"/>
      <c r="J34" s="109"/>
      <c r="K34" s="109"/>
      <c r="L34"/>
      <c r="M34"/>
      <c r="N34"/>
      <c r="O34"/>
      <c r="P34"/>
      <c r="Q34"/>
      <c r="R34"/>
    </row>
    <row r="35" spans="2:18" s="2" customFormat="1" ht="19.7" customHeight="1" x14ac:dyDescent="0.2">
      <c r="B35" s="10" t="s">
        <v>390</v>
      </c>
      <c r="C35" s="10"/>
      <c r="D35" s="10"/>
      <c r="E35" s="12" t="s">
        <v>553</v>
      </c>
      <c r="F35" s="10" t="s">
        <v>105</v>
      </c>
      <c r="G35" s="13"/>
      <c r="H35" s="105"/>
      <c r="I35" s="179"/>
      <c r="J35" s="109"/>
      <c r="K35" s="109"/>
      <c r="L35"/>
      <c r="M35"/>
      <c r="N35"/>
      <c r="O35"/>
      <c r="P35"/>
      <c r="Q35"/>
      <c r="R35"/>
    </row>
    <row r="36" spans="2:18" s="2" customFormat="1" ht="19.7" customHeight="1" x14ac:dyDescent="0.2">
      <c r="B36" s="10" t="s">
        <v>464</v>
      </c>
      <c r="C36" s="10"/>
      <c r="D36" s="10"/>
      <c r="E36" s="28" t="s">
        <v>571</v>
      </c>
      <c r="F36" s="10" t="s">
        <v>105</v>
      </c>
      <c r="G36" s="13">
        <f>IF(G30="","",G30)</f>
        <v>3200</v>
      </c>
      <c r="H36" s="105"/>
      <c r="I36" s="179"/>
      <c r="J36" s="109"/>
      <c r="K36" s="109"/>
      <c r="L36"/>
      <c r="M36"/>
      <c r="N36"/>
      <c r="O36"/>
      <c r="P36"/>
      <c r="Q36"/>
      <c r="R36"/>
    </row>
    <row r="37" spans="2:18" s="2" customFormat="1" ht="18" hidden="1" customHeight="1" x14ac:dyDescent="0.2">
      <c r="B37" s="10" t="s">
        <v>465</v>
      </c>
      <c r="C37" s="10"/>
      <c r="D37" s="10"/>
      <c r="E37" s="24" t="s">
        <v>463</v>
      </c>
      <c r="F37" s="10" t="s">
        <v>105</v>
      </c>
      <c r="G37" s="13" t="e">
        <f>IF(#REF!="","",#REF!)</f>
        <v>#REF!</v>
      </c>
      <c r="H37" s="199"/>
      <c r="I37" s="86" t="e">
        <f>IF(G37="",IF(F37="","","Rate Only"),"")</f>
        <v>#REF!</v>
      </c>
      <c r="L37"/>
      <c r="M37"/>
      <c r="N37"/>
      <c r="O37"/>
      <c r="P37"/>
      <c r="Q37"/>
      <c r="R37"/>
    </row>
    <row r="38" spans="2:18" ht="20.100000000000001" customHeight="1" x14ac:dyDescent="0.2">
      <c r="B38" s="266" t="s">
        <v>363</v>
      </c>
      <c r="C38" s="267"/>
      <c r="D38" s="267"/>
      <c r="E38" s="267"/>
      <c r="F38" s="267"/>
      <c r="G38" s="268"/>
      <c r="H38" s="247"/>
      <c r="I38" s="252">
        <f>SUM(I9:I36)</f>
        <v>0</v>
      </c>
    </row>
    <row r="39" spans="2:18" ht="11.25" customHeight="1" x14ac:dyDescent="0.2"/>
    <row r="40" spans="2:18" ht="17.100000000000001" customHeight="1" x14ac:dyDescent="0.2">
      <c r="B40" s="259" t="str">
        <f>'Fixed P&amp;Gs'!$B$44:$G$44</f>
        <v xml:space="preserve">NAILANA WS BoQ </v>
      </c>
      <c r="C40" s="259"/>
      <c r="D40" s="259"/>
      <c r="E40" s="259"/>
      <c r="F40" s="259"/>
      <c r="G40" s="259"/>
      <c r="H40" s="259"/>
      <c r="I40" s="82"/>
    </row>
  </sheetData>
  <sheetProtection algorithmName="SHA-512" hashValue="m8IauCHO04/lu1AR7aweucUR6uxaA6JCATX2Gg0N8hNM6DjhVmnZPj93zcdeSWsrd2TnvLpyER2kcFbrNHkEUg==" saltValue="JAOSuSrjNbUmf78fgz5asA==" spinCount="100000" sheet="1" objects="1" scenarios="1" selectLockedCells="1"/>
  <mergeCells count="7">
    <mergeCell ref="B40:H40"/>
    <mergeCell ref="B2:F2"/>
    <mergeCell ref="B3:F3"/>
    <mergeCell ref="B9:H9"/>
    <mergeCell ref="G4:I4"/>
    <mergeCell ref="B4:F4"/>
    <mergeCell ref="B38:G38"/>
  </mergeCells>
  <phoneticPr fontId="3" type="noConversion"/>
  <pageMargins left="0.27559055118110237" right="0.27559055118110237" top="0.70866141732283472" bottom="0.70866141732283472" header="0.31496062992125984" footer="0.31496062992125984"/>
  <pageSetup paperSize="9" scale="94" orientation="portrait" r:id="rId1"/>
  <headerFooter alignWithMargins="0">
    <oddHeader>&amp;CBoQ &amp;[13] of &amp;[17]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9"/>
  <sheetViews>
    <sheetView view="pageBreakPreview" topLeftCell="A4" zoomScale="96" zoomScaleNormal="100" zoomScaleSheetLayoutView="96" workbookViewId="0">
      <selection activeCell="H19" sqref="H19"/>
    </sheetView>
  </sheetViews>
  <sheetFormatPr defaultRowHeight="12.75" x14ac:dyDescent="0.2"/>
  <cols>
    <col min="1" max="1" width="1.7109375" customWidth="1"/>
    <col min="2" max="2" width="8.85546875" customWidth="1"/>
    <col min="3" max="3" width="6.7109375" customWidth="1"/>
    <col min="4" max="4" width="8.7109375" customWidth="1"/>
    <col min="5" max="5" width="35.5703125" customWidth="1"/>
    <col min="6" max="7" width="8.7109375" customWidth="1"/>
    <col min="8" max="8" width="10.7109375" customWidth="1"/>
    <col min="9" max="9" width="12.7109375" customWidth="1"/>
    <col min="10" max="10" width="3.7109375" customWidth="1"/>
    <col min="12" max="12" width="10.7109375" customWidth="1"/>
    <col min="13" max="13" width="12.7109375" customWidth="1"/>
  </cols>
  <sheetData>
    <row r="1" spans="2:15" ht="15" customHeight="1" x14ac:dyDescent="0.2">
      <c r="B1" s="72"/>
      <c r="C1" s="72"/>
      <c r="D1" s="72"/>
      <c r="E1" s="72"/>
      <c r="F1" s="72"/>
      <c r="G1" s="72"/>
      <c r="H1" s="72"/>
      <c r="I1" s="73"/>
      <c r="J1" s="74"/>
      <c r="L1" s="72"/>
      <c r="M1" s="73"/>
    </row>
    <row r="2" spans="2:15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260"/>
      <c r="G2" s="80"/>
      <c r="H2" s="80"/>
      <c r="I2" s="80" t="str">
        <f>'Fixed P&amp;Gs'!H1</f>
        <v>ORB.NAIL.2021</v>
      </c>
      <c r="L2" s="80"/>
      <c r="M2" s="80"/>
    </row>
    <row r="3" spans="2:15" ht="18" customHeight="1" x14ac:dyDescent="0.2">
      <c r="B3" s="260" t="str">
        <f>'Fixed P&amp;Gs'!B3</f>
        <v xml:space="preserve">SCHEDULE OF QUANTITIES: </v>
      </c>
      <c r="C3" s="260"/>
      <c r="D3" s="260"/>
      <c r="E3" s="260"/>
      <c r="F3" s="260"/>
      <c r="G3" s="80"/>
      <c r="H3" s="80"/>
      <c r="I3" s="80"/>
      <c r="L3" s="80"/>
      <c r="M3" s="80"/>
    </row>
    <row r="4" spans="2:15" ht="18" customHeight="1" x14ac:dyDescent="0.2">
      <c r="B4" s="260" t="str">
        <f>'Fixed P&amp;Gs'!B4</f>
        <v>NAILANA VILLAGE WATER SUPPLY</v>
      </c>
      <c r="C4" s="260"/>
      <c r="D4" s="260"/>
      <c r="E4" s="260"/>
      <c r="F4" s="260"/>
      <c r="G4" s="262" t="str">
        <f>'Fixed P&amp;Gs'!F4</f>
        <v>CONTRACT No:INF-W06/2022/2023</v>
      </c>
      <c r="H4" s="262"/>
      <c r="I4" s="262"/>
    </row>
    <row r="5" spans="2:15" ht="18" customHeight="1" x14ac:dyDescent="0.2">
      <c r="B5" s="41" t="s">
        <v>425</v>
      </c>
      <c r="C5" s="125"/>
      <c r="D5" s="42"/>
      <c r="E5" s="43"/>
      <c r="F5" s="44"/>
      <c r="G5" s="44"/>
      <c r="H5" s="44"/>
      <c r="I5" s="113"/>
    </row>
    <row r="6" spans="2:15" ht="18" customHeight="1" x14ac:dyDescent="0.2">
      <c r="B6" s="46" t="s">
        <v>286</v>
      </c>
      <c r="C6" s="47"/>
      <c r="D6" s="47"/>
      <c r="E6" s="48"/>
      <c r="F6" s="47"/>
      <c r="G6" s="49"/>
      <c r="H6" s="49"/>
      <c r="I6" s="49"/>
    </row>
    <row r="7" spans="2:15" ht="4.9000000000000004" customHeight="1" x14ac:dyDescent="0.2">
      <c r="B7" s="1"/>
      <c r="C7" s="1"/>
      <c r="D7" s="1"/>
    </row>
    <row r="8" spans="2:15" ht="25.15" customHeight="1" x14ac:dyDescent="0.2">
      <c r="B8" s="51" t="s">
        <v>238</v>
      </c>
      <c r="C8" s="51" t="s">
        <v>573</v>
      </c>
      <c r="D8" s="51" t="s">
        <v>237</v>
      </c>
      <c r="E8" s="53" t="s">
        <v>1</v>
      </c>
      <c r="F8" s="52" t="s">
        <v>2</v>
      </c>
      <c r="G8" s="52" t="s">
        <v>3</v>
      </c>
      <c r="H8" s="52" t="s">
        <v>4</v>
      </c>
      <c r="I8" s="52" t="s">
        <v>5</v>
      </c>
    </row>
    <row r="9" spans="2:15" ht="20.100000000000001" customHeight="1" x14ac:dyDescent="0.2">
      <c r="B9" s="271" t="s">
        <v>364</v>
      </c>
      <c r="C9" s="271"/>
      <c r="D9" s="271"/>
      <c r="E9" s="271"/>
      <c r="F9" s="271"/>
      <c r="G9" s="271"/>
      <c r="H9" s="271"/>
      <c r="I9" s="130">
        <f>Pipelines4!I38</f>
        <v>0</v>
      </c>
    </row>
    <row r="10" spans="2:15" ht="18" customHeight="1" x14ac:dyDescent="0.2">
      <c r="B10" s="6" t="s">
        <v>287</v>
      </c>
      <c r="C10" s="6"/>
      <c r="D10" s="4"/>
      <c r="E10" s="18" t="s">
        <v>132</v>
      </c>
      <c r="F10" s="18"/>
      <c r="G10" s="18"/>
      <c r="H10" s="103"/>
      <c r="I10" s="103"/>
    </row>
    <row r="11" spans="2:15" s="7" customFormat="1" ht="25.15" customHeight="1" x14ac:dyDescent="0.2">
      <c r="B11" s="19"/>
      <c r="C11" s="19"/>
      <c r="D11" s="19"/>
      <c r="E11" s="9" t="s">
        <v>131</v>
      </c>
      <c r="F11" s="8"/>
      <c r="G11" s="8"/>
      <c r="H11" s="104"/>
      <c r="I11" s="104"/>
      <c r="K11"/>
      <c r="L11"/>
      <c r="M11"/>
      <c r="N11"/>
      <c r="O11"/>
    </row>
    <row r="12" spans="2:15" s="7" customFormat="1" ht="18" customHeight="1" x14ac:dyDescent="0.2">
      <c r="B12" s="10"/>
      <c r="C12" s="10"/>
      <c r="D12" s="10"/>
      <c r="E12" s="28"/>
      <c r="F12" s="10"/>
      <c r="G12" s="13"/>
      <c r="H12" s="105"/>
      <c r="I12" s="179"/>
      <c r="K12"/>
      <c r="L12"/>
      <c r="M12"/>
      <c r="N12"/>
      <c r="O12"/>
    </row>
    <row r="13" spans="2:15" s="7" customFormat="1" ht="18" customHeight="1" x14ac:dyDescent="0.2">
      <c r="B13" s="55">
        <v>3.2</v>
      </c>
      <c r="C13" s="55"/>
      <c r="D13" s="10" t="s">
        <v>394</v>
      </c>
      <c r="E13" s="23" t="s">
        <v>361</v>
      </c>
      <c r="F13" s="12"/>
      <c r="G13" s="40"/>
      <c r="H13" s="105"/>
      <c r="I13" s="179"/>
      <c r="K13"/>
      <c r="L13"/>
      <c r="M13"/>
      <c r="N13"/>
      <c r="O13"/>
    </row>
    <row r="14" spans="2:15" s="7" customFormat="1" ht="23.85" customHeight="1" x14ac:dyDescent="0.2">
      <c r="B14" s="10" t="s">
        <v>391</v>
      </c>
      <c r="C14" s="55" t="s">
        <v>573</v>
      </c>
      <c r="D14" s="10"/>
      <c r="E14" s="12" t="s">
        <v>392</v>
      </c>
      <c r="F14" s="39" t="s">
        <v>106</v>
      </c>
      <c r="G14" s="63">
        <f>ROUNDUP(Earthworks_Trench!G13*0.8*0.0078358,0)</f>
        <v>184</v>
      </c>
      <c r="H14" s="185"/>
      <c r="I14" s="179"/>
      <c r="K14"/>
      <c r="L14"/>
      <c r="M14"/>
      <c r="N14"/>
      <c r="O14"/>
    </row>
    <row r="15" spans="2:15" s="7" customFormat="1" ht="23.85" customHeight="1" x14ac:dyDescent="0.2">
      <c r="B15" s="10" t="s">
        <v>430</v>
      </c>
      <c r="C15" s="55" t="s">
        <v>573</v>
      </c>
      <c r="D15" s="10"/>
      <c r="E15" s="12" t="s">
        <v>393</v>
      </c>
      <c r="F15" s="39" t="s">
        <v>118</v>
      </c>
      <c r="G15" s="63">
        <f>G14*2</f>
        <v>368</v>
      </c>
      <c r="H15" s="185"/>
      <c r="I15" s="179"/>
      <c r="J15" s="110"/>
      <c r="K15"/>
      <c r="L15"/>
      <c r="M15"/>
      <c r="N15"/>
      <c r="O15"/>
    </row>
    <row r="16" spans="2:15" s="7" customFormat="1" ht="23.85" customHeight="1" x14ac:dyDescent="0.2">
      <c r="B16" s="10" t="s">
        <v>431</v>
      </c>
      <c r="C16" s="55" t="s">
        <v>573</v>
      </c>
      <c r="D16" s="10"/>
      <c r="E16" s="12" t="s">
        <v>433</v>
      </c>
      <c r="F16" s="39" t="s">
        <v>106</v>
      </c>
      <c r="G16" s="63">
        <f>ROUND(G14*0.1404761904762,0)</f>
        <v>26</v>
      </c>
      <c r="H16" s="185"/>
      <c r="I16" s="179"/>
      <c r="K16"/>
      <c r="L16"/>
      <c r="M16"/>
      <c r="N16"/>
      <c r="O16"/>
    </row>
    <row r="17" spans="2:15" s="7" customFormat="1" ht="18" customHeight="1" x14ac:dyDescent="0.2">
      <c r="B17" s="10"/>
      <c r="C17" s="10"/>
      <c r="D17" s="10"/>
      <c r="E17" s="28"/>
      <c r="F17" s="10"/>
      <c r="G17" s="63"/>
      <c r="H17" s="185"/>
      <c r="I17" s="179"/>
      <c r="K17"/>
      <c r="L17"/>
      <c r="M17"/>
      <c r="N17"/>
      <c r="O17"/>
    </row>
    <row r="18" spans="2:15" s="7" customFormat="1" ht="15" customHeight="1" x14ac:dyDescent="0.2">
      <c r="B18" s="56">
        <v>3.21</v>
      </c>
      <c r="C18" s="56"/>
      <c r="D18" s="10"/>
      <c r="E18" s="23" t="s">
        <v>427</v>
      </c>
      <c r="F18" s="10"/>
      <c r="G18" s="63"/>
      <c r="H18" s="185"/>
      <c r="I18" s="179"/>
      <c r="K18"/>
      <c r="L18"/>
      <c r="M18"/>
      <c r="N18"/>
      <c r="O18"/>
    </row>
    <row r="19" spans="2:15" s="7" customFormat="1" ht="23.85" customHeight="1" x14ac:dyDescent="0.2">
      <c r="B19" s="57" t="s">
        <v>432</v>
      </c>
      <c r="C19" s="57"/>
      <c r="D19" s="57"/>
      <c r="E19" s="58" t="s">
        <v>435</v>
      </c>
      <c r="F19" s="57" t="s">
        <v>255</v>
      </c>
      <c r="G19" s="63">
        <f>Pipelines4!G21</f>
        <v>36</v>
      </c>
      <c r="H19" s="179"/>
      <c r="I19" s="179"/>
      <c r="J19" s="110"/>
      <c r="K19"/>
      <c r="L19"/>
      <c r="M19"/>
      <c r="N19"/>
      <c r="O19"/>
    </row>
    <row r="20" spans="2:15" s="7" customFormat="1" ht="23.85" customHeight="1" x14ac:dyDescent="0.2">
      <c r="B20" s="10" t="s">
        <v>448</v>
      </c>
      <c r="C20" s="10"/>
      <c r="D20" s="10"/>
      <c r="E20" s="12" t="s">
        <v>436</v>
      </c>
      <c r="F20" s="10" t="s">
        <v>255</v>
      </c>
      <c r="G20" s="63">
        <f>G19</f>
        <v>36</v>
      </c>
      <c r="H20" s="185"/>
      <c r="I20" s="179"/>
      <c r="J20" s="110"/>
      <c r="K20"/>
      <c r="L20"/>
      <c r="M20"/>
      <c r="N20"/>
      <c r="O20"/>
    </row>
    <row r="21" spans="2:15" s="7" customFormat="1" ht="23.85" customHeight="1" x14ac:dyDescent="0.2">
      <c r="B21" s="10" t="s">
        <v>449</v>
      </c>
      <c r="C21" s="15" t="s">
        <v>573</v>
      </c>
      <c r="D21" s="10"/>
      <c r="E21" s="28" t="s">
        <v>450</v>
      </c>
      <c r="F21" s="10" t="s">
        <v>255</v>
      </c>
      <c r="G21" s="63">
        <f>ROUND(Earthworks_Trench!G13/250,0)</f>
        <v>117</v>
      </c>
      <c r="H21" s="185"/>
      <c r="I21" s="179"/>
      <c r="K21"/>
      <c r="L21"/>
      <c r="M21"/>
      <c r="N21"/>
      <c r="O21"/>
    </row>
    <row r="22" spans="2:15" s="7" customFormat="1" ht="18" customHeight="1" x14ac:dyDescent="0.2">
      <c r="B22" s="10"/>
      <c r="C22" s="10"/>
      <c r="D22" s="10"/>
      <c r="E22" s="28"/>
      <c r="F22" s="10"/>
      <c r="G22" s="13"/>
      <c r="H22" s="105"/>
      <c r="I22" s="179"/>
      <c r="K22"/>
      <c r="L22"/>
      <c r="M22"/>
      <c r="N22"/>
      <c r="O22"/>
    </row>
    <row r="23" spans="2:15" s="7" customFormat="1" ht="18" customHeight="1" x14ac:dyDescent="0.2">
      <c r="B23" s="10"/>
      <c r="C23" s="10"/>
      <c r="D23" s="10"/>
      <c r="E23" s="28"/>
      <c r="F23" s="10"/>
      <c r="G23" s="13"/>
      <c r="H23" s="105"/>
      <c r="I23" s="179"/>
      <c r="K23"/>
      <c r="L23"/>
      <c r="M23"/>
      <c r="N23"/>
      <c r="O23"/>
    </row>
    <row r="24" spans="2:15" s="7" customFormat="1" ht="18" customHeight="1" x14ac:dyDescent="0.2">
      <c r="B24" s="10"/>
      <c r="C24" s="10"/>
      <c r="D24" s="10"/>
      <c r="E24" s="28"/>
      <c r="F24" s="10"/>
      <c r="G24" s="13"/>
      <c r="H24" s="105"/>
      <c r="I24" s="179"/>
      <c r="K24"/>
      <c r="L24"/>
      <c r="M24"/>
      <c r="N24"/>
      <c r="O24"/>
    </row>
    <row r="25" spans="2:15" s="2" customFormat="1" ht="18" customHeight="1" x14ac:dyDescent="0.2">
      <c r="B25" s="10"/>
      <c r="C25" s="10"/>
      <c r="D25" s="10"/>
      <c r="E25" s="25"/>
      <c r="F25" s="10"/>
      <c r="G25" s="11"/>
      <c r="H25" s="105"/>
      <c r="I25" s="179"/>
      <c r="K25"/>
      <c r="L25"/>
      <c r="M25"/>
      <c r="N25"/>
      <c r="O25"/>
    </row>
    <row r="26" spans="2:15" s="2" customFormat="1" ht="17.100000000000001" customHeight="1" x14ac:dyDescent="0.2">
      <c r="B26" s="5"/>
      <c r="C26" s="5"/>
      <c r="D26" s="5"/>
      <c r="E26" s="5"/>
      <c r="F26" s="5"/>
      <c r="G26" s="5"/>
      <c r="H26" s="181"/>
      <c r="I26" s="181"/>
      <c r="K26"/>
      <c r="L26"/>
      <c r="M26"/>
      <c r="N26"/>
      <c r="O26"/>
    </row>
    <row r="27" spans="2:15" s="2" customFormat="1" ht="20.100000000000001" customHeight="1" x14ac:dyDescent="0.2">
      <c r="B27" s="266" t="s">
        <v>383</v>
      </c>
      <c r="C27" s="267"/>
      <c r="D27" s="267"/>
      <c r="E27" s="267"/>
      <c r="F27" s="267"/>
      <c r="G27" s="268"/>
      <c r="H27" s="247"/>
      <c r="I27" s="252">
        <f>SUM(I9:I26)</f>
        <v>0</v>
      </c>
      <c r="K27"/>
      <c r="L27"/>
      <c r="M27"/>
      <c r="N27"/>
      <c r="O27"/>
    </row>
    <row r="28" spans="2:15" s="2" customFormat="1" ht="17.100000000000001" customHeight="1" x14ac:dyDescent="0.2">
      <c r="B28"/>
      <c r="C28"/>
      <c r="D28"/>
      <c r="E28"/>
      <c r="F28"/>
      <c r="G28"/>
      <c r="H28" s="240"/>
      <c r="I28" s="240"/>
      <c r="K28"/>
      <c r="L28"/>
      <c r="M28"/>
      <c r="N28"/>
      <c r="O28"/>
    </row>
    <row r="29" spans="2:15" s="2" customFormat="1" ht="17.100000000000001" customHeight="1" x14ac:dyDescent="0.2">
      <c r="B29" s="259" t="str">
        <f>'Fixed P&amp;Gs'!$B$44:$G$44</f>
        <v xml:space="preserve">NAILANA WS BoQ </v>
      </c>
      <c r="C29" s="259"/>
      <c r="D29" s="259"/>
      <c r="E29" s="259"/>
      <c r="F29" s="259"/>
      <c r="G29" s="259"/>
      <c r="H29" s="259"/>
      <c r="I29" s="82"/>
      <c r="K29"/>
      <c r="L29"/>
      <c r="M29"/>
      <c r="N29"/>
      <c r="O29"/>
    </row>
    <row r="30" spans="2:15" s="2" customFormat="1" ht="12.75" customHeight="1" x14ac:dyDescent="0.2">
      <c r="B30"/>
      <c r="C30"/>
      <c r="D30"/>
      <c r="E30"/>
      <c r="F30"/>
      <c r="G30"/>
      <c r="H30"/>
      <c r="I30" s="81"/>
      <c r="K30"/>
      <c r="L30"/>
      <c r="M30"/>
      <c r="N30"/>
      <c r="O30"/>
    </row>
    <row r="31" spans="2:15" s="2" customFormat="1" ht="12.75" customHeight="1" x14ac:dyDescent="0.2">
      <c r="B31"/>
      <c r="C31"/>
      <c r="D31"/>
      <c r="E31"/>
      <c r="F31"/>
      <c r="G31"/>
      <c r="H31"/>
      <c r="I31"/>
      <c r="L31"/>
      <c r="M31"/>
    </row>
    <row r="32" spans="2:15" s="2" customFormat="1" ht="12.75" customHeight="1" x14ac:dyDescent="0.2">
      <c r="B32"/>
      <c r="C32"/>
      <c r="D32"/>
      <c r="E32"/>
      <c r="F32"/>
      <c r="G32"/>
      <c r="H32"/>
      <c r="I32"/>
      <c r="L32"/>
      <c r="M32"/>
    </row>
    <row r="33" spans="2:13" s="2" customFormat="1" ht="12.75" customHeight="1" x14ac:dyDescent="0.2">
      <c r="B33"/>
      <c r="C33"/>
      <c r="D33"/>
      <c r="E33"/>
      <c r="F33"/>
      <c r="G33"/>
      <c r="H33"/>
      <c r="I33"/>
      <c r="L33"/>
      <c r="M33"/>
    </row>
    <row r="34" spans="2:13" s="2" customFormat="1" ht="12.75" customHeight="1" x14ac:dyDescent="0.2">
      <c r="B34"/>
      <c r="C34"/>
      <c r="D34"/>
      <c r="E34"/>
      <c r="F34"/>
      <c r="G34"/>
      <c r="H34"/>
      <c r="I34"/>
      <c r="L34"/>
      <c r="M34"/>
    </row>
    <row r="35" spans="2:13" s="2" customFormat="1" ht="12.75" customHeight="1" x14ac:dyDescent="0.2">
      <c r="B35"/>
      <c r="C35"/>
      <c r="D35"/>
      <c r="E35"/>
      <c r="F35"/>
      <c r="G35"/>
      <c r="H35"/>
      <c r="I35"/>
      <c r="L35"/>
      <c r="M35"/>
    </row>
    <row r="36" spans="2:13" s="2" customFormat="1" ht="12.75" customHeight="1" x14ac:dyDescent="0.2">
      <c r="B36"/>
      <c r="C36"/>
      <c r="D36"/>
      <c r="E36"/>
      <c r="F36"/>
      <c r="G36"/>
      <c r="H36"/>
      <c r="I36"/>
      <c r="L36"/>
      <c r="M36"/>
    </row>
    <row r="37" spans="2:13" s="2" customFormat="1" ht="12.75" customHeight="1" x14ac:dyDescent="0.2">
      <c r="B37"/>
      <c r="C37"/>
      <c r="D37"/>
      <c r="E37"/>
      <c r="F37"/>
      <c r="G37"/>
      <c r="H37"/>
      <c r="I37"/>
      <c r="L37"/>
      <c r="M37"/>
    </row>
    <row r="38" spans="2:13" s="2" customFormat="1" ht="12.75" customHeight="1" x14ac:dyDescent="0.2">
      <c r="B38"/>
      <c r="C38"/>
      <c r="D38"/>
      <c r="E38"/>
      <c r="F38"/>
      <c r="G38"/>
      <c r="H38"/>
      <c r="I38"/>
      <c r="L38"/>
      <c r="M38"/>
    </row>
    <row r="39" spans="2:13" s="2" customFormat="1" ht="12.75" customHeight="1" x14ac:dyDescent="0.2">
      <c r="B39"/>
      <c r="C39"/>
      <c r="D39"/>
      <c r="E39"/>
      <c r="F39"/>
      <c r="G39"/>
      <c r="H39"/>
      <c r="I39"/>
      <c r="L39"/>
      <c r="M39"/>
    </row>
    <row r="40" spans="2:13" s="2" customFormat="1" ht="12.75" customHeight="1" x14ac:dyDescent="0.2">
      <c r="B40"/>
      <c r="C40"/>
      <c r="D40"/>
      <c r="E40"/>
      <c r="F40"/>
      <c r="G40"/>
      <c r="H40"/>
      <c r="I40"/>
      <c r="L40"/>
      <c r="M40"/>
    </row>
    <row r="41" spans="2:13" s="2" customFormat="1" ht="12.75" customHeight="1" x14ac:dyDescent="0.2">
      <c r="B41"/>
      <c r="C41"/>
      <c r="D41"/>
      <c r="E41"/>
      <c r="F41"/>
      <c r="G41"/>
      <c r="H41"/>
      <c r="I41"/>
      <c r="L41"/>
      <c r="M41"/>
    </row>
    <row r="42" spans="2:13" s="2" customFormat="1" ht="12.75" customHeight="1" x14ac:dyDescent="0.2">
      <c r="B42"/>
      <c r="C42"/>
      <c r="D42"/>
      <c r="E42"/>
      <c r="F42"/>
      <c r="G42"/>
      <c r="H42"/>
      <c r="I42"/>
      <c r="L42"/>
      <c r="M42"/>
    </row>
    <row r="43" spans="2:13" s="2" customFormat="1" ht="12.75" customHeight="1" x14ac:dyDescent="0.2">
      <c r="B43"/>
      <c r="C43"/>
      <c r="D43"/>
      <c r="E43"/>
      <c r="F43"/>
      <c r="G43"/>
      <c r="H43"/>
      <c r="I43"/>
      <c r="L43"/>
      <c r="M43"/>
    </row>
    <row r="44" spans="2:13" s="2" customFormat="1" ht="12.75" customHeight="1" x14ac:dyDescent="0.2">
      <c r="B44"/>
      <c r="C44"/>
      <c r="D44"/>
      <c r="E44"/>
      <c r="F44"/>
      <c r="G44"/>
      <c r="H44"/>
      <c r="I44"/>
      <c r="L44"/>
      <c r="M44"/>
    </row>
    <row r="45" spans="2:13" s="2" customFormat="1" ht="12.75" customHeight="1" x14ac:dyDescent="0.2">
      <c r="B45"/>
      <c r="C45"/>
      <c r="D45"/>
      <c r="E45"/>
      <c r="F45"/>
      <c r="G45"/>
      <c r="H45"/>
      <c r="I45"/>
      <c r="L45"/>
      <c r="M45"/>
    </row>
    <row r="46" spans="2:13" s="2" customFormat="1" ht="12.75" customHeight="1" x14ac:dyDescent="0.2">
      <c r="B46"/>
      <c r="C46"/>
      <c r="D46"/>
      <c r="E46"/>
      <c r="F46"/>
      <c r="G46"/>
      <c r="H46"/>
      <c r="I46"/>
      <c r="L46"/>
      <c r="M46"/>
    </row>
    <row r="47" spans="2:13" s="2" customFormat="1" ht="12.75" customHeight="1" x14ac:dyDescent="0.2">
      <c r="B47"/>
      <c r="C47"/>
      <c r="D47"/>
      <c r="E47"/>
      <c r="F47"/>
      <c r="G47"/>
      <c r="H47"/>
      <c r="I47"/>
      <c r="L47"/>
      <c r="M47"/>
    </row>
    <row r="48" spans="2:13" ht="18" customHeight="1" x14ac:dyDescent="0.2"/>
    <row r="49" ht="20.100000000000001" customHeight="1" x14ac:dyDescent="0.2"/>
  </sheetData>
  <sheetProtection algorithmName="SHA-512" hashValue="3HMntSnP3b7OsVQhpqBQY2/hVGMYOCjUvtcckdJi0gHGYC6Xkjq0sJiWd1ciZznj7bGY8jAHP/BCsovAM1pw6A==" saltValue="uq5/1n0aSONEo8Vb0qJhzQ==" spinCount="100000" sheet="1" objects="1" scenarios="1" selectLockedCells="1"/>
  <mergeCells count="7">
    <mergeCell ref="B29:H29"/>
    <mergeCell ref="B2:F2"/>
    <mergeCell ref="B3:F3"/>
    <mergeCell ref="B4:F4"/>
    <mergeCell ref="G4:I4"/>
    <mergeCell ref="B9:H9"/>
    <mergeCell ref="B27:G27"/>
  </mergeCells>
  <phoneticPr fontId="0" type="noConversion"/>
  <pageMargins left="0.25" right="0.25" top="0.75" bottom="0.75" header="0.3" footer="0.3"/>
  <pageSetup paperSize="9" scale="95" orientation="portrait" r:id="rId1"/>
  <headerFooter alignWithMargins="0">
    <oddHeader>&amp;CBoQ &amp;[14] of &amp;[17]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view="pageBreakPreview" topLeftCell="A19" zoomScaleNormal="100" zoomScaleSheetLayoutView="100" workbookViewId="0">
      <selection activeCell="G9" sqref="G9:H30"/>
    </sheetView>
  </sheetViews>
  <sheetFormatPr defaultRowHeight="12.75" x14ac:dyDescent="0.2"/>
  <cols>
    <col min="1" max="1" width="1.7109375" customWidth="1"/>
    <col min="2" max="2" width="8.85546875" customWidth="1"/>
    <col min="3" max="3" width="13.42578125" customWidth="1"/>
    <col min="4" max="4" width="52.7109375" customWidth="1"/>
    <col min="5" max="5" width="7.7109375" customWidth="1"/>
    <col min="6" max="6" width="10.85546875" customWidth="1"/>
    <col min="7" max="7" width="21.85546875" customWidth="1"/>
    <col min="8" max="8" width="31" customWidth="1"/>
    <col min="9" max="9" width="1.7109375" customWidth="1"/>
    <col min="11" max="11" width="10.7109375" customWidth="1"/>
    <col min="12" max="12" width="12.7109375" customWidth="1"/>
    <col min="13" max="13" width="12.85546875" bestFit="1" customWidth="1"/>
    <col min="15" max="15" width="20" customWidth="1"/>
    <col min="16" max="16" width="12.5703125" bestFit="1" customWidth="1"/>
  </cols>
  <sheetData>
    <row r="1" spans="2:13" ht="15" customHeight="1" x14ac:dyDescent="0.2">
      <c r="B1" s="72"/>
      <c r="C1" s="72"/>
      <c r="D1" s="72"/>
      <c r="E1" s="72"/>
      <c r="F1" s="72"/>
      <c r="G1" s="72"/>
      <c r="H1" s="73"/>
      <c r="I1" s="74"/>
      <c r="K1" s="72"/>
      <c r="L1" s="73"/>
    </row>
    <row r="2" spans="2:13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80"/>
      <c r="G2" s="80"/>
      <c r="H2" s="80" t="str">
        <f>'Fixed P&amp;Gs'!H1</f>
        <v>ORB.NAIL.2021</v>
      </c>
      <c r="K2" s="80"/>
      <c r="L2" s="80"/>
    </row>
    <row r="3" spans="2:13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80"/>
      <c r="G3" s="80"/>
      <c r="H3" s="80"/>
      <c r="K3" s="80"/>
      <c r="L3" s="80"/>
    </row>
    <row r="4" spans="2:13" ht="18" customHeight="1" x14ac:dyDescent="0.2">
      <c r="B4" s="270" t="str">
        <f>'Fixed P&amp;Gs'!B4</f>
        <v>NAILANA VILLAGE WATER SUPPLY</v>
      </c>
      <c r="C4" s="270"/>
      <c r="D4" s="270"/>
      <c r="E4" s="270"/>
      <c r="F4" s="269" t="str">
        <f>'Fixed P&amp;Gs'!F4</f>
        <v>CONTRACT No:INF-W06/2022/2023</v>
      </c>
      <c r="G4" s="269"/>
      <c r="H4" s="269"/>
    </row>
    <row r="5" spans="2:13" ht="18" customHeight="1" x14ac:dyDescent="0.2">
      <c r="B5" s="41" t="s">
        <v>425</v>
      </c>
      <c r="C5" s="42"/>
      <c r="D5" s="43"/>
      <c r="E5" s="44"/>
      <c r="F5" s="44"/>
      <c r="G5" s="44"/>
      <c r="H5" s="45"/>
    </row>
    <row r="6" spans="2:13" ht="18" customHeight="1" x14ac:dyDescent="0.2">
      <c r="B6" s="46" t="s">
        <v>440</v>
      </c>
      <c r="C6" s="47"/>
      <c r="D6" s="48"/>
      <c r="E6" s="47"/>
      <c r="F6" s="49"/>
      <c r="G6" s="49"/>
      <c r="H6" s="50"/>
    </row>
    <row r="7" spans="2:13" ht="4.9000000000000004" customHeight="1" x14ac:dyDescent="0.2">
      <c r="B7" s="1"/>
      <c r="C7" s="1"/>
    </row>
    <row r="8" spans="2:13" s="160" customFormat="1" ht="40.5" customHeight="1" x14ac:dyDescent="0.2">
      <c r="B8" s="158" t="s">
        <v>238</v>
      </c>
      <c r="C8" s="158" t="s">
        <v>237</v>
      </c>
      <c r="D8" s="159" t="s">
        <v>1</v>
      </c>
      <c r="E8" s="159" t="s">
        <v>2</v>
      </c>
      <c r="F8" s="159" t="s">
        <v>3</v>
      </c>
      <c r="G8" s="159" t="s">
        <v>4</v>
      </c>
      <c r="H8" s="159" t="s">
        <v>5</v>
      </c>
      <c r="K8"/>
      <c r="L8"/>
      <c r="M8"/>
    </row>
    <row r="9" spans="2:13" s="133" customFormat="1" ht="18" customHeight="1" x14ac:dyDescent="0.2">
      <c r="B9" s="161" t="s">
        <v>437</v>
      </c>
      <c r="C9" s="162"/>
      <c r="D9" s="163" t="s">
        <v>439</v>
      </c>
      <c r="E9" s="163"/>
      <c r="F9" s="164"/>
      <c r="G9" s="225"/>
      <c r="H9" s="225"/>
      <c r="K9"/>
      <c r="L9"/>
      <c r="M9"/>
    </row>
    <row r="10" spans="2:13" s="138" customFormat="1" ht="39" customHeight="1" x14ac:dyDescent="0.2">
      <c r="B10" s="134"/>
      <c r="C10" s="134"/>
      <c r="D10" s="135" t="s">
        <v>438</v>
      </c>
      <c r="E10" s="136"/>
      <c r="F10" s="137"/>
      <c r="G10" s="226"/>
      <c r="H10" s="226"/>
      <c r="K10"/>
      <c r="L10"/>
      <c r="M10"/>
    </row>
    <row r="11" spans="2:13" s="156" customFormat="1" ht="18.75" customHeight="1" x14ac:dyDescent="0.2">
      <c r="B11" s="151">
        <v>4.0999999999999996</v>
      </c>
      <c r="C11" s="152" t="s">
        <v>447</v>
      </c>
      <c r="D11" s="153" t="s">
        <v>455</v>
      </c>
      <c r="E11" s="154"/>
      <c r="F11" s="165"/>
      <c r="G11" s="227"/>
      <c r="H11" s="227"/>
      <c r="K11"/>
      <c r="L11"/>
      <c r="M11"/>
    </row>
    <row r="12" spans="2:13" s="1" customFormat="1" ht="65.25" customHeight="1" x14ac:dyDescent="0.2">
      <c r="B12" s="139"/>
      <c r="C12" s="140"/>
      <c r="D12" s="135" t="s">
        <v>517</v>
      </c>
      <c r="E12" s="142"/>
      <c r="F12" s="143"/>
      <c r="G12" s="228"/>
      <c r="H12" s="228"/>
      <c r="K12"/>
      <c r="L12"/>
      <c r="M12"/>
    </row>
    <row r="13" spans="2:13" s="1" customFormat="1" ht="39.950000000000003" customHeight="1" x14ac:dyDescent="0.2">
      <c r="B13" s="140" t="s">
        <v>209</v>
      </c>
      <c r="C13" s="144"/>
      <c r="D13" s="145" t="s">
        <v>565</v>
      </c>
      <c r="E13" s="146" t="s">
        <v>255</v>
      </c>
      <c r="F13" s="147">
        <v>1</v>
      </c>
      <c r="G13" s="229"/>
      <c r="H13" s="230"/>
      <c r="K13"/>
      <c r="L13"/>
      <c r="M13"/>
    </row>
    <row r="14" spans="2:13" s="1" customFormat="1" ht="39.950000000000003" customHeight="1" x14ac:dyDescent="0.2">
      <c r="B14" s="140" t="s">
        <v>210</v>
      </c>
      <c r="C14" s="144"/>
      <c r="D14" s="148" t="s">
        <v>510</v>
      </c>
      <c r="E14" s="140" t="s">
        <v>592</v>
      </c>
      <c r="F14" s="149">
        <v>15</v>
      </c>
      <c r="G14" s="231"/>
      <c r="H14" s="228"/>
      <c r="K14"/>
      <c r="L14"/>
      <c r="M14"/>
    </row>
    <row r="15" spans="2:13" s="1" customFormat="1" ht="39.950000000000003" customHeight="1" x14ac:dyDescent="0.2">
      <c r="B15" s="140" t="s">
        <v>502</v>
      </c>
      <c r="C15" s="144"/>
      <c r="D15" s="148" t="s">
        <v>520</v>
      </c>
      <c r="E15" s="140" t="s">
        <v>592</v>
      </c>
      <c r="F15" s="149">
        <f>ROUND(F14*0.33333333333333,0)</f>
        <v>5</v>
      </c>
      <c r="G15" s="231"/>
      <c r="H15" s="228"/>
      <c r="K15"/>
      <c r="L15"/>
      <c r="M15"/>
    </row>
    <row r="16" spans="2:13" s="1" customFormat="1" ht="39.950000000000003" customHeight="1" x14ac:dyDescent="0.2">
      <c r="B16" s="140" t="s">
        <v>504</v>
      </c>
      <c r="C16" s="144"/>
      <c r="D16" s="148" t="s">
        <v>509</v>
      </c>
      <c r="E16" s="150" t="s">
        <v>503</v>
      </c>
      <c r="F16" s="149">
        <v>0.2</v>
      </c>
      <c r="G16" s="231"/>
      <c r="H16" s="228"/>
      <c r="K16"/>
      <c r="L16"/>
      <c r="M16"/>
    </row>
    <row r="17" spans="2:15" s="1" customFormat="1" ht="39.950000000000003" customHeight="1" x14ac:dyDescent="0.2">
      <c r="B17" s="140" t="s">
        <v>512</v>
      </c>
      <c r="C17" s="144"/>
      <c r="D17" s="148" t="s">
        <v>508</v>
      </c>
      <c r="E17" s="150" t="s">
        <v>503</v>
      </c>
      <c r="F17" s="149">
        <v>0.01</v>
      </c>
      <c r="G17" s="231"/>
      <c r="H17" s="228"/>
      <c r="K17"/>
      <c r="L17"/>
      <c r="M17"/>
    </row>
    <row r="18" spans="2:15" s="1" customFormat="1" ht="39.950000000000003" customHeight="1" x14ac:dyDescent="0.2">
      <c r="B18" s="140" t="s">
        <v>513</v>
      </c>
      <c r="C18" s="144"/>
      <c r="D18" s="148" t="s">
        <v>507</v>
      </c>
      <c r="E18" s="140" t="s">
        <v>593</v>
      </c>
      <c r="F18" s="149">
        <v>20</v>
      </c>
      <c r="G18" s="231"/>
      <c r="H18" s="228"/>
      <c r="K18"/>
      <c r="L18"/>
      <c r="M18"/>
    </row>
    <row r="19" spans="2:15" s="1" customFormat="1" ht="39.950000000000003" customHeight="1" x14ac:dyDescent="0.2">
      <c r="B19" s="140" t="s">
        <v>514</v>
      </c>
      <c r="C19" s="144"/>
      <c r="D19" s="148" t="s">
        <v>506</v>
      </c>
      <c r="E19" s="140" t="s">
        <v>592</v>
      </c>
      <c r="F19" s="149">
        <v>2</v>
      </c>
      <c r="G19" s="231"/>
      <c r="H19" s="228"/>
      <c r="K19"/>
      <c r="L19"/>
      <c r="M19"/>
    </row>
    <row r="20" spans="2:15" s="1" customFormat="1" ht="39.950000000000003" customHeight="1" x14ac:dyDescent="0.2">
      <c r="B20" s="140" t="s">
        <v>515</v>
      </c>
      <c r="C20" s="144"/>
      <c r="D20" s="148" t="s">
        <v>505</v>
      </c>
      <c r="E20" s="140" t="s">
        <v>592</v>
      </c>
      <c r="F20" s="149">
        <v>7</v>
      </c>
      <c r="G20" s="231"/>
      <c r="H20" s="228"/>
      <c r="K20"/>
      <c r="L20"/>
      <c r="M20"/>
    </row>
    <row r="21" spans="2:15" s="1" customFormat="1" ht="39.950000000000003" customHeight="1" x14ac:dyDescent="0.2">
      <c r="B21" s="140" t="s">
        <v>516</v>
      </c>
      <c r="C21" s="144"/>
      <c r="D21" s="148" t="s">
        <v>511</v>
      </c>
      <c r="E21" s="140" t="s">
        <v>255</v>
      </c>
      <c r="F21" s="149">
        <v>16</v>
      </c>
      <c r="G21" s="231"/>
      <c r="H21" s="228"/>
      <c r="K21"/>
      <c r="L21"/>
      <c r="M21"/>
    </row>
    <row r="22" spans="2:15" s="1" customFormat="1" ht="39.950000000000003" customHeight="1" x14ac:dyDescent="0.2">
      <c r="B22" s="140" t="s">
        <v>594</v>
      </c>
      <c r="C22" s="144"/>
      <c r="D22" s="148" t="s">
        <v>501</v>
      </c>
      <c r="E22" s="150" t="s">
        <v>492</v>
      </c>
      <c r="F22" s="149">
        <v>1</v>
      </c>
      <c r="G22" s="231">
        <v>75000</v>
      </c>
      <c r="H22" s="228">
        <f t="shared" ref="H22:H28" si="0">G22*F22</f>
        <v>75000</v>
      </c>
      <c r="K22"/>
      <c r="L22"/>
      <c r="M22"/>
    </row>
    <row r="23" spans="2:15" s="1" customFormat="1" ht="39.950000000000003" customHeight="1" x14ac:dyDescent="0.2">
      <c r="B23" s="140"/>
      <c r="C23" s="140"/>
      <c r="D23" s="148"/>
      <c r="E23" s="150"/>
      <c r="F23" s="149"/>
      <c r="G23" s="231"/>
      <c r="H23" s="228"/>
      <c r="K23"/>
      <c r="L23"/>
      <c r="M23"/>
    </row>
    <row r="24" spans="2:15" s="156" customFormat="1" ht="39.950000000000003" customHeight="1" x14ac:dyDescent="0.2">
      <c r="B24" s="151">
        <v>4.2</v>
      </c>
      <c r="C24" s="152"/>
      <c r="D24" s="153" t="s">
        <v>466</v>
      </c>
      <c r="E24" s="154"/>
      <c r="F24" s="155"/>
      <c r="G24" s="232"/>
      <c r="H24" s="227"/>
      <c r="K24"/>
      <c r="L24"/>
      <c r="M24"/>
    </row>
    <row r="25" spans="2:15" s="1" customFormat="1" ht="39.950000000000003" customHeight="1" x14ac:dyDescent="0.2">
      <c r="B25" s="144"/>
      <c r="C25" s="140"/>
      <c r="D25" s="141" t="s">
        <v>560</v>
      </c>
      <c r="E25" s="142"/>
      <c r="F25" s="149"/>
      <c r="G25" s="231"/>
      <c r="H25" s="228"/>
      <c r="K25"/>
      <c r="L25"/>
      <c r="M25"/>
    </row>
    <row r="26" spans="2:15" s="1" customFormat="1" ht="39.950000000000003" customHeight="1" x14ac:dyDescent="0.2">
      <c r="B26" s="140" t="s">
        <v>521</v>
      </c>
      <c r="C26" s="140"/>
      <c r="D26" s="148" t="s">
        <v>562</v>
      </c>
      <c r="E26" s="140" t="s">
        <v>0</v>
      </c>
      <c r="F26" s="149">
        <v>1</v>
      </c>
      <c r="G26" s="233">
        <v>0</v>
      </c>
      <c r="H26" s="228" t="s">
        <v>545</v>
      </c>
      <c r="K26"/>
      <c r="L26"/>
      <c r="M26"/>
    </row>
    <row r="27" spans="2:15" s="1" customFormat="1" ht="72" customHeight="1" x14ac:dyDescent="0.2">
      <c r="B27" s="140" t="s">
        <v>522</v>
      </c>
      <c r="C27" s="140"/>
      <c r="D27" s="148" t="s">
        <v>588</v>
      </c>
      <c r="E27" s="140" t="s">
        <v>0</v>
      </c>
      <c r="F27" s="149">
        <v>1</v>
      </c>
      <c r="G27" s="229"/>
      <c r="H27" s="234">
        <f t="shared" si="0"/>
        <v>0</v>
      </c>
      <c r="K27"/>
      <c r="L27"/>
      <c r="M27"/>
    </row>
    <row r="28" spans="2:15" s="1" customFormat="1" ht="72.75" customHeight="1" x14ac:dyDescent="0.2">
      <c r="B28" s="140" t="s">
        <v>523</v>
      </c>
      <c r="C28" s="140"/>
      <c r="D28" s="148" t="s">
        <v>589</v>
      </c>
      <c r="E28" s="140" t="s">
        <v>0</v>
      </c>
      <c r="F28" s="149">
        <v>1</v>
      </c>
      <c r="G28" s="229"/>
      <c r="H28" s="234">
        <f t="shared" si="0"/>
        <v>0</v>
      </c>
      <c r="K28"/>
      <c r="L28"/>
      <c r="M28"/>
    </row>
    <row r="29" spans="2:15" s="2" customFormat="1" ht="24.75" customHeight="1" x14ac:dyDescent="0.2">
      <c r="B29" s="10"/>
      <c r="C29" s="10"/>
      <c r="D29" s="28"/>
      <c r="E29" s="10"/>
      <c r="F29" s="13"/>
      <c r="G29" s="179"/>
      <c r="H29" s="191"/>
      <c r="K29"/>
      <c r="L29"/>
      <c r="M29"/>
    </row>
    <row r="30" spans="2:15" s="133" customFormat="1" ht="38.25" customHeight="1" x14ac:dyDescent="0.2">
      <c r="B30" s="166" t="s">
        <v>591</v>
      </c>
      <c r="C30" s="254"/>
      <c r="D30" s="255"/>
      <c r="E30" s="255"/>
      <c r="F30" s="256"/>
      <c r="G30" s="257"/>
      <c r="H30" s="257"/>
      <c r="K30"/>
      <c r="L30"/>
      <c r="M30"/>
      <c r="O30" s="157"/>
    </row>
    <row r="31" spans="2:15" ht="17.100000000000001" customHeight="1" x14ac:dyDescent="0.2"/>
    <row r="32" spans="2:15" ht="17.100000000000001" customHeight="1" x14ac:dyDescent="0.2">
      <c r="B32" s="259" t="str">
        <f>'Fixed P&amp;Gs'!$B$44:$G$44</f>
        <v xml:space="preserve">NAILANA WS BoQ </v>
      </c>
      <c r="C32" s="259"/>
      <c r="D32" s="259"/>
      <c r="E32" s="259"/>
      <c r="F32" s="259"/>
      <c r="G32" s="259"/>
      <c r="H32" s="82"/>
      <c r="L32" s="82"/>
    </row>
  </sheetData>
  <sheetProtection algorithmName="SHA-512" hashValue="n8hyZZU5Ln3yso+T3vEz2X3CByvitnZRJ09MWpbDVcmk0flTE5wlYp17irxAArGAa34xgcvUfxQafKlSKmC6OQ==" saltValue="j57yeig/DqKP5PamZcdWRQ==" spinCount="100000" sheet="1" objects="1" scenarios="1" selectLockedCells="1"/>
  <mergeCells count="5">
    <mergeCell ref="B4:E4"/>
    <mergeCell ref="F4:H4"/>
    <mergeCell ref="B32:G32"/>
    <mergeCell ref="B2:E2"/>
    <mergeCell ref="B3:E3"/>
  </mergeCells>
  <phoneticPr fontId="0" type="noConversion"/>
  <pageMargins left="0.15748031496062992" right="0.15748031496062992" top="0.55343750000000003" bottom="0.39370078740157483" header="0.31496062992125984" footer="0.31496062992125984"/>
  <pageSetup paperSize="9" scale="69" orientation="portrait" r:id="rId1"/>
  <headerFooter alignWithMargins="0">
    <oddHeader>&amp;CBoQ &amp;[15] of &amp;[17]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view="pageBreakPreview" topLeftCell="A16" zoomScaleNormal="100" zoomScaleSheetLayoutView="100" workbookViewId="0">
      <selection activeCell="G25" sqref="G25"/>
    </sheetView>
  </sheetViews>
  <sheetFormatPr defaultRowHeight="12.75" x14ac:dyDescent="0.2"/>
  <cols>
    <col min="1" max="1" width="1.7109375" customWidth="1"/>
    <col min="2" max="2" width="8.5703125" customWidth="1"/>
    <col min="3" max="3" width="14.42578125" customWidth="1"/>
    <col min="4" max="4" width="49.7109375" customWidth="1"/>
    <col min="5" max="5" width="12.85546875" customWidth="1"/>
    <col min="6" max="6" width="13.7109375" customWidth="1"/>
    <col min="7" max="7" width="21.42578125" customWidth="1"/>
    <col min="8" max="8" width="28.7109375" customWidth="1"/>
    <col min="10" max="10" width="10.7109375" customWidth="1"/>
    <col min="11" max="11" width="12.7109375" customWidth="1"/>
    <col min="12" max="12" width="12.42578125" bestFit="1" customWidth="1"/>
    <col min="14" max="14" width="20" customWidth="1"/>
    <col min="15" max="15" width="12.5703125" bestFit="1" customWidth="1"/>
  </cols>
  <sheetData>
    <row r="1" spans="2:15" ht="15" customHeight="1" x14ac:dyDescent="0.2">
      <c r="B1" s="72"/>
      <c r="C1" s="72"/>
      <c r="D1" s="72"/>
      <c r="E1" s="72"/>
      <c r="F1" s="72"/>
      <c r="G1" s="72"/>
      <c r="H1" s="73"/>
      <c r="J1" s="72"/>
      <c r="K1" s="73"/>
    </row>
    <row r="2" spans="2:15" ht="18" customHeight="1" x14ac:dyDescent="0.2">
      <c r="B2" s="260" t="str">
        <f>'Fixed P&amp;Gs'!B2</f>
        <v xml:space="preserve">CAPRICORN DISTRICT MUNICIPALITY - LIMPOPO PROVINCE </v>
      </c>
      <c r="C2" s="260"/>
      <c r="D2" s="260"/>
      <c r="E2" s="260"/>
      <c r="F2" s="80"/>
      <c r="G2" s="80"/>
      <c r="H2" s="80" t="str">
        <f>'Fixed P&amp;Gs'!H1</f>
        <v>ORB.NAIL.2021</v>
      </c>
      <c r="J2" s="80"/>
      <c r="K2" s="80"/>
    </row>
    <row r="3" spans="2:15" ht="18" customHeight="1" x14ac:dyDescent="0.2">
      <c r="B3" s="261" t="str">
        <f>'Fixed P&amp;Gs'!B3</f>
        <v xml:space="preserve">SCHEDULE OF QUANTITIES: </v>
      </c>
      <c r="C3" s="261"/>
      <c r="D3" s="261"/>
      <c r="E3" s="261"/>
      <c r="F3" s="80"/>
      <c r="G3" s="80"/>
      <c r="H3" s="80"/>
      <c r="J3" s="80"/>
      <c r="K3" s="80"/>
    </row>
    <row r="4" spans="2:15" ht="18" customHeight="1" x14ac:dyDescent="0.2">
      <c r="B4" s="260" t="str">
        <f>'Fixed P&amp;Gs'!B4</f>
        <v>NAILANA VILLAGE WATER SUPPLY</v>
      </c>
      <c r="C4" s="260"/>
      <c r="D4" s="260"/>
      <c r="E4" s="260"/>
      <c r="F4" s="262" t="str">
        <f>'Fixed P&amp;Gs'!F4</f>
        <v>CONTRACT No:INF-W06/2022/2023</v>
      </c>
      <c r="G4" s="262"/>
      <c r="H4" s="262"/>
    </row>
    <row r="5" spans="2:15" ht="18" customHeight="1" x14ac:dyDescent="0.2">
      <c r="B5" s="41" t="s">
        <v>425</v>
      </c>
      <c r="C5" s="42"/>
      <c r="D5" s="43"/>
      <c r="E5" s="44"/>
      <c r="F5" s="44"/>
      <c r="G5" s="44"/>
      <c r="H5" s="45"/>
    </row>
    <row r="6" spans="2:15" ht="18" customHeight="1" x14ac:dyDescent="0.2">
      <c r="B6" s="46" t="s">
        <v>440</v>
      </c>
      <c r="C6" s="47"/>
      <c r="D6" s="48"/>
      <c r="E6" s="47"/>
      <c r="F6" s="49"/>
      <c r="G6" s="49"/>
      <c r="H6" s="50"/>
    </row>
    <row r="7" spans="2:15" ht="4.9000000000000004" customHeight="1" x14ac:dyDescent="0.2">
      <c r="B7" s="1"/>
      <c r="C7" s="1"/>
    </row>
    <row r="8" spans="2:15" s="160" customFormat="1" ht="33" customHeight="1" x14ac:dyDescent="0.2">
      <c r="B8" s="158" t="s">
        <v>238</v>
      </c>
      <c r="C8" s="158" t="s">
        <v>237</v>
      </c>
      <c r="D8" s="159" t="s">
        <v>1</v>
      </c>
      <c r="E8" s="159" t="s">
        <v>2</v>
      </c>
      <c r="F8" s="159" t="s">
        <v>3</v>
      </c>
      <c r="G8" s="159" t="s">
        <v>4</v>
      </c>
      <c r="H8" s="159" t="s">
        <v>5</v>
      </c>
      <c r="J8"/>
      <c r="K8"/>
      <c r="L8"/>
      <c r="M8"/>
    </row>
    <row r="9" spans="2:15" ht="30.75" customHeight="1" x14ac:dyDescent="0.2">
      <c r="B9" s="272" t="s">
        <v>595</v>
      </c>
      <c r="C9" s="272"/>
      <c r="D9" s="272"/>
      <c r="E9" s="272"/>
      <c r="F9" s="272"/>
      <c r="G9" s="272"/>
      <c r="H9" s="272"/>
    </row>
    <row r="10" spans="2:15" s="128" customFormat="1" ht="18" customHeight="1" x14ac:dyDescent="0.2">
      <c r="B10" s="170" t="s">
        <v>437</v>
      </c>
      <c r="C10" s="171"/>
      <c r="D10" s="172" t="s">
        <v>439</v>
      </c>
      <c r="E10" s="172"/>
      <c r="F10" s="173"/>
      <c r="G10" s="235"/>
      <c r="H10" s="235"/>
      <c r="J10"/>
      <c r="K10"/>
      <c r="L10"/>
      <c r="M10"/>
    </row>
    <row r="11" spans="2:15" s="7" customFormat="1" ht="39" customHeight="1" x14ac:dyDescent="0.2">
      <c r="B11" s="19"/>
      <c r="C11" s="19"/>
      <c r="D11" s="9" t="s">
        <v>438</v>
      </c>
      <c r="E11" s="8"/>
      <c r="F11" s="59"/>
      <c r="G11" s="220"/>
      <c r="H11" s="220"/>
      <c r="J11"/>
      <c r="K11"/>
      <c r="L11"/>
      <c r="M11"/>
    </row>
    <row r="12" spans="2:15" s="1" customFormat="1" ht="45.75" customHeight="1" x14ac:dyDescent="0.2">
      <c r="B12" s="140" t="s">
        <v>524</v>
      </c>
      <c r="C12" s="140"/>
      <c r="D12" s="148" t="s">
        <v>569</v>
      </c>
      <c r="E12" s="140" t="s">
        <v>572</v>
      </c>
      <c r="F12" s="149">
        <v>2</v>
      </c>
      <c r="G12" s="231">
        <v>75000</v>
      </c>
      <c r="H12" s="228">
        <f t="shared" ref="H12:H13" si="0">G12*F12</f>
        <v>150000</v>
      </c>
      <c r="J12"/>
      <c r="K12"/>
      <c r="L12"/>
      <c r="M12"/>
    </row>
    <row r="13" spans="2:15" s="1" customFormat="1" ht="45" customHeight="1" x14ac:dyDescent="0.2">
      <c r="B13" s="140" t="s">
        <v>525</v>
      </c>
      <c r="C13" s="140"/>
      <c r="D13" s="167" t="s">
        <v>559</v>
      </c>
      <c r="E13" s="140" t="s">
        <v>255</v>
      </c>
      <c r="F13" s="149">
        <v>1</v>
      </c>
      <c r="G13" s="231"/>
      <c r="H13" s="234">
        <f t="shared" si="0"/>
        <v>0</v>
      </c>
      <c r="J13"/>
      <c r="K13"/>
      <c r="L13"/>
      <c r="M13"/>
      <c r="O13" s="168"/>
    </row>
    <row r="14" spans="2:15" s="1" customFormat="1" ht="39.950000000000003" customHeight="1" x14ac:dyDescent="0.2">
      <c r="B14" s="140" t="s">
        <v>526</v>
      </c>
      <c r="C14" s="140"/>
      <c r="D14" s="167" t="s">
        <v>568</v>
      </c>
      <c r="E14" s="140" t="s">
        <v>492</v>
      </c>
      <c r="F14" s="169">
        <v>1</v>
      </c>
      <c r="G14" s="228">
        <v>170000</v>
      </c>
      <c r="H14" s="236">
        <f>G14*F14</f>
        <v>170000</v>
      </c>
      <c r="J14"/>
      <c r="K14"/>
      <c r="L14"/>
      <c r="M14"/>
    </row>
    <row r="15" spans="2:15" s="1" customFormat="1" ht="39.950000000000003" customHeight="1" x14ac:dyDescent="0.2">
      <c r="B15" s="140" t="s">
        <v>527</v>
      </c>
      <c r="C15" s="140"/>
      <c r="D15" s="167" t="s">
        <v>582</v>
      </c>
      <c r="E15" s="140" t="s">
        <v>182</v>
      </c>
      <c r="F15" s="169">
        <f>H14+H12</f>
        <v>320000</v>
      </c>
      <c r="G15" s="237"/>
      <c r="H15" s="234">
        <f>+F15*G15</f>
        <v>0</v>
      </c>
      <c r="J15"/>
      <c r="K15"/>
      <c r="L15"/>
      <c r="M15"/>
    </row>
    <row r="16" spans="2:15" s="1" customFormat="1" ht="39.950000000000003" customHeight="1" x14ac:dyDescent="0.2">
      <c r="B16" s="140"/>
      <c r="C16" s="140"/>
      <c r="D16" s="167"/>
      <c r="E16" s="140"/>
      <c r="F16" s="169"/>
      <c r="G16" s="228"/>
      <c r="H16" s="236"/>
      <c r="J16"/>
      <c r="K16"/>
      <c r="L16"/>
      <c r="M16"/>
    </row>
    <row r="17" spans="2:14" s="156" customFormat="1" ht="39.950000000000003" customHeight="1" x14ac:dyDescent="0.2">
      <c r="B17" s="151">
        <v>4.3</v>
      </c>
      <c r="C17" s="151"/>
      <c r="D17" s="174" t="s">
        <v>566</v>
      </c>
      <c r="E17" s="152"/>
      <c r="F17" s="175"/>
      <c r="G17" s="227"/>
      <c r="H17" s="238"/>
      <c r="J17"/>
      <c r="K17"/>
      <c r="L17"/>
      <c r="M17"/>
    </row>
    <row r="18" spans="2:14" s="1" customFormat="1" ht="39.950000000000003" customHeight="1" x14ac:dyDescent="0.2">
      <c r="B18" s="140" t="s">
        <v>529</v>
      </c>
      <c r="C18" s="140"/>
      <c r="D18" s="167" t="s">
        <v>587</v>
      </c>
      <c r="E18" s="140" t="s">
        <v>492</v>
      </c>
      <c r="F18" s="169">
        <v>1</v>
      </c>
      <c r="G18" s="228">
        <f>1600000*1.35</f>
        <v>2160000</v>
      </c>
      <c r="H18" s="228">
        <f>G18*F18</f>
        <v>2160000</v>
      </c>
      <c r="J18"/>
      <c r="K18"/>
      <c r="L18"/>
      <c r="M18"/>
    </row>
    <row r="19" spans="2:14" s="1" customFormat="1" ht="39.950000000000003" customHeight="1" x14ac:dyDescent="0.2">
      <c r="B19" s="140" t="s">
        <v>554</v>
      </c>
      <c r="C19" s="140"/>
      <c r="D19" s="167" t="s">
        <v>575</v>
      </c>
      <c r="E19" s="140" t="s">
        <v>182</v>
      </c>
      <c r="F19" s="169">
        <f>H18</f>
        <v>2160000</v>
      </c>
      <c r="G19" s="237"/>
      <c r="H19" s="234">
        <f>+F19*G19</f>
        <v>0</v>
      </c>
      <c r="J19"/>
      <c r="K19"/>
      <c r="L19"/>
      <c r="M19"/>
    </row>
    <row r="20" spans="2:14" s="1" customFormat="1" ht="39.950000000000003" customHeight="1" x14ac:dyDescent="0.2">
      <c r="B20" s="140" t="s">
        <v>567</v>
      </c>
      <c r="C20" s="140"/>
      <c r="D20" s="167" t="s">
        <v>585</v>
      </c>
      <c r="E20" s="140" t="s">
        <v>492</v>
      </c>
      <c r="F20" s="169">
        <v>1</v>
      </c>
      <c r="G20" s="228">
        <v>75000</v>
      </c>
      <c r="H20" s="228">
        <f>G20*F20</f>
        <v>75000</v>
      </c>
      <c r="J20"/>
      <c r="K20"/>
      <c r="L20"/>
      <c r="M20"/>
    </row>
    <row r="21" spans="2:14" s="1" customFormat="1" ht="39.950000000000003" customHeight="1" x14ac:dyDescent="0.2">
      <c r="B21" s="140" t="s">
        <v>583</v>
      </c>
      <c r="C21" s="140"/>
      <c r="D21" s="167" t="s">
        <v>584</v>
      </c>
      <c r="E21" s="140" t="s">
        <v>182</v>
      </c>
      <c r="F21" s="169">
        <f>H20</f>
        <v>75000</v>
      </c>
      <c r="G21" s="237"/>
      <c r="H21" s="234">
        <f>+F21*G21</f>
        <v>0</v>
      </c>
      <c r="J21"/>
      <c r="K21"/>
      <c r="L21"/>
      <c r="M21"/>
    </row>
    <row r="22" spans="2:14" s="156" customFormat="1" ht="39.950000000000003" customHeight="1" x14ac:dyDescent="0.2">
      <c r="B22" s="151">
        <v>4.4000000000000004</v>
      </c>
      <c r="C22" s="151"/>
      <c r="D22" s="176" t="s">
        <v>576</v>
      </c>
      <c r="E22" s="152"/>
      <c r="F22" s="175"/>
      <c r="G22" s="227"/>
      <c r="H22" s="239"/>
      <c r="J22"/>
      <c r="K22"/>
      <c r="L22"/>
      <c r="M22"/>
    </row>
    <row r="23" spans="2:14" s="1" customFormat="1" ht="64.5" customHeight="1" x14ac:dyDescent="0.2">
      <c r="B23" s="140" t="s">
        <v>577</v>
      </c>
      <c r="C23" s="140"/>
      <c r="D23" s="167" t="s">
        <v>578</v>
      </c>
      <c r="E23" s="140" t="s">
        <v>105</v>
      </c>
      <c r="F23" s="169"/>
      <c r="G23" s="228"/>
      <c r="H23" s="234"/>
      <c r="J23"/>
      <c r="K23"/>
      <c r="L23"/>
      <c r="M23"/>
    </row>
    <row r="24" spans="2:14" s="2" customFormat="1" ht="31.5" customHeight="1" x14ac:dyDescent="0.2">
      <c r="B24" s="10"/>
      <c r="C24" s="10"/>
      <c r="D24" s="28"/>
      <c r="E24" s="10"/>
      <c r="F24" s="13"/>
      <c r="G24" s="179"/>
      <c r="H24" s="215"/>
      <c r="J24"/>
      <c r="K24"/>
      <c r="L24"/>
      <c r="M24"/>
    </row>
    <row r="25" spans="2:14" s="2" customFormat="1" ht="15" customHeight="1" x14ac:dyDescent="0.2">
      <c r="B25" s="10"/>
      <c r="C25" s="10"/>
      <c r="D25" s="28"/>
      <c r="E25" s="10"/>
      <c r="F25" s="13"/>
      <c r="G25" s="179"/>
      <c r="H25" s="191"/>
      <c r="J25"/>
      <c r="K25"/>
      <c r="L25"/>
      <c r="M25"/>
    </row>
    <row r="26" spans="2:14" s="133" customFormat="1" ht="30" customHeight="1" x14ac:dyDescent="0.2">
      <c r="B26" s="273" t="s">
        <v>442</v>
      </c>
      <c r="C26" s="274"/>
      <c r="D26" s="274"/>
      <c r="E26" s="274"/>
      <c r="F26" s="275"/>
      <c r="G26" s="257"/>
      <c r="H26" s="258"/>
      <c r="J26"/>
      <c r="K26"/>
      <c r="L26"/>
      <c r="M26"/>
      <c r="N26" s="157"/>
    </row>
    <row r="27" spans="2:14" ht="17.100000000000001" customHeight="1" x14ac:dyDescent="0.2"/>
    <row r="28" spans="2:14" ht="17.100000000000001" customHeight="1" x14ac:dyDescent="0.2">
      <c r="B28" s="259" t="str">
        <f>'Fixed P&amp;Gs'!$B$44:$G$44</f>
        <v xml:space="preserve">NAILANA WS BoQ </v>
      </c>
      <c r="C28" s="259"/>
      <c r="D28" s="259"/>
      <c r="E28" s="259"/>
      <c r="F28" s="259"/>
      <c r="G28" s="259"/>
      <c r="H28" s="82"/>
    </row>
  </sheetData>
  <sheetProtection algorithmName="SHA-512" hashValue="LPdHq017cBVhGszlNd+ZtYsF68R+4wnxcQMvsPnulNTiZZpuqbCAyiExwnjv8jpr5sw/y7stZltifhv1X/GD0Q==" saltValue="3FITP8EqMvsG2pMwh+imrg==" spinCount="100000" sheet="1" objects="1" scenarios="1" selectLockedCells="1"/>
  <mergeCells count="7">
    <mergeCell ref="B28:G28"/>
    <mergeCell ref="B9:H9"/>
    <mergeCell ref="B2:E2"/>
    <mergeCell ref="B3:E3"/>
    <mergeCell ref="B4:E4"/>
    <mergeCell ref="F4:H4"/>
    <mergeCell ref="B26:F26"/>
  </mergeCells>
  <pageMargins left="0.15748031496062992" right="0.15748031496062992" top="0.49583333333333335" bottom="0.39370078740157483" header="0.31496062992125984" footer="0.31496062992125984"/>
  <pageSetup paperSize="9" scale="68" orientation="portrait" r:id="rId1"/>
  <headerFooter alignWithMargins="0">
    <oddHeader>&amp;CBoQ &amp;[16] of &amp;[17]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2"/>
  <sheetViews>
    <sheetView showGridLines="0" tabSelected="1" view="pageBreakPreview" topLeftCell="A6" zoomScaleNormal="100" zoomScaleSheetLayoutView="100" workbookViewId="0">
      <selection activeCell="H26" sqref="H26"/>
    </sheetView>
  </sheetViews>
  <sheetFormatPr defaultRowHeight="12.75" x14ac:dyDescent="0.2"/>
  <cols>
    <col min="1" max="1" width="1.7109375" customWidth="1"/>
    <col min="2" max="2" width="8" customWidth="1"/>
    <col min="3" max="3" width="8.5703125" customWidth="1"/>
    <col min="4" max="4" width="34.140625" customWidth="1"/>
    <col min="5" max="5" width="8.7109375" customWidth="1"/>
    <col min="6" max="6" width="0.42578125" customWidth="1"/>
    <col min="7" max="7" width="10.7109375" customWidth="1"/>
    <col min="8" max="8" width="32.140625" customWidth="1"/>
    <col min="9" max="9" width="8" customWidth="1"/>
    <col min="11" max="11" width="10.7109375" customWidth="1"/>
    <col min="12" max="12" width="12.7109375" customWidth="1"/>
    <col min="13" max="13" width="10.7109375" customWidth="1"/>
    <col min="14" max="14" width="12.7109375" customWidth="1"/>
  </cols>
  <sheetData>
    <row r="1" spans="2:17" ht="26.25" customHeight="1" x14ac:dyDescent="0.2">
      <c r="B1" s="260" t="str">
        <f>'Fixed P&amp;Gs'!B2</f>
        <v xml:space="preserve">CAPRICORN DISTRICT MUNICIPALITY - LIMPOPO PROVINCE </v>
      </c>
      <c r="C1" s="260"/>
      <c r="D1" s="260"/>
      <c r="E1" s="260"/>
      <c r="F1" s="80"/>
      <c r="G1" s="80"/>
      <c r="H1" s="80" t="str">
        <f>'Fixed P&amp;Gs'!H1</f>
        <v>ORB.NAIL.2021</v>
      </c>
      <c r="K1" s="80"/>
      <c r="L1" s="80"/>
      <c r="M1" s="80"/>
      <c r="N1" s="80"/>
    </row>
    <row r="2" spans="2:17" ht="18" customHeight="1" x14ac:dyDescent="0.2">
      <c r="B2" s="261" t="s">
        <v>536</v>
      </c>
      <c r="C2" s="261"/>
      <c r="D2" s="261"/>
      <c r="E2" s="261"/>
      <c r="F2" s="80"/>
      <c r="G2" s="80"/>
      <c r="H2" s="80"/>
      <c r="K2" s="80"/>
      <c r="L2" s="80"/>
      <c r="M2" s="80"/>
      <c r="N2" s="80"/>
    </row>
    <row r="3" spans="2:17" ht="24" customHeight="1" x14ac:dyDescent="0.2">
      <c r="B3" s="260" t="str">
        <f>'Fixed P&amp;Gs'!B4</f>
        <v>NAILANA VILLAGE WATER SUPPLY</v>
      </c>
      <c r="C3" s="260"/>
      <c r="D3" s="260"/>
      <c r="E3" s="260"/>
      <c r="F3" s="262" t="str">
        <f>'Fixed P&amp;Gs'!F4:H4</f>
        <v>CONTRACT No:INF-W06/2022/2023</v>
      </c>
      <c r="G3" s="262"/>
      <c r="H3" s="262"/>
    </row>
    <row r="4" spans="2:17" ht="18" customHeight="1" x14ac:dyDescent="0.2">
      <c r="B4" s="276" t="s">
        <v>472</v>
      </c>
      <c r="C4" s="276"/>
      <c r="D4" s="276"/>
      <c r="E4" s="276"/>
      <c r="F4" s="276"/>
      <c r="G4" s="276"/>
      <c r="H4" s="276"/>
    </row>
    <row r="5" spans="2:17" ht="18" customHeight="1" x14ac:dyDescent="0.2">
      <c r="B5" s="276"/>
      <c r="C5" s="276"/>
      <c r="D5" s="276"/>
      <c r="E5" s="276"/>
      <c r="F5" s="276"/>
      <c r="G5" s="276"/>
      <c r="H5" s="276"/>
    </row>
    <row r="6" spans="2:17" ht="17.100000000000001" customHeight="1" x14ac:dyDescent="0.2">
      <c r="B6" s="1"/>
      <c r="C6" s="1"/>
    </row>
    <row r="7" spans="2:17" ht="28.35" customHeight="1" x14ac:dyDescent="0.2">
      <c r="B7" s="78" t="s">
        <v>473</v>
      </c>
      <c r="C7" s="78" t="s">
        <v>474</v>
      </c>
      <c r="D7" s="281" t="s">
        <v>475</v>
      </c>
      <c r="E7" s="281"/>
      <c r="F7" s="281"/>
      <c r="G7" s="281" t="s">
        <v>530</v>
      </c>
      <c r="H7" s="281"/>
    </row>
    <row r="8" spans="2:17" ht="28.35" customHeight="1" x14ac:dyDescent="0.2">
      <c r="B8" s="76" t="s">
        <v>476</v>
      </c>
      <c r="C8" s="282" t="s">
        <v>477</v>
      </c>
      <c r="D8" s="282"/>
      <c r="E8" s="282"/>
      <c r="F8" s="282"/>
      <c r="G8" s="278"/>
      <c r="H8" s="278"/>
    </row>
    <row r="9" spans="2:17" ht="28.35" customHeight="1" x14ac:dyDescent="0.2">
      <c r="B9" s="77" t="s">
        <v>476</v>
      </c>
      <c r="C9" s="77">
        <v>1</v>
      </c>
      <c r="D9" s="277" t="s">
        <v>478</v>
      </c>
      <c r="E9" s="277"/>
      <c r="F9" s="277"/>
      <c r="G9" s="279"/>
      <c r="H9" s="279"/>
    </row>
    <row r="10" spans="2:17" ht="28.35" customHeight="1" x14ac:dyDescent="0.2">
      <c r="B10" s="77" t="s">
        <v>476</v>
      </c>
      <c r="C10" s="77">
        <v>2</v>
      </c>
      <c r="D10" s="277" t="s">
        <v>479</v>
      </c>
      <c r="E10" s="277"/>
      <c r="F10" s="277"/>
      <c r="G10" s="279"/>
      <c r="H10" s="279"/>
    </row>
    <row r="11" spans="2:17" ht="28.35" customHeight="1" x14ac:dyDescent="0.2">
      <c r="B11" s="77" t="s">
        <v>476</v>
      </c>
      <c r="C11" s="77">
        <v>3</v>
      </c>
      <c r="D11" s="277" t="s">
        <v>480</v>
      </c>
      <c r="E11" s="277"/>
      <c r="F11" s="277"/>
      <c r="G11" s="280"/>
      <c r="H11" s="280"/>
    </row>
    <row r="12" spans="2:17" ht="28.35" customHeight="1" x14ac:dyDescent="0.2">
      <c r="B12" s="77" t="s">
        <v>476</v>
      </c>
      <c r="C12" s="77">
        <v>4</v>
      </c>
      <c r="D12" s="277" t="s">
        <v>481</v>
      </c>
      <c r="E12" s="277"/>
      <c r="F12" s="277"/>
      <c r="G12" s="280"/>
      <c r="H12" s="280"/>
    </row>
    <row r="13" spans="2:17" ht="28.35" customHeight="1" x14ac:dyDescent="0.2">
      <c r="B13" s="77" t="s">
        <v>476</v>
      </c>
      <c r="C13" s="77">
        <v>5</v>
      </c>
      <c r="D13" s="277" t="s">
        <v>482</v>
      </c>
      <c r="E13" s="277"/>
      <c r="F13" s="277"/>
      <c r="G13" s="280"/>
      <c r="H13" s="280"/>
    </row>
    <row r="14" spans="2:17" ht="28.35" customHeight="1" x14ac:dyDescent="0.2">
      <c r="B14" s="77" t="s">
        <v>476</v>
      </c>
      <c r="C14" s="77">
        <v>6</v>
      </c>
      <c r="D14" s="277" t="s">
        <v>483</v>
      </c>
      <c r="E14" s="277"/>
      <c r="F14" s="277"/>
      <c r="G14" s="280"/>
      <c r="H14" s="280"/>
    </row>
    <row r="15" spans="2:17" ht="28.35" customHeight="1" x14ac:dyDescent="0.2">
      <c r="B15" s="285" t="s">
        <v>484</v>
      </c>
      <c r="C15" s="286"/>
      <c r="D15" s="286"/>
      <c r="E15" s="286"/>
      <c r="F15" s="287"/>
      <c r="G15" s="283">
        <f>SUM(G8:H14)</f>
        <v>0</v>
      </c>
      <c r="H15" s="284"/>
      <c r="Q15" s="120"/>
    </row>
    <row r="16" spans="2:17" ht="28.35" customHeight="1" x14ac:dyDescent="0.2">
      <c r="B16" s="76" t="s">
        <v>485</v>
      </c>
      <c r="C16" s="282" t="s">
        <v>486</v>
      </c>
      <c r="D16" s="282"/>
      <c r="E16" s="282"/>
      <c r="F16" s="282"/>
      <c r="G16" s="288"/>
      <c r="H16" s="288"/>
    </row>
    <row r="17" spans="2:14" ht="28.35" customHeight="1" x14ac:dyDescent="0.2">
      <c r="B17" s="77" t="s">
        <v>485</v>
      </c>
      <c r="C17" s="77">
        <v>1</v>
      </c>
      <c r="D17" s="277" t="s">
        <v>487</v>
      </c>
      <c r="E17" s="277"/>
      <c r="F17" s="277"/>
      <c r="G17" s="280"/>
      <c r="H17" s="280"/>
    </row>
    <row r="18" spans="2:14" ht="28.35" customHeight="1" x14ac:dyDescent="0.2">
      <c r="B18" s="77" t="s">
        <v>485</v>
      </c>
      <c r="C18" s="77">
        <v>2</v>
      </c>
      <c r="D18" s="277" t="s">
        <v>488</v>
      </c>
      <c r="E18" s="277"/>
      <c r="F18" s="277"/>
      <c r="G18" s="280"/>
      <c r="H18" s="280"/>
    </row>
    <row r="19" spans="2:14" ht="28.35" customHeight="1" x14ac:dyDescent="0.2">
      <c r="B19" s="77" t="s">
        <v>485</v>
      </c>
      <c r="C19" s="77">
        <v>4</v>
      </c>
      <c r="D19" s="277" t="s">
        <v>489</v>
      </c>
      <c r="E19" s="277"/>
      <c r="F19" s="277"/>
      <c r="G19" s="280"/>
      <c r="H19" s="280"/>
    </row>
    <row r="20" spans="2:14" ht="28.35" customHeight="1" x14ac:dyDescent="0.2">
      <c r="B20" s="285" t="s">
        <v>490</v>
      </c>
      <c r="C20" s="286"/>
      <c r="D20" s="286"/>
      <c r="E20" s="286"/>
      <c r="F20" s="287"/>
      <c r="G20" s="283">
        <f>SUM(G17:H19)</f>
        <v>0</v>
      </c>
      <c r="H20" s="284"/>
    </row>
    <row r="21" spans="2:14" ht="17.100000000000001" customHeight="1" x14ac:dyDescent="0.2">
      <c r="B21" s="1"/>
      <c r="C21" s="1"/>
      <c r="G21" s="240"/>
      <c r="H21" s="240"/>
    </row>
    <row r="22" spans="2:14" s="7" customFormat="1" ht="28.35" customHeight="1" x14ac:dyDescent="0.2">
      <c r="B22" s="299" t="s">
        <v>467</v>
      </c>
      <c r="C22" s="300"/>
      <c r="D22" s="300"/>
      <c r="E22" s="300"/>
      <c r="F22" s="301"/>
      <c r="G22" s="291">
        <f>G15</f>
        <v>0</v>
      </c>
      <c r="H22" s="292"/>
      <c r="K22"/>
      <c r="L22"/>
      <c r="M22"/>
      <c r="N22"/>
    </row>
    <row r="23" spans="2:14" s="2" customFormat="1" ht="28.35" customHeight="1" x14ac:dyDescent="0.2">
      <c r="B23" s="299" t="s">
        <v>468</v>
      </c>
      <c r="C23" s="300"/>
      <c r="D23" s="300"/>
      <c r="E23" s="300"/>
      <c r="F23" s="301"/>
      <c r="G23" s="291">
        <f>G20</f>
        <v>0</v>
      </c>
      <c r="H23" s="292"/>
      <c r="K23"/>
      <c r="L23"/>
      <c r="M23"/>
      <c r="N23"/>
    </row>
    <row r="24" spans="2:14" s="2" customFormat="1" ht="28.35" customHeight="1" x14ac:dyDescent="0.2">
      <c r="B24" s="302" t="s">
        <v>469</v>
      </c>
      <c r="C24" s="303"/>
      <c r="D24" s="303"/>
      <c r="E24" s="303"/>
      <c r="F24" s="304"/>
      <c r="G24" s="289">
        <f>G22+G23</f>
        <v>0</v>
      </c>
      <c r="H24" s="290"/>
      <c r="K24"/>
      <c r="L24"/>
      <c r="M24"/>
      <c r="N24"/>
    </row>
    <row r="25" spans="2:14" s="2" customFormat="1" ht="28.35" customHeight="1" x14ac:dyDescent="0.2">
      <c r="B25" s="293" t="s">
        <v>493</v>
      </c>
      <c r="C25" s="294"/>
      <c r="D25" s="294"/>
      <c r="E25" s="294"/>
      <c r="F25" s="295"/>
      <c r="G25" s="291">
        <f>G24*10%</f>
        <v>0</v>
      </c>
      <c r="H25" s="292"/>
      <c r="K25"/>
      <c r="L25"/>
      <c r="M25"/>
      <c r="N25"/>
    </row>
    <row r="26" spans="2:14" s="2" customFormat="1" ht="28.35" customHeight="1" x14ac:dyDescent="0.2">
      <c r="B26" s="293" t="s">
        <v>590</v>
      </c>
      <c r="C26" s="294"/>
      <c r="D26" s="294"/>
      <c r="E26" s="294"/>
      <c r="F26" s="295"/>
      <c r="G26" s="241"/>
      <c r="H26" s="242"/>
      <c r="K26"/>
      <c r="L26"/>
      <c r="M26"/>
      <c r="N26"/>
    </row>
    <row r="27" spans="2:14" s="2" customFormat="1" ht="28.35" customHeight="1" x14ac:dyDescent="0.2">
      <c r="B27" s="302" t="s">
        <v>470</v>
      </c>
      <c r="C27" s="303"/>
      <c r="D27" s="303"/>
      <c r="E27" s="303"/>
      <c r="F27" s="304"/>
      <c r="G27" s="289">
        <f>G24+G25</f>
        <v>0</v>
      </c>
      <c r="H27" s="290"/>
      <c r="K27"/>
      <c r="L27"/>
      <c r="M27"/>
      <c r="N27"/>
    </row>
    <row r="28" spans="2:14" s="2" customFormat="1" ht="28.35" customHeight="1" x14ac:dyDescent="0.2">
      <c r="B28" s="293" t="s">
        <v>558</v>
      </c>
      <c r="C28" s="294"/>
      <c r="D28" s="294"/>
      <c r="E28" s="294"/>
      <c r="F28" s="295"/>
      <c r="G28" s="291">
        <f>G27*15%</f>
        <v>0</v>
      </c>
      <c r="H28" s="292"/>
      <c r="K28"/>
      <c r="L28"/>
      <c r="M28"/>
      <c r="N28"/>
    </row>
    <row r="29" spans="2:14" s="2" customFormat="1" ht="39.75" customHeight="1" x14ac:dyDescent="0.2">
      <c r="B29" s="296" t="s">
        <v>471</v>
      </c>
      <c r="C29" s="297"/>
      <c r="D29" s="297"/>
      <c r="E29" s="297"/>
      <c r="F29" s="298"/>
      <c r="G29" s="289">
        <f>G27+G28</f>
        <v>0</v>
      </c>
      <c r="H29" s="290"/>
      <c r="K29"/>
    </row>
    <row r="30" spans="2:14" ht="23.85" customHeight="1" x14ac:dyDescent="0.2">
      <c r="L30" s="2"/>
      <c r="M30" s="2"/>
      <c r="N30" s="2"/>
    </row>
    <row r="31" spans="2:14" ht="17.100000000000001" customHeight="1" x14ac:dyDescent="0.2">
      <c r="B31" s="259" t="str">
        <f>'Fixed P&amp;Gs'!$B$44:$G$44</f>
        <v xml:space="preserve">NAILANA WS BoQ </v>
      </c>
      <c r="C31" s="259"/>
      <c r="D31" s="259"/>
      <c r="E31" s="259"/>
      <c r="F31" s="259"/>
      <c r="G31" s="259"/>
      <c r="H31" s="82"/>
      <c r="L31" s="2"/>
      <c r="M31" s="2"/>
      <c r="N31" s="2"/>
    </row>
    <row r="32" spans="2:14" x14ac:dyDescent="0.2">
      <c r="H32" s="119"/>
      <c r="L32" s="2"/>
      <c r="M32" s="2"/>
      <c r="N32" s="2"/>
    </row>
  </sheetData>
  <sheetProtection algorithmName="SHA-512" hashValue="3SuT4eGZYOkajNkJ38Bdm+eWWsk0V8071So2+q2GYtr26i0+zmdceOL9XcUXwBoGLTNHQtZl7KUOkYjzbfLjJg==" saltValue="lxhiB6uts5mBsGsWqJXPZw==" spinCount="100000" sheet="1" objects="1" scenarios="1" selectLockedCells="1"/>
  <mergeCells count="49">
    <mergeCell ref="B28:F28"/>
    <mergeCell ref="B29:F29"/>
    <mergeCell ref="B22:F22"/>
    <mergeCell ref="B23:F23"/>
    <mergeCell ref="B24:F24"/>
    <mergeCell ref="B25:F25"/>
    <mergeCell ref="B27:F27"/>
    <mergeCell ref="B26:F26"/>
    <mergeCell ref="G29:H29"/>
    <mergeCell ref="G22:H22"/>
    <mergeCell ref="G23:H23"/>
    <mergeCell ref="G24:H24"/>
    <mergeCell ref="G25:H25"/>
    <mergeCell ref="G27:H27"/>
    <mergeCell ref="G28:H28"/>
    <mergeCell ref="B20:F20"/>
    <mergeCell ref="G16:H16"/>
    <mergeCell ref="G17:H17"/>
    <mergeCell ref="G18:H18"/>
    <mergeCell ref="G19:H19"/>
    <mergeCell ref="G20:H20"/>
    <mergeCell ref="D18:F18"/>
    <mergeCell ref="D19:F19"/>
    <mergeCell ref="G15:H15"/>
    <mergeCell ref="B15:F15"/>
    <mergeCell ref="C16:F16"/>
    <mergeCell ref="D17:F17"/>
    <mergeCell ref="D13:F13"/>
    <mergeCell ref="D10:F10"/>
    <mergeCell ref="D11:F11"/>
    <mergeCell ref="D12:F12"/>
    <mergeCell ref="G13:H13"/>
    <mergeCell ref="G14:H14"/>
    <mergeCell ref="B4:H5"/>
    <mergeCell ref="B31:G31"/>
    <mergeCell ref="B1:E1"/>
    <mergeCell ref="B2:E2"/>
    <mergeCell ref="B3:E3"/>
    <mergeCell ref="F3:H3"/>
    <mergeCell ref="D14:F14"/>
    <mergeCell ref="G8:H8"/>
    <mergeCell ref="G9:H9"/>
    <mergeCell ref="G10:H10"/>
    <mergeCell ref="G11:H11"/>
    <mergeCell ref="G7:H7"/>
    <mergeCell ref="D7:F7"/>
    <mergeCell ref="G12:H12"/>
    <mergeCell ref="C8:F8"/>
    <mergeCell ref="D9:F9"/>
  </mergeCells>
  <pageMargins left="0.196850393700787" right="0.196850393700787" top="0.492916666666667" bottom="0.39370078740157499" header="0.31496062992126" footer="0.31496062992126"/>
  <pageSetup paperSize="9" scale="98" orientation="portrait" r:id="rId1"/>
  <headerFooter alignWithMargins="0">
    <oddHeader>&amp;CBoQ&amp;[17] of &amp;[17]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18</vt:i4>
      </vt:variant>
    </vt:vector>
  </HeadingPairs>
  <TitlesOfParts>
    <vt:vector size="35" baseType="lpstr">
      <vt:lpstr>Fixed P&amp;Gs</vt:lpstr>
      <vt:lpstr>Time Related</vt:lpstr>
      <vt:lpstr>Prov Sums</vt:lpstr>
      <vt:lpstr>PC Items</vt:lpstr>
      <vt:lpstr>Dayworks</vt:lpstr>
      <vt:lpstr>Temp Works</vt:lpstr>
      <vt:lpstr>Earthworks_Trench</vt:lpstr>
      <vt:lpstr>Earthworks_Trench2</vt:lpstr>
      <vt:lpstr>Bedding</vt:lpstr>
      <vt:lpstr>Pipelines1</vt:lpstr>
      <vt:lpstr>Pipelines2</vt:lpstr>
      <vt:lpstr>Pipelines3</vt:lpstr>
      <vt:lpstr>Pipelines4</vt:lpstr>
      <vt:lpstr>Pipelines5</vt:lpstr>
      <vt:lpstr>Ancillaries 1</vt:lpstr>
      <vt:lpstr>Ancillaries 2</vt:lpstr>
      <vt:lpstr>SUM</vt:lpstr>
      <vt:lpstr>MAAAAAAAAAAAAAAAA</vt:lpstr>
      <vt:lpstr>'Ancillaries 1'!Print_Area</vt:lpstr>
      <vt:lpstr>'Ancillaries 2'!Print_Area</vt:lpstr>
      <vt:lpstr>Bedding!Print_Area</vt:lpstr>
      <vt:lpstr>Dayworks!Print_Area</vt:lpstr>
      <vt:lpstr>Earthworks_Trench!Print_Area</vt:lpstr>
      <vt:lpstr>Earthworks_Trench2!Print_Area</vt:lpstr>
      <vt:lpstr>'Fixed P&amp;Gs'!Print_Area</vt:lpstr>
      <vt:lpstr>'PC Items'!Print_Area</vt:lpstr>
      <vt:lpstr>Pipelines1!Print_Area</vt:lpstr>
      <vt:lpstr>Pipelines2!Print_Area</vt:lpstr>
      <vt:lpstr>Pipelines3!Print_Area</vt:lpstr>
      <vt:lpstr>Pipelines4!Print_Area</vt:lpstr>
      <vt:lpstr>Pipelines5!Print_Area</vt:lpstr>
      <vt:lpstr>'Prov Sums'!Print_Area</vt:lpstr>
      <vt:lpstr>SUM!Print_Area</vt:lpstr>
      <vt:lpstr>'Temp Works'!Print_Area</vt:lpstr>
      <vt:lpstr>'Time Related'!Print_Area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</dc:creator>
  <cp:lastModifiedBy>Matshidiso Rakobela</cp:lastModifiedBy>
  <cp:lastPrinted>2022-07-21T09:57:06Z</cp:lastPrinted>
  <dcterms:created xsi:type="dcterms:W3CDTF">1998-12-01T14:24:57Z</dcterms:created>
  <dcterms:modified xsi:type="dcterms:W3CDTF">2022-08-05T06:47:35Z</dcterms:modified>
</cp:coreProperties>
</file>