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rports.sharepoint.com/sites/COR80862025RFP-ITBackupandStorage/Shared Documents/BSC/Tender Documents/"/>
    </mc:Choice>
  </mc:AlternateContent>
  <xr:revisionPtr revIDLastSave="1813" documentId="13_ncr:1_{A75835DD-C89F-4C5F-B842-B2486A42B352}" xr6:coauthVersionLast="47" xr6:coauthVersionMax="47" xr10:uidLastSave="{705ADAE3-0960-4A17-A524-6E28746DC248}"/>
  <bookViews>
    <workbookView xWindow="-103" yWindow="-103" windowWidth="33120" windowHeight="20057" tabRatio="916" firstSheet="10" activeTab="10" xr2:uid="{00000000-000D-0000-FFFF-FFFF00000000}"/>
  </bookViews>
  <sheets>
    <sheet name="Introduction" sheetId="29" r:id="rId1"/>
    <sheet name="Pricing Summary" sheetId="6" r:id="rId2"/>
    <sheet name="Supply Summary" sheetId="20" r:id="rId3"/>
    <sheet name="Supply Pricing" sheetId="33" r:id="rId4"/>
    <sheet name="SLA Maintenance" sheetId="34" r:id="rId5"/>
    <sheet name="Software Maint" sheetId="31" r:id="rId6"/>
    <sheet name="HW Maint-DPBA" sheetId="35" r:id="rId7"/>
    <sheet name="HW Maint-DPBS" sheetId="36" r:id="rId8"/>
    <sheet name="HW Maint-DPDR" sheetId="37" r:id="rId9"/>
    <sheet name="HW Maint-DSSS" sheetId="38" r:id="rId10"/>
    <sheet name="HW Maint-DSSN" sheetId="39" r:id="rId11"/>
    <sheet name="Resources - Fixed hours" sheetId="32" r:id="rId12"/>
    <sheet name="Resources-Rate Card" sheetId="41" r:id="rId13"/>
  </sheets>
  <externalReferences>
    <externalReference r:id="rId14"/>
  </externalReferences>
  <definedNames>
    <definedName name="_xlnm._FilterDatabase" localSheetId="3" hidden="1">'Supply Pricing'!#REF!</definedName>
    <definedName name="Exchange_Rate" localSheetId="6">'Pricing Summary'!$C$1</definedName>
    <definedName name="Exchange_Rate" localSheetId="7">'Pricing Summary'!$C$1</definedName>
    <definedName name="Exchange_Rate" localSheetId="8">'Pricing Summary'!$C$1</definedName>
    <definedName name="Exchange_Rate" localSheetId="10">'Pricing Summary'!$C$1</definedName>
    <definedName name="Exchange_Rate" localSheetId="9">'Pricing Summary'!$C$1</definedName>
    <definedName name="Exchange_Rate" localSheetId="0">'Pricing Summary'!$C$1</definedName>
    <definedName name="Exchange_Rate" localSheetId="11">'Pricing Summary'!$C$1</definedName>
    <definedName name="Exchange_Rate" localSheetId="12">'Pricing Summary'!$C$1</definedName>
    <definedName name="Exchange_Rate" localSheetId="4">'Pricing Summary'!$C$1</definedName>
    <definedName name="Exchange_Rate" localSheetId="5">'Pricing Summary'!$C$1</definedName>
    <definedName name="Exchange_Rate" localSheetId="3">'Pricing Summary'!$C$1</definedName>
    <definedName name="Exchange_Rate">'Pricing Summary'!$C$1</definedName>
    <definedName name="N_SUP_OP1_WP">[1]!T_SUP_SUM_OP1[WORK PACKAGE DESCRIPTION]</definedName>
    <definedName name="N_SUP_OP2_WP">[1]!T_SUP_SUM_OP2[WORK PACKAGE DESCRIPTION]</definedName>
    <definedName name="N_WorkP_Name" localSheetId="8">#REF!</definedName>
    <definedName name="N_WorkP_Name" localSheetId="10">#REF!</definedName>
    <definedName name="N_WorkP_Name" localSheetId="9">#REF!</definedName>
    <definedName name="N_WorkP_Name" localSheetId="11">#REF!</definedName>
    <definedName name="N_WorkP_Name" localSheetId="4">#REF!</definedName>
    <definedName name="N_WorkP_Name">#REF!</definedName>
    <definedName name="_xlnm.Print_Area" localSheetId="6">'HW Maint-DPBA'!$A$1:$L$27</definedName>
    <definedName name="_xlnm.Print_Area" localSheetId="7">'HW Maint-DPBS'!$A$1:$L$17</definedName>
    <definedName name="_xlnm.Print_Area" localSheetId="8">'HW Maint-DPDR'!$A$1:$L$18</definedName>
    <definedName name="_xlnm.Print_Area" localSheetId="10">'HW Maint-DSSN'!$A$1:$L$32</definedName>
    <definedName name="_xlnm.Print_Area" localSheetId="9">'HW Maint-DSSS'!$A$1:$L$75</definedName>
    <definedName name="_xlnm.Print_Area" localSheetId="1">'Pricing Summary'!$B$1:$I$16</definedName>
    <definedName name="_xlnm.Print_Area" localSheetId="11">'Resources - Fixed hours'!$A$1:$G$15</definedName>
    <definedName name="_xlnm.Print_Area" localSheetId="4">'SLA Maintenance'!$A$1:$S$23</definedName>
    <definedName name="_xlnm.Print_Area" localSheetId="5">'Software Maint'!$A$1:$W$13</definedName>
    <definedName name="_xlnm.Print_Area" localSheetId="2">'Supply Summary'!$B$2:$D$29</definedName>
    <definedName name="_xlnm.Print_Titles" localSheetId="6">'HW Maint-DPBA'!$12:$12</definedName>
    <definedName name="_xlnm.Print_Titles" localSheetId="7">'HW Maint-DPBS'!$12:$12</definedName>
    <definedName name="_xlnm.Print_Titles" localSheetId="8">'HW Maint-DPDR'!$12:$12</definedName>
    <definedName name="_xlnm.Print_Titles" localSheetId="10">'HW Maint-DSSN'!$12:$12</definedName>
    <definedName name="_xlnm.Print_Titles" localSheetId="9">'HW Maint-DSSS'!$12:$12</definedName>
    <definedName name="_xlnm.Print_Titles" localSheetId="11">'Resources - Fixed hours'!$12:$12</definedName>
    <definedName name="_xlnm.Print_Titles" localSheetId="5">'Software Maint'!$12:$12</definedName>
    <definedName name="YN">'Supply Pricing'!$AD$1:$AD$2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4" i="33" l="1"/>
  <c r="W74" i="33" s="1"/>
  <c r="D13" i="6"/>
  <c r="H13" i="6" s="1"/>
  <c r="E13" i="6"/>
  <c r="F13" i="6"/>
  <c r="G13" i="6"/>
  <c r="C13" i="6"/>
  <c r="V74" i="33" l="1"/>
  <c r="U74" i="33"/>
  <c r="Y74" i="33"/>
  <c r="X74" i="33"/>
  <c r="Q14" i="32"/>
  <c r="Q15" i="32"/>
  <c r="P14" i="32"/>
  <c r="P15" i="32"/>
  <c r="O14" i="32"/>
  <c r="O15" i="32"/>
  <c r="N14" i="32"/>
  <c r="N15" i="32"/>
  <c r="M14" i="32"/>
  <c r="R14" i="32" s="1"/>
  <c r="M15" i="32"/>
  <c r="Q16" i="36"/>
  <c r="Z16" i="36" s="1"/>
  <c r="Q14" i="36"/>
  <c r="Y14" i="36" s="1"/>
  <c r="Z14" i="36" l="1"/>
  <c r="X16" i="36"/>
  <c r="Y16" i="36"/>
  <c r="W16" i="36"/>
  <c r="AA14" i="36"/>
  <c r="R15" i="32"/>
  <c r="AA74" i="33"/>
  <c r="C36" i="20" s="1"/>
  <c r="D36" i="20" s="1"/>
  <c r="X14" i="36"/>
  <c r="W14" i="36"/>
  <c r="AA16" i="36"/>
  <c r="AB16" i="36" s="1"/>
  <c r="Q24" i="39"/>
  <c r="W24" i="39" s="1"/>
  <c r="Q25" i="39"/>
  <c r="X25" i="39" s="1"/>
  <c r="Q14" i="39"/>
  <c r="Y14" i="39" s="1"/>
  <c r="Q15" i="39"/>
  <c r="AA15" i="39" s="1"/>
  <c r="Q16" i="39"/>
  <c r="AA16" i="39" s="1"/>
  <c r="Q17" i="39"/>
  <c r="AA17" i="39" s="1"/>
  <c r="Q18" i="39"/>
  <c r="Z18" i="39" s="1"/>
  <c r="Q19" i="39"/>
  <c r="AA19" i="39" s="1"/>
  <c r="Q20" i="39"/>
  <c r="Y20" i="39" s="1"/>
  <c r="Q21" i="39"/>
  <c r="AA21" i="39" s="1"/>
  <c r="Q22" i="39"/>
  <c r="Y22" i="39" s="1"/>
  <c r="Q23" i="39"/>
  <c r="AA23" i="39" s="1"/>
  <c r="Q26" i="39"/>
  <c r="Y26" i="39" s="1"/>
  <c r="Q27" i="39"/>
  <c r="Z27" i="39" s="1"/>
  <c r="W17" i="39"/>
  <c r="W23" i="39"/>
  <c r="Y23" i="39"/>
  <c r="Z23" i="39"/>
  <c r="AA14" i="39"/>
  <c r="Q49" i="38"/>
  <c r="X49" i="38" s="1"/>
  <c r="Q50" i="38"/>
  <c r="X50" i="38" s="1"/>
  <c r="Q51" i="38"/>
  <c r="X51" i="38" s="1"/>
  <c r="Q52" i="38"/>
  <c r="W52" i="38" s="1"/>
  <c r="Q53" i="38"/>
  <c r="Y53" i="38" s="1"/>
  <c r="Q54" i="38"/>
  <c r="Y54" i="38" s="1"/>
  <c r="Q55" i="38"/>
  <c r="Y55" i="38" s="1"/>
  <c r="Q56" i="38"/>
  <c r="W56" i="38" s="1"/>
  <c r="Q57" i="38"/>
  <c r="Y57" i="38" s="1"/>
  <c r="AA50" i="38"/>
  <c r="Q32" i="38"/>
  <c r="Z32" i="38" s="1"/>
  <c r="Q33" i="38"/>
  <c r="W33" i="38" s="1"/>
  <c r="Q34" i="38"/>
  <c r="Y34" i="38" s="1"/>
  <c r="Q35" i="38"/>
  <c r="Z35" i="38" s="1"/>
  <c r="Q36" i="38"/>
  <c r="X36" i="38" s="1"/>
  <c r="Q37" i="38"/>
  <c r="X37" i="38" s="1"/>
  <c r="Q38" i="38"/>
  <c r="W38" i="38" s="1"/>
  <c r="Q39" i="38"/>
  <c r="Z39" i="38" s="1"/>
  <c r="Q40" i="38"/>
  <c r="X40" i="38" s="1"/>
  <c r="Q41" i="38"/>
  <c r="X41" i="38" s="1"/>
  <c r="Q42" i="38"/>
  <c r="W42" i="38" s="1"/>
  <c r="Q43" i="38"/>
  <c r="W43" i="38" s="1"/>
  <c r="Q44" i="38"/>
  <c r="Z44" i="38" s="1"/>
  <c r="Q45" i="38"/>
  <c r="X45" i="38" s="1"/>
  <c r="Q65" i="38"/>
  <c r="W65" i="38" s="1"/>
  <c r="Q14" i="38"/>
  <c r="Z14" i="38" s="1"/>
  <c r="Q15" i="38"/>
  <c r="Y15" i="38" s="1"/>
  <c r="Q16" i="38"/>
  <c r="X16" i="38" s="1"/>
  <c r="Q17" i="38"/>
  <c r="AA17" i="38" s="1"/>
  <c r="Q18" i="38"/>
  <c r="X18" i="38" s="1"/>
  <c r="Q19" i="38"/>
  <c r="AA19" i="38" s="1"/>
  <c r="Q20" i="38"/>
  <c r="X20" i="38" s="1"/>
  <c r="Q21" i="38"/>
  <c r="W21" i="38" s="1"/>
  <c r="Q22" i="38"/>
  <c r="Y22" i="38" s="1"/>
  <c r="Q23" i="38"/>
  <c r="Y23" i="38" s="1"/>
  <c r="Q24" i="38"/>
  <c r="Y24" i="38" s="1"/>
  <c r="Q25" i="38"/>
  <c r="AA25" i="38" s="1"/>
  <c r="Q26" i="38"/>
  <c r="W26" i="38" s="1"/>
  <c r="Q27" i="38"/>
  <c r="Y27" i="38" s="1"/>
  <c r="Q28" i="38"/>
  <c r="X28" i="38" s="1"/>
  <c r="Q29" i="38"/>
  <c r="AA29" i="38" s="1"/>
  <c r="Q30" i="38"/>
  <c r="X30" i="38" s="1"/>
  <c r="Q31" i="38"/>
  <c r="Y31" i="38" s="1"/>
  <c r="Q46" i="38"/>
  <c r="AA46" i="38" s="1"/>
  <c r="Q47" i="38"/>
  <c r="W47" i="38" s="1"/>
  <c r="Q48" i="38"/>
  <c r="Z48" i="38" s="1"/>
  <c r="Q58" i="38"/>
  <c r="AA58" i="38" s="1"/>
  <c r="Q59" i="38"/>
  <c r="X59" i="38" s="1"/>
  <c r="Q60" i="38"/>
  <c r="Z60" i="38" s="1"/>
  <c r="Q61" i="38"/>
  <c r="W61" i="38" s="1"/>
  <c r="Q62" i="38"/>
  <c r="AA62" i="38" s="1"/>
  <c r="Q63" i="38"/>
  <c r="Z63" i="38" s="1"/>
  <c r="Q64" i="38"/>
  <c r="Y64" i="38" s="1"/>
  <c r="Q66" i="38"/>
  <c r="AA66" i="38" s="1"/>
  <c r="Q67" i="38"/>
  <c r="Y67" i="38" s="1"/>
  <c r="Q68" i="38"/>
  <c r="AA68" i="38" s="1"/>
  <c r="Q69" i="38"/>
  <c r="Y69" i="38" s="1"/>
  <c r="Q70" i="38"/>
  <c r="X70" i="38" s="1"/>
  <c r="Q71" i="38"/>
  <c r="Z71" i="38" s="1"/>
  <c r="AC33" i="39"/>
  <c r="Q32" i="39"/>
  <c r="W32" i="39" s="1"/>
  <c r="Q31" i="39"/>
  <c r="AA31" i="39" s="1"/>
  <c r="Q30" i="39"/>
  <c r="W30" i="39" s="1"/>
  <c r="Q29" i="39"/>
  <c r="AA29" i="39" s="1"/>
  <c r="Q28" i="39"/>
  <c r="Y28" i="39" s="1"/>
  <c r="Q13" i="39"/>
  <c r="AA13" i="39" s="1"/>
  <c r="AC76" i="38"/>
  <c r="Q75" i="38"/>
  <c r="AA75" i="38" s="1"/>
  <c r="Q74" i="38"/>
  <c r="Y74" i="38" s="1"/>
  <c r="Q73" i="38"/>
  <c r="AA73" i="38" s="1"/>
  <c r="Q72" i="38"/>
  <c r="Y72" i="38" s="1"/>
  <c r="Q13" i="38"/>
  <c r="W13" i="38" s="1"/>
  <c r="AC19" i="37"/>
  <c r="Q18" i="37"/>
  <c r="W18" i="37" s="1"/>
  <c r="Q17" i="37"/>
  <c r="AA17" i="37" s="1"/>
  <c r="Q16" i="37"/>
  <c r="AA16" i="37" s="1"/>
  <c r="Q15" i="37"/>
  <c r="AA15" i="37" s="1"/>
  <c r="Q14" i="37"/>
  <c r="AA14" i="37" s="1"/>
  <c r="Q13" i="37"/>
  <c r="Z13" i="37" s="1"/>
  <c r="AC18" i="36"/>
  <c r="Q17" i="36"/>
  <c r="Z17" i="36" s="1"/>
  <c r="Q15" i="36"/>
  <c r="AA15" i="36" s="1"/>
  <c r="Q13" i="36"/>
  <c r="W13" i="36" s="1"/>
  <c r="Q19" i="35"/>
  <c r="Y19" i="35" s="1"/>
  <c r="Q16" i="35"/>
  <c r="X16" i="35" s="1"/>
  <c r="Q17" i="35"/>
  <c r="X17" i="35" s="1"/>
  <c r="Q18" i="35"/>
  <c r="X18" i="35" s="1"/>
  <c r="Q20" i="35"/>
  <c r="X20" i="35" s="1"/>
  <c r="Q21" i="35"/>
  <c r="X21" i="35" s="1"/>
  <c r="Q22" i="35"/>
  <c r="X22" i="35" s="1"/>
  <c r="Q23" i="35"/>
  <c r="X23" i="35" s="1"/>
  <c r="Q24" i="35"/>
  <c r="X24" i="35" s="1"/>
  <c r="AC28" i="35"/>
  <c r="Q27" i="35"/>
  <c r="W27" i="35" s="1"/>
  <c r="Q26" i="35"/>
  <c r="AA26" i="35" s="1"/>
  <c r="Q25" i="35"/>
  <c r="Y25" i="35" s="1"/>
  <c r="Q15" i="35"/>
  <c r="AA15" i="35" s="1"/>
  <c r="Q14" i="35"/>
  <c r="AA14" i="35" s="1"/>
  <c r="Q13" i="35"/>
  <c r="AA13" i="35" s="1"/>
  <c r="N14" i="34"/>
  <c r="O14" i="34"/>
  <c r="S14" i="34" s="1"/>
  <c r="S23" i="34" s="1"/>
  <c r="P14" i="34"/>
  <c r="P23" i="34" s="1"/>
  <c r="Q14" i="34"/>
  <c r="R14" i="34"/>
  <c r="N15" i="34"/>
  <c r="O15" i="34"/>
  <c r="P15" i="34"/>
  <c r="Q15" i="34"/>
  <c r="R15" i="34"/>
  <c r="S15" i="34"/>
  <c r="N16" i="34"/>
  <c r="O16" i="34"/>
  <c r="S16" i="34" s="1"/>
  <c r="P16" i="34"/>
  <c r="Q16" i="34"/>
  <c r="R16" i="34"/>
  <c r="N17" i="34"/>
  <c r="O17" i="34"/>
  <c r="P17" i="34"/>
  <c r="Q17" i="34"/>
  <c r="R17" i="34"/>
  <c r="S17" i="34"/>
  <c r="N18" i="34"/>
  <c r="O18" i="34"/>
  <c r="S18" i="34" s="1"/>
  <c r="P18" i="34"/>
  <c r="Q18" i="34"/>
  <c r="R18" i="34"/>
  <c r="N19" i="34"/>
  <c r="O19" i="34"/>
  <c r="P19" i="34"/>
  <c r="Q19" i="34"/>
  <c r="R19" i="34"/>
  <c r="S19" i="34"/>
  <c r="N20" i="34"/>
  <c r="O20" i="34"/>
  <c r="S20" i="34" s="1"/>
  <c r="P20" i="34"/>
  <c r="Q20" i="34"/>
  <c r="R20" i="34"/>
  <c r="N21" i="34"/>
  <c r="O21" i="34"/>
  <c r="P21" i="34"/>
  <c r="Q21" i="34"/>
  <c r="R21" i="34"/>
  <c r="S21" i="34"/>
  <c r="N22" i="34"/>
  <c r="O22" i="34"/>
  <c r="S22" i="34" s="1"/>
  <c r="P22" i="34"/>
  <c r="Q22" i="34"/>
  <c r="R22" i="34"/>
  <c r="N23" i="34"/>
  <c r="O23" i="34"/>
  <c r="Q23" i="34"/>
  <c r="R23" i="34"/>
  <c r="T89" i="33"/>
  <c r="T88" i="33"/>
  <c r="T87" i="33"/>
  <c r="T86" i="33"/>
  <c r="T85" i="33"/>
  <c r="T84" i="33"/>
  <c r="T83" i="33"/>
  <c r="T82" i="33"/>
  <c r="T81" i="33"/>
  <c r="T80" i="33"/>
  <c r="T79" i="33"/>
  <c r="T78" i="33"/>
  <c r="T77" i="33"/>
  <c r="T76" i="33"/>
  <c r="T75" i="33"/>
  <c r="T73" i="33"/>
  <c r="T72" i="33"/>
  <c r="T71" i="33"/>
  <c r="T70" i="33"/>
  <c r="T69" i="33"/>
  <c r="T68" i="33"/>
  <c r="T67" i="33"/>
  <c r="T66" i="33"/>
  <c r="T65" i="33"/>
  <c r="T64" i="33"/>
  <c r="T63" i="33"/>
  <c r="T62" i="33"/>
  <c r="T61" i="33"/>
  <c r="T60" i="33"/>
  <c r="T59" i="33"/>
  <c r="T58" i="33"/>
  <c r="T57" i="33"/>
  <c r="T56" i="33"/>
  <c r="T55" i="33"/>
  <c r="T54" i="33"/>
  <c r="T53" i="33"/>
  <c r="T52" i="33"/>
  <c r="T51" i="33"/>
  <c r="T50" i="33"/>
  <c r="T49" i="33"/>
  <c r="T48" i="33"/>
  <c r="T47" i="33"/>
  <c r="T46" i="33"/>
  <c r="T45" i="33"/>
  <c r="T44" i="33"/>
  <c r="T43" i="33"/>
  <c r="T42" i="33"/>
  <c r="T41" i="33"/>
  <c r="T40" i="33"/>
  <c r="T39" i="33"/>
  <c r="T38" i="33"/>
  <c r="T37" i="33"/>
  <c r="T36" i="33"/>
  <c r="T35" i="33"/>
  <c r="T34" i="33"/>
  <c r="T33" i="33"/>
  <c r="T32" i="33"/>
  <c r="T31" i="33"/>
  <c r="T30" i="33"/>
  <c r="T29" i="33"/>
  <c r="T28" i="33"/>
  <c r="T27" i="33"/>
  <c r="T26" i="33"/>
  <c r="T25" i="33"/>
  <c r="T24" i="33"/>
  <c r="T23" i="33"/>
  <c r="T22" i="33"/>
  <c r="T21" i="33"/>
  <c r="T20" i="33"/>
  <c r="T19" i="33"/>
  <c r="T18" i="33"/>
  <c r="T17" i="33"/>
  <c r="T16" i="33"/>
  <c r="T15" i="33"/>
  <c r="T14" i="33"/>
  <c r="T13" i="33"/>
  <c r="T12" i="33"/>
  <c r="T11" i="33"/>
  <c r="T10" i="33"/>
  <c r="T9" i="33"/>
  <c r="T8" i="33"/>
  <c r="T7" i="33"/>
  <c r="S16" i="32"/>
  <c r="Q13" i="32"/>
  <c r="Q16" i="32" s="1"/>
  <c r="P13" i="32"/>
  <c r="F15" i="6" s="1"/>
  <c r="O13" i="32"/>
  <c r="O16" i="32" s="1"/>
  <c r="N13" i="32"/>
  <c r="D15" i="6" s="1"/>
  <c r="M13" i="32"/>
  <c r="C15" i="6" s="1"/>
  <c r="V14" i="31"/>
  <c r="O13" i="31"/>
  <c r="S13" i="31" s="1"/>
  <c r="Z16" i="39" l="1"/>
  <c r="Z14" i="39"/>
  <c r="X16" i="39"/>
  <c r="X15" i="39"/>
  <c r="W20" i="39"/>
  <c r="W18" i="39"/>
  <c r="AA39" i="38"/>
  <c r="Y16" i="39"/>
  <c r="W19" i="39"/>
  <c r="W14" i="39"/>
  <c r="AB14" i="39" s="1"/>
  <c r="AA27" i="38"/>
  <c r="W16" i="39"/>
  <c r="AB16" i="39" s="1"/>
  <c r="F10" i="6"/>
  <c r="W60" i="38"/>
  <c r="W15" i="39"/>
  <c r="G15" i="6"/>
  <c r="E15" i="6"/>
  <c r="H15" i="6"/>
  <c r="V22" i="33"/>
  <c r="Y22" i="33"/>
  <c r="X22" i="33"/>
  <c r="W22" i="33"/>
  <c r="U22" i="33"/>
  <c r="V40" i="33"/>
  <c r="Y40" i="33"/>
  <c r="W40" i="33"/>
  <c r="X40" i="33"/>
  <c r="V64" i="33"/>
  <c r="Y64" i="33"/>
  <c r="X64" i="33"/>
  <c r="W64" i="33"/>
  <c r="V89" i="33"/>
  <c r="Y89" i="33"/>
  <c r="W89" i="33"/>
  <c r="X89" i="33"/>
  <c r="W17" i="33"/>
  <c r="V17" i="33"/>
  <c r="U17" i="33"/>
  <c r="Y17" i="33"/>
  <c r="X17" i="33"/>
  <c r="W23" i="33"/>
  <c r="U23" i="33"/>
  <c r="Y23" i="33"/>
  <c r="X23" i="33"/>
  <c r="V23" i="33"/>
  <c r="W41" i="33"/>
  <c r="V41" i="33"/>
  <c r="Y41" i="33"/>
  <c r="X41" i="33"/>
  <c r="W53" i="33"/>
  <c r="V53" i="33"/>
  <c r="Y53" i="33"/>
  <c r="X53" i="33"/>
  <c r="W65" i="33"/>
  <c r="Y65" i="33"/>
  <c r="X65" i="33"/>
  <c r="V65" i="33"/>
  <c r="X9" i="33"/>
  <c r="V9" i="33"/>
  <c r="W9" i="33"/>
  <c r="Y9" i="33"/>
  <c r="U9" i="33"/>
  <c r="X24" i="33"/>
  <c r="U24" i="33"/>
  <c r="W24" i="33"/>
  <c r="V24" i="33"/>
  <c r="Y24" i="33"/>
  <c r="X33" i="33"/>
  <c r="W33" i="33"/>
  <c r="V33" i="33"/>
  <c r="Y33" i="33"/>
  <c r="X42" i="33"/>
  <c r="W42" i="33"/>
  <c r="V42" i="33"/>
  <c r="Y42" i="33"/>
  <c r="X54" i="33"/>
  <c r="V54" i="33"/>
  <c r="Y54" i="33"/>
  <c r="W54" i="33"/>
  <c r="X66" i="33"/>
  <c r="V66" i="33"/>
  <c r="W66" i="33"/>
  <c r="Y66" i="33"/>
  <c r="U79" i="33"/>
  <c r="X79" i="33"/>
  <c r="V79" i="33"/>
  <c r="W79" i="33"/>
  <c r="Y79" i="33"/>
  <c r="U26" i="33"/>
  <c r="Y26" i="33"/>
  <c r="X26" i="33"/>
  <c r="V26" i="33"/>
  <c r="W26" i="33"/>
  <c r="U44" i="33"/>
  <c r="Y44" i="33"/>
  <c r="X44" i="33"/>
  <c r="W44" i="33"/>
  <c r="V44" i="33"/>
  <c r="U56" i="33"/>
  <c r="Y56" i="33"/>
  <c r="V56" i="33"/>
  <c r="X56" i="33"/>
  <c r="W56" i="33"/>
  <c r="U68" i="33"/>
  <c r="Y68" i="33"/>
  <c r="X68" i="33"/>
  <c r="W68" i="33"/>
  <c r="V68" i="33"/>
  <c r="U81" i="33"/>
  <c r="Y81" i="33"/>
  <c r="X81" i="33"/>
  <c r="V81" i="33"/>
  <c r="W81" i="33"/>
  <c r="V7" i="33"/>
  <c r="Y7" i="33"/>
  <c r="U7" i="33"/>
  <c r="X7" i="33"/>
  <c r="W7" i="33"/>
  <c r="Y25" i="33"/>
  <c r="X25" i="33"/>
  <c r="W25" i="33"/>
  <c r="V25" i="33"/>
  <c r="U25" i="33"/>
  <c r="Y55" i="33"/>
  <c r="X55" i="33"/>
  <c r="W55" i="33"/>
  <c r="V55" i="33"/>
  <c r="Y11" i="33"/>
  <c r="X11" i="33"/>
  <c r="W11" i="33"/>
  <c r="U11" i="33"/>
  <c r="V11" i="33"/>
  <c r="W18" i="33"/>
  <c r="Y18" i="33"/>
  <c r="X18" i="33"/>
  <c r="V18" i="33"/>
  <c r="U18" i="33"/>
  <c r="Y57" i="33"/>
  <c r="X57" i="33"/>
  <c r="W57" i="33"/>
  <c r="V57" i="33"/>
  <c r="Y69" i="33"/>
  <c r="X69" i="33"/>
  <c r="V69" i="33"/>
  <c r="W69" i="33"/>
  <c r="W82" i="33"/>
  <c r="Y82" i="33"/>
  <c r="V82" i="33"/>
  <c r="X82" i="33"/>
  <c r="V13" i="33"/>
  <c r="U13" i="33"/>
  <c r="Y13" i="33"/>
  <c r="X13" i="33"/>
  <c r="W13" i="33"/>
  <c r="X19" i="33"/>
  <c r="Y19" i="33"/>
  <c r="W19" i="33"/>
  <c r="V19" i="33"/>
  <c r="U19" i="33"/>
  <c r="W28" i="33"/>
  <c r="Y28" i="33"/>
  <c r="X28" i="33"/>
  <c r="V28" i="33"/>
  <c r="Y34" i="33"/>
  <c r="W34" i="33"/>
  <c r="X34" i="33"/>
  <c r="V34" i="33"/>
  <c r="V46" i="33"/>
  <c r="Y46" i="33"/>
  <c r="W46" i="33"/>
  <c r="X46" i="33"/>
  <c r="X58" i="33"/>
  <c r="Y58" i="33"/>
  <c r="V58" i="33"/>
  <c r="W58" i="33"/>
  <c r="Y70" i="33"/>
  <c r="X70" i="33"/>
  <c r="V70" i="33"/>
  <c r="W70" i="33"/>
  <c r="Y83" i="33"/>
  <c r="X83" i="33"/>
  <c r="W83" i="33"/>
  <c r="V83" i="33"/>
  <c r="Y43" i="33"/>
  <c r="X43" i="33"/>
  <c r="V43" i="33"/>
  <c r="W43" i="33"/>
  <c r="Y84" i="33"/>
  <c r="X84" i="33"/>
  <c r="V84" i="33"/>
  <c r="W84" i="33"/>
  <c r="Y67" i="33"/>
  <c r="X67" i="33"/>
  <c r="W67" i="33"/>
  <c r="V67" i="33"/>
  <c r="U12" i="33"/>
  <c r="V12" i="33"/>
  <c r="Y12" i="33"/>
  <c r="X12" i="33"/>
  <c r="W12" i="33"/>
  <c r="V27" i="33"/>
  <c r="Y27" i="33"/>
  <c r="X27" i="33"/>
  <c r="W27" i="33"/>
  <c r="U27" i="33"/>
  <c r="Y45" i="33"/>
  <c r="W45" i="33"/>
  <c r="X45" i="33"/>
  <c r="V45" i="33"/>
  <c r="V14" i="33"/>
  <c r="U14" i="33"/>
  <c r="Y14" i="33"/>
  <c r="X14" i="33"/>
  <c r="W14" i="33"/>
  <c r="U29" i="33"/>
  <c r="Y29" i="33"/>
  <c r="V29" i="33"/>
  <c r="X29" i="33"/>
  <c r="W29" i="33"/>
  <c r="X35" i="33"/>
  <c r="Y35" i="33"/>
  <c r="V35" i="33"/>
  <c r="W35" i="33"/>
  <c r="U47" i="33"/>
  <c r="X47" i="33"/>
  <c r="V47" i="33"/>
  <c r="W47" i="33"/>
  <c r="Y47" i="33"/>
  <c r="W59" i="33"/>
  <c r="V59" i="33"/>
  <c r="Y59" i="33"/>
  <c r="X59" i="33"/>
  <c r="U71" i="33"/>
  <c r="V71" i="33"/>
  <c r="X71" i="33"/>
  <c r="Y71" i="33"/>
  <c r="W71" i="33"/>
  <c r="Y15" i="33"/>
  <c r="X15" i="33"/>
  <c r="W15" i="33"/>
  <c r="V15" i="33"/>
  <c r="U15" i="33"/>
  <c r="X30" i="33"/>
  <c r="W30" i="33"/>
  <c r="V30" i="33"/>
  <c r="Y30" i="33"/>
  <c r="Y36" i="33"/>
  <c r="V36" i="33"/>
  <c r="W36" i="33"/>
  <c r="X36" i="33"/>
  <c r="V48" i="33"/>
  <c r="X48" i="33"/>
  <c r="W48" i="33"/>
  <c r="Y48" i="33"/>
  <c r="X60" i="33"/>
  <c r="Y60" i="33"/>
  <c r="W60" i="33"/>
  <c r="V60" i="33"/>
  <c r="W72" i="33"/>
  <c r="X72" i="33"/>
  <c r="V72" i="33"/>
  <c r="Y72" i="33"/>
  <c r="X85" i="33"/>
  <c r="Y85" i="33"/>
  <c r="W85" i="33"/>
  <c r="V85" i="33"/>
  <c r="Y10" i="33"/>
  <c r="X10" i="33"/>
  <c r="V10" i="33"/>
  <c r="W10" i="33"/>
  <c r="U10" i="33"/>
  <c r="Y80" i="33"/>
  <c r="V80" i="33"/>
  <c r="W80" i="33"/>
  <c r="X80" i="33"/>
  <c r="Y16" i="33"/>
  <c r="X16" i="33"/>
  <c r="W16" i="33"/>
  <c r="V16" i="33"/>
  <c r="U16" i="33"/>
  <c r="X31" i="33"/>
  <c r="W31" i="33"/>
  <c r="Y31" i="33"/>
  <c r="V31" i="33"/>
  <c r="Y37" i="33"/>
  <c r="X37" i="33"/>
  <c r="W37" i="33"/>
  <c r="V37" i="33"/>
  <c r="Y49" i="33"/>
  <c r="X49" i="33"/>
  <c r="W49" i="33"/>
  <c r="V49" i="33"/>
  <c r="Y61" i="33"/>
  <c r="X61" i="33"/>
  <c r="W61" i="33"/>
  <c r="V61" i="33"/>
  <c r="X73" i="33"/>
  <c r="W73" i="33"/>
  <c r="V73" i="33"/>
  <c r="Y73" i="33"/>
  <c r="X86" i="33"/>
  <c r="W86" i="33"/>
  <c r="V86" i="33"/>
  <c r="Y86" i="33"/>
  <c r="Y20" i="33"/>
  <c r="X20" i="33"/>
  <c r="W20" i="33"/>
  <c r="U20" i="33"/>
  <c r="V20" i="33"/>
  <c r="Y32" i="33"/>
  <c r="X32" i="33"/>
  <c r="W32" i="33"/>
  <c r="V32" i="33"/>
  <c r="Y38" i="33"/>
  <c r="X38" i="33"/>
  <c r="W38" i="33"/>
  <c r="V38" i="33"/>
  <c r="Y50" i="33"/>
  <c r="X50" i="33"/>
  <c r="W50" i="33"/>
  <c r="V50" i="33"/>
  <c r="Y62" i="33"/>
  <c r="X62" i="33"/>
  <c r="W62" i="33"/>
  <c r="V62" i="33"/>
  <c r="Y75" i="33"/>
  <c r="X75" i="33"/>
  <c r="W75" i="33"/>
  <c r="V75" i="33"/>
  <c r="Y87" i="33"/>
  <c r="X87" i="33"/>
  <c r="W87" i="33"/>
  <c r="V87" i="33"/>
  <c r="U21" i="33"/>
  <c r="Y21" i="33"/>
  <c r="X21" i="33"/>
  <c r="W21" i="33"/>
  <c r="V21" i="33"/>
  <c r="Y39" i="33"/>
  <c r="X39" i="33"/>
  <c r="W39" i="33"/>
  <c r="V39" i="33"/>
  <c r="Y51" i="33"/>
  <c r="X51" i="33"/>
  <c r="W51" i="33"/>
  <c r="V51" i="33"/>
  <c r="Y63" i="33"/>
  <c r="X63" i="33"/>
  <c r="V63" i="33"/>
  <c r="W63" i="33"/>
  <c r="Y76" i="33"/>
  <c r="X76" i="33"/>
  <c r="W76" i="33"/>
  <c r="V76" i="33"/>
  <c r="Y88" i="33"/>
  <c r="X88" i="33"/>
  <c r="V88" i="33"/>
  <c r="W88" i="33"/>
  <c r="V52" i="33"/>
  <c r="Y52" i="33"/>
  <c r="X52" i="33"/>
  <c r="W52" i="33"/>
  <c r="V77" i="33"/>
  <c r="Y77" i="33"/>
  <c r="X77" i="33"/>
  <c r="W77" i="33"/>
  <c r="W8" i="33"/>
  <c r="V8" i="33"/>
  <c r="U8" i="33"/>
  <c r="Y8" i="33"/>
  <c r="X8" i="33"/>
  <c r="W78" i="33"/>
  <c r="Y78" i="33"/>
  <c r="V78" i="33"/>
  <c r="X78" i="33"/>
  <c r="AB14" i="36"/>
  <c r="Z28" i="39"/>
  <c r="AA49" i="38"/>
  <c r="W49" i="38"/>
  <c r="W21" i="39"/>
  <c r="X23" i="39"/>
  <c r="X47" i="38"/>
  <c r="X19" i="39"/>
  <c r="X17" i="39"/>
  <c r="AA24" i="39"/>
  <c r="Y49" i="38"/>
  <c r="AA18" i="39"/>
  <c r="G12" i="6" s="1"/>
  <c r="X27" i="39"/>
  <c r="AA38" i="38"/>
  <c r="X21" i="39"/>
  <c r="AB21" i="39" s="1"/>
  <c r="AA15" i="38"/>
  <c r="Z37" i="38"/>
  <c r="Z21" i="39"/>
  <c r="X20" i="39"/>
  <c r="Z23" i="38"/>
  <c r="W37" i="38"/>
  <c r="Z20" i="39"/>
  <c r="X27" i="38"/>
  <c r="W35" i="38"/>
  <c r="Z19" i="39"/>
  <c r="X18" i="39"/>
  <c r="X22" i="38"/>
  <c r="Y21" i="39"/>
  <c r="X14" i="39"/>
  <c r="Z50" i="38"/>
  <c r="W27" i="39"/>
  <c r="Z49" i="38"/>
  <c r="W26" i="39"/>
  <c r="W22" i="39"/>
  <c r="Z58" i="38"/>
  <c r="AA37" i="38"/>
  <c r="X63" i="38"/>
  <c r="X23" i="38"/>
  <c r="AA32" i="38"/>
  <c r="Z52" i="38"/>
  <c r="Z38" i="38"/>
  <c r="Z51" i="38"/>
  <c r="W23" i="38"/>
  <c r="Y44" i="38"/>
  <c r="Y56" i="38"/>
  <c r="AA28" i="39"/>
  <c r="Y50" i="38"/>
  <c r="W32" i="38"/>
  <c r="AA26" i="39"/>
  <c r="Y18" i="39"/>
  <c r="X52" i="38"/>
  <c r="AA56" i="38"/>
  <c r="P16" i="32"/>
  <c r="N16" i="32"/>
  <c r="M16" i="32"/>
  <c r="Z40" i="38"/>
  <c r="Z26" i="39"/>
  <c r="Y19" i="39"/>
  <c r="Y51" i="38"/>
  <c r="Y17" i="39"/>
  <c r="Y71" i="38"/>
  <c r="Y40" i="38"/>
  <c r="AA54" i="38"/>
  <c r="Y15" i="39"/>
  <c r="X71" i="38"/>
  <c r="Z27" i="38"/>
  <c r="Y37" i="38"/>
  <c r="X57" i="38"/>
  <c r="Z17" i="39"/>
  <c r="AA25" i="39"/>
  <c r="X43" i="38"/>
  <c r="X56" i="38"/>
  <c r="X58" i="38"/>
  <c r="Z21" i="38"/>
  <c r="AA40" i="38"/>
  <c r="AB40" i="38" s="1"/>
  <c r="Z56" i="38"/>
  <c r="X53" i="38"/>
  <c r="X26" i="39"/>
  <c r="Y24" i="39"/>
  <c r="Z15" i="38"/>
  <c r="X32" i="38"/>
  <c r="Z54" i="38"/>
  <c r="AA20" i="39"/>
  <c r="X24" i="39"/>
  <c r="W40" i="38"/>
  <c r="W25" i="39"/>
  <c r="W54" i="38"/>
  <c r="AB23" i="39"/>
  <c r="Z13" i="39"/>
  <c r="Z22" i="39"/>
  <c r="Z25" i="39"/>
  <c r="AA22" i="39"/>
  <c r="Z24" i="39"/>
  <c r="Y25" i="39"/>
  <c r="X22" i="39"/>
  <c r="Z15" i="39"/>
  <c r="Y29" i="39"/>
  <c r="Y27" i="39"/>
  <c r="AA27" i="39"/>
  <c r="X30" i="39"/>
  <c r="Y16" i="38"/>
  <c r="W19" i="35"/>
  <c r="Z55" i="38"/>
  <c r="Y26" i="38"/>
  <c r="Z36" i="38"/>
  <c r="Z53" i="38"/>
  <c r="X55" i="38"/>
  <c r="X26" i="38"/>
  <c r="Y36" i="38"/>
  <c r="AA55" i="38"/>
  <c r="W55" i="38"/>
  <c r="AA28" i="38"/>
  <c r="Y35" i="38"/>
  <c r="AA53" i="38"/>
  <c r="W53" i="38"/>
  <c r="W16" i="38"/>
  <c r="AA36" i="38"/>
  <c r="W50" i="38"/>
  <c r="W14" i="38"/>
  <c r="C11" i="6" s="1"/>
  <c r="Z57" i="38"/>
  <c r="AA35" i="38"/>
  <c r="Y33" i="38"/>
  <c r="W63" i="38"/>
  <c r="AA57" i="38"/>
  <c r="X35" i="38"/>
  <c r="X34" i="38"/>
  <c r="AA61" i="38"/>
  <c r="W57" i="38"/>
  <c r="W45" i="38"/>
  <c r="Y61" i="38"/>
  <c r="W39" i="38"/>
  <c r="Z34" i="38"/>
  <c r="AA22" i="38"/>
  <c r="AA33" i="38"/>
  <c r="Y45" i="38"/>
  <c r="X44" i="38"/>
  <c r="AA51" i="38"/>
  <c r="X54" i="38"/>
  <c r="W51" i="38"/>
  <c r="AA45" i="38"/>
  <c r="Z59" i="38"/>
  <c r="W62" i="38"/>
  <c r="Z25" i="38"/>
  <c r="X15" i="38"/>
  <c r="AA44" i="38"/>
  <c r="Z43" i="38"/>
  <c r="X39" i="38"/>
  <c r="W36" i="38"/>
  <c r="Z45" i="38"/>
  <c r="W28" i="38"/>
  <c r="AA43" i="38"/>
  <c r="Y39" i="38"/>
  <c r="X38" i="38"/>
  <c r="AA47" i="38"/>
  <c r="Y43" i="38"/>
  <c r="Z47" i="38"/>
  <c r="Z22" i="38"/>
  <c r="Y38" i="38"/>
  <c r="W34" i="38"/>
  <c r="Y52" i="38"/>
  <c r="Z18" i="38"/>
  <c r="X62" i="38"/>
  <c r="W44" i="38"/>
  <c r="Y32" i="38"/>
  <c r="X61" i="38"/>
  <c r="AA34" i="38"/>
  <c r="Z33" i="38"/>
  <c r="AA52" i="38"/>
  <c r="Z24" i="38"/>
  <c r="Y14" i="38"/>
  <c r="W22" i="38"/>
  <c r="W41" i="38"/>
  <c r="AA48" i="38"/>
  <c r="AA26" i="38"/>
  <c r="X24" i="38"/>
  <c r="AA42" i="38"/>
  <c r="AA24" i="38"/>
  <c r="Z20" i="38"/>
  <c r="AA41" i="38"/>
  <c r="Z19" i="38"/>
  <c r="Z42" i="38"/>
  <c r="AA16" i="38"/>
  <c r="X19" i="38"/>
  <c r="Z41" i="38"/>
  <c r="X33" i="38"/>
  <c r="Y42" i="38"/>
  <c r="AA14" i="38"/>
  <c r="Y28" i="38"/>
  <c r="X14" i="38"/>
  <c r="AA65" i="38"/>
  <c r="Y41" i="38"/>
  <c r="X42" i="38"/>
  <c r="Y48" i="38"/>
  <c r="Z26" i="38"/>
  <c r="AA70" i="38"/>
  <c r="Y70" i="38"/>
  <c r="X46" i="38"/>
  <c r="AA30" i="38"/>
  <c r="Z29" i="38"/>
  <c r="X29" i="38"/>
  <c r="W30" i="38"/>
  <c r="AA63" i="38"/>
  <c r="Y63" i="38"/>
  <c r="W70" i="38"/>
  <c r="Z30" i="38"/>
  <c r="Y30" i="38"/>
  <c r="Z17" i="38"/>
  <c r="W24" i="38"/>
  <c r="Z70" i="38"/>
  <c r="X69" i="38"/>
  <c r="W59" i="38"/>
  <c r="Z65" i="38"/>
  <c r="X68" i="38"/>
  <c r="W58" i="38"/>
  <c r="AA20" i="38"/>
  <c r="X21" i="38"/>
  <c r="W20" i="38"/>
  <c r="Y65" i="38"/>
  <c r="Z61" i="38"/>
  <c r="AA18" i="38"/>
  <c r="Y20" i="38"/>
  <c r="W18" i="38"/>
  <c r="X65" i="38"/>
  <c r="Y18" i="38"/>
  <c r="X17" i="38"/>
  <c r="Y13" i="38"/>
  <c r="AA69" i="38"/>
  <c r="Z69" i="38"/>
  <c r="Y62" i="38"/>
  <c r="AA23" i="38"/>
  <c r="Z28" i="38"/>
  <c r="Z16" i="38"/>
  <c r="Y21" i="38"/>
  <c r="W19" i="38"/>
  <c r="AA67" i="38"/>
  <c r="X25" i="38"/>
  <c r="AA64" i="38"/>
  <c r="Z62" i="38"/>
  <c r="Y58" i="38"/>
  <c r="X48" i="38"/>
  <c r="AA21" i="38"/>
  <c r="Y19" i="38"/>
  <c r="W29" i="38"/>
  <c r="W17" i="38"/>
  <c r="Y47" i="38"/>
  <c r="W48" i="38"/>
  <c r="Y29" i="38"/>
  <c r="Y17" i="38"/>
  <c r="W27" i="38"/>
  <c r="W15" i="38"/>
  <c r="X31" i="38"/>
  <c r="W71" i="38"/>
  <c r="W31" i="38"/>
  <c r="W25" i="38"/>
  <c r="W69" i="38"/>
  <c r="Y25" i="38"/>
  <c r="AA31" i="38"/>
  <c r="X67" i="38"/>
  <c r="W67" i="38"/>
  <c r="AA71" i="38"/>
  <c r="Z68" i="38"/>
  <c r="Z46" i="38"/>
  <c r="Y60" i="38"/>
  <c r="X66" i="38"/>
  <c r="Z67" i="38"/>
  <c r="Z31" i="38"/>
  <c r="Y59" i="38"/>
  <c r="X64" i="38"/>
  <c r="AA60" i="38"/>
  <c r="Z66" i="38"/>
  <c r="AA59" i="38"/>
  <c r="Z64" i="38"/>
  <c r="W68" i="38"/>
  <c r="W46" i="38"/>
  <c r="Y68" i="38"/>
  <c r="Y46" i="38"/>
  <c r="X60" i="38"/>
  <c r="W66" i="38"/>
  <c r="W64" i="38"/>
  <c r="Y66" i="38"/>
  <c r="X16" i="37"/>
  <c r="Z16" i="37"/>
  <c r="W75" i="38"/>
  <c r="X29" i="39"/>
  <c r="Y17" i="36"/>
  <c r="W17" i="37"/>
  <c r="Y30" i="39"/>
  <c r="W13" i="39"/>
  <c r="Z30" i="39"/>
  <c r="AA72" i="38"/>
  <c r="X28" i="39"/>
  <c r="X32" i="39"/>
  <c r="X13" i="39"/>
  <c r="AA30" i="39"/>
  <c r="Y32" i="39"/>
  <c r="Y13" i="39"/>
  <c r="W29" i="39"/>
  <c r="Z32" i="39"/>
  <c r="AA32" i="39"/>
  <c r="W31" i="39"/>
  <c r="Z29" i="39"/>
  <c r="X31" i="39"/>
  <c r="Y31" i="39"/>
  <c r="W28" i="39"/>
  <c r="Z31" i="39"/>
  <c r="Z72" i="38"/>
  <c r="X74" i="38"/>
  <c r="AA74" i="38"/>
  <c r="X18" i="37"/>
  <c r="AA13" i="36"/>
  <c r="X13" i="38"/>
  <c r="Y15" i="36"/>
  <c r="Y15" i="37"/>
  <c r="Z13" i="38"/>
  <c r="AA13" i="38"/>
  <c r="X72" i="38"/>
  <c r="Z74" i="38"/>
  <c r="X73" i="38"/>
  <c r="Y73" i="38"/>
  <c r="W73" i="38"/>
  <c r="Z73" i="38"/>
  <c r="X75" i="38"/>
  <c r="Y75" i="38"/>
  <c r="W72" i="38"/>
  <c r="Z75" i="38"/>
  <c r="W74" i="38"/>
  <c r="Y13" i="36"/>
  <c r="W16" i="37"/>
  <c r="Y16" i="37"/>
  <c r="W13" i="37"/>
  <c r="C10" i="6" s="1"/>
  <c r="X17" i="36"/>
  <c r="X13" i="37"/>
  <c r="AA13" i="37"/>
  <c r="G10" i="6" s="1"/>
  <c r="AA19" i="35"/>
  <c r="AA17" i="36"/>
  <c r="X17" i="37"/>
  <c r="Y14" i="37"/>
  <c r="Y17" i="37"/>
  <c r="X13" i="36"/>
  <c r="Y18" i="37"/>
  <c r="Y13" i="37"/>
  <c r="W15" i="37"/>
  <c r="Z18" i="37"/>
  <c r="X15" i="37"/>
  <c r="AA18" i="37"/>
  <c r="Z15" i="37"/>
  <c r="W14" i="37"/>
  <c r="Z17" i="37"/>
  <c r="X14" i="37"/>
  <c r="Z14" i="37"/>
  <c r="Z13" i="36"/>
  <c r="F9" i="6" s="1"/>
  <c r="X15" i="36"/>
  <c r="Z22" i="35"/>
  <c r="Z21" i="35"/>
  <c r="X19" i="35"/>
  <c r="Z15" i="36"/>
  <c r="Y17" i="35"/>
  <c r="Y16" i="35"/>
  <c r="W17" i="36"/>
  <c r="U54" i="33"/>
  <c r="Z13" i="35"/>
  <c r="W15" i="36"/>
  <c r="C9" i="6" s="1"/>
  <c r="Y22" i="35"/>
  <c r="Z14" i="35"/>
  <c r="Y21" i="35"/>
  <c r="Y23" i="35"/>
  <c r="Y27" i="35"/>
  <c r="W24" i="35"/>
  <c r="W23" i="35"/>
  <c r="Z24" i="35"/>
  <c r="W22" i="35"/>
  <c r="Z19" i="35"/>
  <c r="Z23" i="35"/>
  <c r="W21" i="35"/>
  <c r="X14" i="35"/>
  <c r="Y24" i="35"/>
  <c r="AA24" i="35"/>
  <c r="Z20" i="35"/>
  <c r="W20" i="35"/>
  <c r="AA23" i="35"/>
  <c r="Z18" i="35"/>
  <c r="W18" i="35"/>
  <c r="AA22" i="35"/>
  <c r="Z17" i="35"/>
  <c r="W17" i="35"/>
  <c r="W13" i="35"/>
  <c r="AA21" i="35"/>
  <c r="Z16" i="35"/>
  <c r="W16" i="35"/>
  <c r="Y20" i="35"/>
  <c r="AA20" i="35"/>
  <c r="Y18" i="35"/>
  <c r="X25" i="35"/>
  <c r="AA18" i="35"/>
  <c r="G8" i="6" s="1"/>
  <c r="Z25" i="35"/>
  <c r="AA17" i="35"/>
  <c r="AA16" i="35"/>
  <c r="U88" i="33"/>
  <c r="U35" i="33"/>
  <c r="U59" i="33"/>
  <c r="AA25" i="35"/>
  <c r="X13" i="35"/>
  <c r="X27" i="35"/>
  <c r="Y13" i="35"/>
  <c r="W15" i="35"/>
  <c r="Z27" i="35"/>
  <c r="X15" i="35"/>
  <c r="AA27" i="35"/>
  <c r="Y15" i="35"/>
  <c r="W26" i="35"/>
  <c r="Z15" i="35"/>
  <c r="X26" i="35"/>
  <c r="Y26" i="35"/>
  <c r="W14" i="35"/>
  <c r="Z26" i="35"/>
  <c r="Y14" i="35"/>
  <c r="W25" i="35"/>
  <c r="U67" i="33"/>
  <c r="U72" i="33"/>
  <c r="U84" i="33"/>
  <c r="U57" i="33"/>
  <c r="U30" i="33"/>
  <c r="U33" i="33"/>
  <c r="U82" i="33"/>
  <c r="U43" i="33"/>
  <c r="U48" i="33"/>
  <c r="T13" i="31"/>
  <c r="U51" i="33"/>
  <c r="U76" i="33"/>
  <c r="U42" i="33"/>
  <c r="U66" i="33"/>
  <c r="U69" i="33"/>
  <c r="U80" i="33"/>
  <c r="U45" i="33"/>
  <c r="U55" i="33"/>
  <c r="U39" i="33"/>
  <c r="U63" i="33"/>
  <c r="U36" i="33"/>
  <c r="U60" i="33"/>
  <c r="U85" i="33"/>
  <c r="U70" i="33"/>
  <c r="U58" i="33"/>
  <c r="U28" i="33"/>
  <c r="U83" i="33"/>
  <c r="U34" i="33"/>
  <c r="U46" i="33"/>
  <c r="U41" i="33"/>
  <c r="U53" i="33"/>
  <c r="U65" i="33"/>
  <c r="U78" i="33"/>
  <c r="U32" i="33"/>
  <c r="U38" i="33"/>
  <c r="U50" i="33"/>
  <c r="U62" i="33"/>
  <c r="U75" i="33"/>
  <c r="U87" i="33"/>
  <c r="U40" i="33"/>
  <c r="U52" i="33"/>
  <c r="U64" i="33"/>
  <c r="U77" i="33"/>
  <c r="U89" i="33"/>
  <c r="U31" i="33"/>
  <c r="U37" i="33"/>
  <c r="U49" i="33"/>
  <c r="U61" i="33"/>
  <c r="U73" i="33"/>
  <c r="U86" i="33"/>
  <c r="R13" i="31"/>
  <c r="R13" i="32"/>
  <c r="R16" i="32" s="1"/>
  <c r="P13" i="31"/>
  <c r="Q13" i="31"/>
  <c r="D9" i="6" l="1"/>
  <c r="E12" i="6"/>
  <c r="G11" i="6"/>
  <c r="F12" i="6"/>
  <c r="C12" i="6"/>
  <c r="D11" i="6"/>
  <c r="E8" i="6"/>
  <c r="D8" i="6"/>
  <c r="F8" i="6"/>
  <c r="E10" i="6"/>
  <c r="D12" i="6"/>
  <c r="C8" i="6"/>
  <c r="E11" i="6"/>
  <c r="F11" i="6"/>
  <c r="AA69" i="33"/>
  <c r="AA70" i="33"/>
  <c r="AA84" i="33"/>
  <c r="AA62" i="33"/>
  <c r="AA61" i="33"/>
  <c r="AA42" i="33"/>
  <c r="AA31" i="33"/>
  <c r="AA65" i="33"/>
  <c r="AA88" i="33"/>
  <c r="AA16" i="33"/>
  <c r="AA72" i="33"/>
  <c r="C34" i="20" s="1"/>
  <c r="D34" i="20" s="1"/>
  <c r="AA89" i="33"/>
  <c r="AA86" i="33"/>
  <c r="AA34" i="33"/>
  <c r="AA83" i="33"/>
  <c r="AA78" i="33"/>
  <c r="C38" i="20" s="1"/>
  <c r="D38" i="20" s="1"/>
  <c r="AA57" i="33"/>
  <c r="AA68" i="33"/>
  <c r="AA28" i="33"/>
  <c r="AA53" i="33"/>
  <c r="C31" i="20" s="1"/>
  <c r="D31" i="20" s="1"/>
  <c r="AA38" i="33"/>
  <c r="AA55" i="33"/>
  <c r="AA79" i="33"/>
  <c r="AA44" i="33"/>
  <c r="AA7" i="33"/>
  <c r="C12" i="20" s="1"/>
  <c r="AA46" i="33"/>
  <c r="AA54" i="33"/>
  <c r="AA87" i="33"/>
  <c r="AA33" i="33"/>
  <c r="C24" i="20" s="1"/>
  <c r="D24" i="20" s="1"/>
  <c r="AA59" i="33"/>
  <c r="D10" i="6"/>
  <c r="G9" i="6"/>
  <c r="E9" i="6"/>
  <c r="AA45" i="33"/>
  <c r="AA73" i="33"/>
  <c r="C35" i="20" s="1"/>
  <c r="D35" i="20" s="1"/>
  <c r="AA75" i="33"/>
  <c r="AA80" i="33"/>
  <c r="AA30" i="33"/>
  <c r="AA35" i="33"/>
  <c r="AA13" i="33"/>
  <c r="AA11" i="33"/>
  <c r="AA9" i="33"/>
  <c r="C14" i="20" s="1"/>
  <c r="AA23" i="33"/>
  <c r="AA49" i="33"/>
  <c r="AA50" i="33"/>
  <c r="AA58" i="33"/>
  <c r="AA66" i="33"/>
  <c r="AA47" i="33"/>
  <c r="AA27" i="33"/>
  <c r="AA19" i="33"/>
  <c r="AA17" i="33"/>
  <c r="AA85" i="33"/>
  <c r="AA60" i="33"/>
  <c r="AA71" i="33"/>
  <c r="AA24" i="33"/>
  <c r="AA67" i="33"/>
  <c r="AA77" i="33"/>
  <c r="AA36" i="33"/>
  <c r="AA20" i="33"/>
  <c r="AA18" i="33"/>
  <c r="AA63" i="33"/>
  <c r="AA22" i="33"/>
  <c r="AA32" i="33"/>
  <c r="AA76" i="33"/>
  <c r="AA51" i="33"/>
  <c r="C29" i="20" s="1"/>
  <c r="AA64" i="33"/>
  <c r="AA52" i="33"/>
  <c r="C30" i="20" s="1"/>
  <c r="D30" i="20" s="1"/>
  <c r="AA41" i="33"/>
  <c r="AA39" i="33"/>
  <c r="AA48" i="33"/>
  <c r="AA15" i="33"/>
  <c r="AA14" i="33"/>
  <c r="AA25" i="33"/>
  <c r="AA56" i="33"/>
  <c r="AA43" i="33"/>
  <c r="AA40" i="33"/>
  <c r="AA82" i="33"/>
  <c r="AA10" i="33"/>
  <c r="C15" i="20" s="1"/>
  <c r="AA81" i="33"/>
  <c r="AA37" i="33"/>
  <c r="AA8" i="33"/>
  <c r="C13" i="20" s="1"/>
  <c r="AA21" i="33"/>
  <c r="AA29" i="33"/>
  <c r="AA12" i="33"/>
  <c r="AA26" i="33"/>
  <c r="AB32" i="38"/>
  <c r="AB49" i="38"/>
  <c r="AB17" i="39"/>
  <c r="AB18" i="39"/>
  <c r="AB23" i="38"/>
  <c r="AB19" i="39"/>
  <c r="AB50" i="38"/>
  <c r="AB15" i="39"/>
  <c r="AB20" i="39"/>
  <c r="AB37" i="38"/>
  <c r="AB26" i="39"/>
  <c r="AB56" i="38"/>
  <c r="AB36" i="38"/>
  <c r="AB27" i="38"/>
  <c r="AB22" i="39"/>
  <c r="AB54" i="38"/>
  <c r="AB24" i="39"/>
  <c r="AB53" i="38"/>
  <c r="AB55" i="38"/>
  <c r="AB25" i="39"/>
  <c r="AB27" i="39"/>
  <c r="AB13" i="39"/>
  <c r="AB31" i="39"/>
  <c r="AB30" i="39"/>
  <c r="AB23" i="35"/>
  <c r="AB34" i="38"/>
  <c r="AB62" i="38"/>
  <c r="AB35" i="38"/>
  <c r="AB22" i="38"/>
  <c r="AB38" i="38"/>
  <c r="AB47" i="38"/>
  <c r="AB70" i="38"/>
  <c r="AB42" i="38"/>
  <c r="AB33" i="38"/>
  <c r="AB57" i="38"/>
  <c r="AB44" i="38"/>
  <c r="AB39" i="38"/>
  <c r="AB26" i="38"/>
  <c r="AB43" i="38"/>
  <c r="AB52" i="38"/>
  <c r="AB61" i="38"/>
  <c r="AB14" i="38"/>
  <c r="AB16" i="38"/>
  <c r="AB28" i="38"/>
  <c r="AB21" i="38"/>
  <c r="AB15" i="38"/>
  <c r="AB45" i="38"/>
  <c r="AB51" i="38"/>
  <c r="AB19" i="38"/>
  <c r="AB65" i="38"/>
  <c r="AB18" i="38"/>
  <c r="AB69" i="38"/>
  <c r="AB41" i="38"/>
  <c r="AB24" i="38"/>
  <c r="AB63" i="38"/>
  <c r="AB17" i="38"/>
  <c r="AB30" i="38"/>
  <c r="AB29" i="38"/>
  <c r="AB67" i="38"/>
  <c r="AB31" i="38"/>
  <c r="AB25" i="38"/>
  <c r="AB71" i="38"/>
  <c r="AB48" i="38"/>
  <c r="AB58" i="38"/>
  <c r="AB20" i="38"/>
  <c r="AB60" i="38"/>
  <c r="AB46" i="38"/>
  <c r="AB68" i="38"/>
  <c r="AB59" i="38"/>
  <c r="AB66" i="38"/>
  <c r="AB64" i="38"/>
  <c r="AB16" i="37"/>
  <c r="AB18" i="37"/>
  <c r="AB32" i="39"/>
  <c r="AB75" i="38"/>
  <c r="AA33" i="39"/>
  <c r="AB28" i="39"/>
  <c r="AB73" i="38"/>
  <c r="W19" i="37"/>
  <c r="Y76" i="38"/>
  <c r="Z19" i="37"/>
  <c r="X76" i="38"/>
  <c r="Z33" i="39"/>
  <c r="AB29" i="39"/>
  <c r="Y33" i="39"/>
  <c r="X33" i="39"/>
  <c r="W33" i="39"/>
  <c r="AA76" i="38"/>
  <c r="AB15" i="37"/>
  <c r="AB74" i="38"/>
  <c r="AB13" i="38"/>
  <c r="Z76" i="38"/>
  <c r="AB17" i="36"/>
  <c r="AB72" i="38"/>
  <c r="AB17" i="37"/>
  <c r="AB13" i="36"/>
  <c r="W76" i="38"/>
  <c r="AB15" i="36"/>
  <c r="X19" i="37"/>
  <c r="X18" i="36"/>
  <c r="AB19" i="35"/>
  <c r="AB14" i="37"/>
  <c r="AA19" i="37"/>
  <c r="Y18" i="36"/>
  <c r="Y19" i="37"/>
  <c r="AB13" i="37"/>
  <c r="AA18" i="36"/>
  <c r="Z18" i="36"/>
  <c r="W18" i="36"/>
  <c r="AB24" i="35"/>
  <c r="AB13" i="35"/>
  <c r="AB22" i="35"/>
  <c r="AB21" i="35"/>
  <c r="Z28" i="35"/>
  <c r="AB26" i="35"/>
  <c r="AB18" i="35"/>
  <c r="X28" i="35"/>
  <c r="AB25" i="35"/>
  <c r="AB20" i="35"/>
  <c r="AA28" i="35"/>
  <c r="AB16" i="35"/>
  <c r="AB27" i="35"/>
  <c r="AB17" i="35"/>
  <c r="AB15" i="35"/>
  <c r="Y28" i="35"/>
  <c r="AB14" i="35"/>
  <c r="W28" i="35"/>
  <c r="W90" i="33"/>
  <c r="Y90" i="33"/>
  <c r="V90" i="33"/>
  <c r="U90" i="33"/>
  <c r="X90" i="33"/>
  <c r="U13" i="31"/>
  <c r="Q14" i="31"/>
  <c r="R14" i="31"/>
  <c r="S14" i="31"/>
  <c r="T14" i="31"/>
  <c r="P14" i="31"/>
  <c r="H11" i="6" l="1"/>
  <c r="H8" i="6"/>
  <c r="H10" i="6"/>
  <c r="H12" i="6"/>
  <c r="C37" i="20"/>
  <c r="D37" i="20" s="1"/>
  <c r="C39" i="20"/>
  <c r="D39" i="20" s="1"/>
  <c r="C26" i="20"/>
  <c r="C33" i="20"/>
  <c r="D33" i="20" s="1"/>
  <c r="C40" i="20"/>
  <c r="D40" i="20" s="1"/>
  <c r="C27" i="20"/>
  <c r="C17" i="20"/>
  <c r="C28" i="20"/>
  <c r="C23" i="20"/>
  <c r="D23" i="20" s="1"/>
  <c r="C19" i="20"/>
  <c r="D19" i="20" s="1"/>
  <c r="C32" i="20"/>
  <c r="D32" i="20" s="1"/>
  <c r="C25" i="20"/>
  <c r="D25" i="20" s="1"/>
  <c r="C22" i="20"/>
  <c r="D22" i="20" s="1"/>
  <c r="C20" i="20"/>
  <c r="D20" i="20" s="1"/>
  <c r="C16" i="20"/>
  <c r="H9" i="6"/>
  <c r="C21" i="20"/>
  <c r="D21" i="20" s="1"/>
  <c r="C18" i="20"/>
  <c r="AB33" i="39"/>
  <c r="AB76" i="38"/>
  <c r="AB19" i="37"/>
  <c r="AB18" i="36"/>
  <c r="AB28" i="35"/>
  <c r="AA90" i="33"/>
  <c r="U14" i="31"/>
  <c r="H14" i="6" l="1"/>
  <c r="D16" i="20"/>
  <c r="D18" i="20"/>
  <c r="D26" i="20"/>
  <c r="D27" i="20"/>
  <c r="D28" i="20"/>
  <c r="D12" i="20" l="1"/>
  <c r="D13" i="20"/>
  <c r="D14" i="20"/>
  <c r="D15" i="20"/>
  <c r="D17" i="20"/>
  <c r="D29" i="20"/>
  <c r="C41" i="20" l="1"/>
  <c r="D41" i="20"/>
  <c r="I15" i="6" l="1"/>
  <c r="I12" i="6"/>
  <c r="I11" i="6"/>
  <c r="I10" i="6"/>
  <c r="I9" i="6" l="1"/>
  <c r="C22" i="6"/>
  <c r="C21" i="6"/>
  <c r="I14" i="6" l="1"/>
  <c r="D21" i="6" s="1"/>
  <c r="I8" i="6"/>
  <c r="H16" i="6" l="1"/>
  <c r="I13" i="6" l="1"/>
  <c r="I16" i="6" l="1"/>
  <c r="D2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2B2BC1-ED0A-4FE6-BF3A-036DD03CD35F}" keepAlive="1" name="Query - Installbase_Overview_Export _ACSA_11182019" description="Connection to the 'Installbase_Overview_Export _ACSA_11182019' query in the workbook." type="5" refreshedVersion="6" background="1" saveData="1">
    <dbPr connection="Provider=Microsoft.Mashup.OleDb.1;Data Source=$Workbook$;Location=Installbase_Overview_Export _ACSA_11182019;Extended Properties=&quot;&quot;" command="SELECT * FROM [Installbase_Overview_Export _ACSA_11182019]"/>
  </connection>
</connections>
</file>

<file path=xl/sharedStrings.xml><?xml version="1.0" encoding="utf-8"?>
<sst xmlns="http://schemas.openxmlformats.org/spreadsheetml/2006/main" count="1345" uniqueCount="553">
  <si>
    <t>Annexure C
Pricing Workbook
Instructions</t>
  </si>
  <si>
    <t xml:space="preserve">Pricing markup will be fixed for the duration of the contact.
</t>
  </si>
  <si>
    <t>USD influenced items can be adjusted with the Rate of exchange during the contract term, according to the process and terms in the SOW</t>
  </si>
  <si>
    <t>A fixed % mark-up for the duration of the contract will be in place per product type (or its equivalent replacement)</t>
  </si>
  <si>
    <t>Bidder Quotations can be added as additional information</t>
  </si>
  <si>
    <t>Only Fill in Columns in Green</t>
  </si>
  <si>
    <t>Use your own preventative maintenance plan as well as all the requirements in the SOW (Annexure A) for determining the costs</t>
  </si>
  <si>
    <t>Use the Baseline Information in Scope of Work to scope the environment that needs to be maintained.</t>
  </si>
  <si>
    <t xml:space="preserve">Pricing will be fixed for the duration of the contact.
</t>
  </si>
  <si>
    <t>Pricing must include at least the minimum resources as per Scope of Work</t>
  </si>
  <si>
    <t>The Service Provider must complete all of the following sections:
- Supply Pricing
- SLA Maintenance
- Software Maintenance
- HW Maint-DPBA (Hardware Maintenance - Data Protection - Backup Appliances)
- HW Maint-DPBS (Hardware Maintenance - Data Protection - Backup Storage)
- HW Maint-DPDR (Hardware Maintenance - Data Protection - Data Replication)
- HW Maint-DSSS (Hardware Maintenance - Data Storage - Storage Sytems)
- HW Maint-DSSN (Hardware Maintenance - Data Storage - Storage Networks)
- Resources - Fixed Hours
- Resources - Rate Card</t>
  </si>
  <si>
    <t>Exchange Rate</t>
  </si>
  <si>
    <t>Annexure C
Pricing Summary</t>
  </si>
  <si>
    <t>Area</t>
  </si>
  <si>
    <t>Total Excluding VAT Y1</t>
  </si>
  <si>
    <t>Total Excluding VAT Y2</t>
  </si>
  <si>
    <t>Total Excluding VAT Y3</t>
  </si>
  <si>
    <t>Total Excluding VAT Y4</t>
  </si>
  <si>
    <t>Total Excluding VAT Y5</t>
  </si>
  <si>
    <t>Total Excluding VAT</t>
  </si>
  <si>
    <t>Total Including VAT</t>
  </si>
  <si>
    <t>Total Maintenance - Data Protection - Backup Appliances (DPBA)</t>
  </si>
  <si>
    <t>Total Maintenance - Data Protection - Backup Storage (DPBS)</t>
  </si>
  <si>
    <t>Total Maintenance - Data Protection - Data Replication (DPDR)</t>
  </si>
  <si>
    <t>Total Maintenance - Data Storage - Storage Systems (DSSS)</t>
  </si>
  <si>
    <t>Total Maintenance - Data Storage - Storage Networks (DSSN)</t>
  </si>
  <si>
    <t>Monthly Fixed SLA</t>
  </si>
  <si>
    <t>Total Supply</t>
  </si>
  <si>
    <t>Tota Resources - Fixed hours</t>
  </si>
  <si>
    <t>Total</t>
  </si>
  <si>
    <t>EX</t>
  </si>
  <si>
    <t>Excluding VAT</t>
  </si>
  <si>
    <t>Including VAT</t>
  </si>
  <si>
    <t>TOTAL CAPEX</t>
  </si>
  <si>
    <t>TOTAL OPEX</t>
  </si>
  <si>
    <t>Annexure C
Summary Supply Pricing</t>
  </si>
  <si>
    <t>Yes</t>
  </si>
  <si>
    <t>No</t>
  </si>
  <si>
    <t>Notes:</t>
  </si>
  <si>
    <t>This Annexure is for informational Purposes</t>
  </si>
  <si>
    <t xml:space="preserve">The pricing below is derived from your detailed pricing submission </t>
  </si>
  <si>
    <t>Please ensure the pricing totals here match up with your Total Offer for each work Package</t>
  </si>
  <si>
    <t>WORK PACKAGE DESCRIPTION</t>
  </si>
  <si>
    <t>TOTAL Including VAT</t>
  </si>
  <si>
    <t>Work Package: Backup Solution - Replacement - Specification A</t>
  </si>
  <si>
    <t>Work Package: Backup Solution - Replacement - Specification B</t>
  </si>
  <si>
    <t>Work Package: Backup Solution - Replacement - Specification C</t>
  </si>
  <si>
    <t>Work Package: Backup Solution - Replacement - Specification D</t>
  </si>
  <si>
    <t>Work Package: Backup Solution - Replacement - Specification E</t>
  </si>
  <si>
    <t>Work Package: Backup Solution - Capacity Upgrade - Specification A</t>
  </si>
  <si>
    <t>Work Package: Backup Solution - Capacity Upgrade - Specification B</t>
  </si>
  <si>
    <t>Work Package: Backup Solution - Capacity Upgrade - Specification C</t>
  </si>
  <si>
    <t>Work Package: CCTV Storage Solution - Replacement - Specification A</t>
  </si>
  <si>
    <t>Work Package: CCTV Storage Solution - Replacement - Specification B</t>
  </si>
  <si>
    <t>Work Package: CCTV Storage Solution - Replacement - Specification C</t>
  </si>
  <si>
    <t>Work Package: Shared Storage Solution - Replacement - Specification A</t>
  </si>
  <si>
    <t>Work Package: Shared Storage Solution - Replacement - Specification B</t>
  </si>
  <si>
    <t>Work Package: Shared Storage Solution - Replacement - Specification C</t>
  </si>
  <si>
    <t>Work Package: Shared Storage Solution - Capacity Upgrade - Specification A</t>
  </si>
  <si>
    <t>Work Package: Shared Storage Solution - Capacity Upgrade - Specification B</t>
  </si>
  <si>
    <t>Work Package: Shared Storage Solution - Capacity Upgrade - Specification C</t>
  </si>
  <si>
    <t>Work Package: SAN Switch Solution - Replacement - Specification A</t>
  </si>
  <si>
    <t>Work Package: SAN Switch Solution - Replacement - Specification B</t>
  </si>
  <si>
    <t>Work Package: SAN Switch Solution - Replacement - Specification C</t>
  </si>
  <si>
    <t>Work Package: SAN Switch Solution - Capacity Upgrade - Specification A</t>
  </si>
  <si>
    <t>Work Package: SAN Switch Solution - Capacity Upgrade - Specification B</t>
  </si>
  <si>
    <t>Work Package: Backup Monitoring, Management and Reporting Tools</t>
  </si>
  <si>
    <t>Work Package: Storage Monitoring, Management and Reporting Tools</t>
  </si>
  <si>
    <t>Work Package: SAN Storage Network Monitoring, Management and Reporting Tools</t>
  </si>
  <si>
    <t>Work Package: Cyber Recovery Solution</t>
  </si>
  <si>
    <t>Work Package: Microsoft 365 (Formerly Office 365) Cloud Backups</t>
  </si>
  <si>
    <t>Work Package: Disaster Recovery Storage Solution</t>
  </si>
  <si>
    <t>Work Package: General Supply</t>
  </si>
  <si>
    <t>Annexure C
Detailed Supply Pricing</t>
  </si>
  <si>
    <t>WORK PACKAGE NAME</t>
  </si>
  <si>
    <t>Site</t>
  </si>
  <si>
    <t>Work Package Description</t>
  </si>
  <si>
    <t>(A)
Y1</t>
  </si>
  <si>
    <t>(B)
Y2</t>
  </si>
  <si>
    <t>(C)
Y3</t>
  </si>
  <si>
    <t>(D)
Y4</t>
  </si>
  <si>
    <t>(E)
Y5</t>
  </si>
  <si>
    <t>Price influenced by USD Exchange rate (Yes/No)</t>
  </si>
  <si>
    <t>(H)
Base landed Price in USD
For US sourced items - Y1</t>
  </si>
  <si>
    <t>(I)
ZAR Price (for local sourced items) Excluding VAT - Y1</t>
  </si>
  <si>
    <t>(J)
Base landed Price in USD
For US sourced items - Y2</t>
  </si>
  <si>
    <t>(K)
ZAR Price (for local sourced items) Excluding VAT - Y2</t>
  </si>
  <si>
    <t>(L)
Base landed Price in USD
For US sourced items - Y3</t>
  </si>
  <si>
    <t>(M)
ZAR Price (for local sourced items) Excluding VAT - Y3</t>
  </si>
  <si>
    <t>(N)
Base landed Price in USD
For US sourced items - Y4</t>
  </si>
  <si>
    <t>(O)
ZAR Price (for local sourced items) Excluding VAT - Y4</t>
  </si>
  <si>
    <t>(P)
Base landed Price in USD
For US sourced items - Y5</t>
  </si>
  <si>
    <t>(Q)
ZAR Price (for local sourced items) Excluding VAT - Y5</t>
  </si>
  <si>
    <t>(R)
Exchange rate</t>
  </si>
  <si>
    <t>(S)
Total Cost Y1
((H*R)+I)*A</t>
  </si>
  <si>
    <t>(T)
Total Cost Y2
((J*R)+K)*B</t>
  </si>
  <si>
    <t>(U)
Total Cost Y3
((L*R)+M)*C</t>
  </si>
  <si>
    <t>(V)
Total Cost Y4
((N*R)+O)*D</t>
  </si>
  <si>
    <t>(W)
Total Cost Y5
((P*R)+Q)*E</t>
  </si>
  <si>
    <t>(X)
Markup %</t>
  </si>
  <si>
    <t>(Y)
Total Cost Excluding VAT
(S+T+U+V+W)*(1+X)</t>
  </si>
  <si>
    <t>Comment</t>
  </si>
  <si>
    <t>JNB</t>
  </si>
  <si>
    <t>Replacement of existing Avamar/Data Domain/IPDA backup solution for JNB</t>
  </si>
  <si>
    <t>CPT</t>
  </si>
  <si>
    <t>Replacement of existing Avamar/Data Domain/IPDA backup solution for CPT</t>
  </si>
  <si>
    <t>DUR</t>
  </si>
  <si>
    <t>Replacement of existing Avamar/Data Domain/IPDA backup solution for DUR</t>
  </si>
  <si>
    <t>PLZ</t>
  </si>
  <si>
    <t>Replacement of existing Avamar backup solution for PLZ</t>
  </si>
  <si>
    <t>ELS</t>
  </si>
  <si>
    <t>Replacement of existing Avamar backup solution for ELS</t>
  </si>
  <si>
    <t>BFN</t>
  </si>
  <si>
    <t>Replacement of existing Avamar backup solution for BFN</t>
  </si>
  <si>
    <t>GRJ</t>
  </si>
  <si>
    <t>Replacement of existing Avamar backup solution for GRJ</t>
  </si>
  <si>
    <t>KIM</t>
  </si>
  <si>
    <t>Replacement of existing Avamar backup solution for KIM</t>
  </si>
  <si>
    <t>UTN</t>
  </si>
  <si>
    <t>Replacement of existing Avamar backup solution for UTN</t>
  </si>
  <si>
    <t>Upgrade of suggested backup replacement solution backup storage capacity for JNB</t>
  </si>
  <si>
    <t>Upgrade of suggested backup replacement solution backup storage capacity for CPT</t>
  </si>
  <si>
    <t>Upgrade of suggested backup replacement solution backup storage capacity for DUR</t>
  </si>
  <si>
    <t>Replacement of existing Unity XT 880 CCTV Storage systems for JNB</t>
  </si>
  <si>
    <t>Replacement of existing Unity XT 680 CCTV Storage systems for CPT</t>
  </si>
  <si>
    <t>Replacement of existing Unity XT 680 CCTV Storage systems for DUR</t>
  </si>
  <si>
    <t>Replacement of existing VNX-VSS / VNXe1600 CCTV Storage systems for PLZ</t>
  </si>
  <si>
    <t>Replacement of existing VNX-VSS / VNXe1600 CCTV Storage systems for JNB</t>
  </si>
  <si>
    <t>Replacement of existing VNX-VSS / VNXe1600 CCTV Storage systems for CPT</t>
  </si>
  <si>
    <t>Replacement of existing VNX-VSS / VNXe1600 CCTV Storage systems for DUR</t>
  </si>
  <si>
    <t>Replacement of existing VNX-VSS / VNXe1600 CCTV Storage systems for ELS</t>
  </si>
  <si>
    <t>Replacement of existing VNX-VSS / VNXe1600 CCTV Storage systems for BFN</t>
  </si>
  <si>
    <t>Replacement of existing VNX-VSS / VNXe1600 CCTV Storage systems for GRJ</t>
  </si>
  <si>
    <t>Replacement of existing VNX-VSS / VNXe1600 CCTV Storage systems for KIM</t>
  </si>
  <si>
    <t>Replacement of existing VNX-VSS / VNXe1600 CCTV Storage systems for UTN</t>
  </si>
  <si>
    <t>Replacement of existing Unity 450F/500F Shared Storage systems for JNB</t>
  </si>
  <si>
    <t>Replacement of existing Unity 450F Shared Storage systems for CPT</t>
  </si>
  <si>
    <t>Replacement of existing Unity 450F Shared Storage systems for DUR</t>
  </si>
  <si>
    <t>Upgrade of suggested CCTV and Shared replacement solution storage capacity for JNB</t>
  </si>
  <si>
    <t>Upgrade of suggested CCTV and Shared replacement solution storage capacity for CPT</t>
  </si>
  <si>
    <t>Upgrade of suggested CCTV and Shared replacement solution storage capacity for DUR</t>
  </si>
  <si>
    <t>Upgrade of suggested CCTV and Shared replacement solution storage capacity for PLZ</t>
  </si>
  <si>
    <t>Upgrade of suggested CCTV and Shared replacement solution storage capacity for ELS</t>
  </si>
  <si>
    <t>Upgrade of suggested CCTV and Shared replacement solution storage capacity for BFN</t>
  </si>
  <si>
    <t>Upgrade of suggested CCTV and Shared replacement solution storage capacity for GRJ</t>
  </si>
  <si>
    <t>Upgrade of suggested CCTV and Shared replacement solution storage capacity for KIM</t>
  </si>
  <si>
    <t>Upgrade of suggested CCTV and Shared replacement solution storage capacity for UTN</t>
  </si>
  <si>
    <t>Replacement of existing Connectrix DS-6620B SAN Switches for JNB</t>
  </si>
  <si>
    <t>Replacement of existing Connectrix DS-6620B SAN Switches for CPT</t>
  </si>
  <si>
    <t>Replacement of existing Connectrix DS-6620B SAN Switches for DUR</t>
  </si>
  <si>
    <t>Upgrade of suggested SAN switch repalcement ports and single mode SFPs for JNB</t>
  </si>
  <si>
    <t>Upgrade of suggested SAN switch repalcement ports and single mode SFPs for CPT</t>
  </si>
  <si>
    <t>Upgrade of suggested SAN switch repalcement ports and single mode SFPs for DUR</t>
  </si>
  <si>
    <t>Upgrade of suggested SAN switch repalcement ports and single mode SFPs for PLZ</t>
  </si>
  <si>
    <t>Upgrade of suggested SAN switch repalcement ports and single mode SFPs for ELS</t>
  </si>
  <si>
    <t>Upgrade of suggested SAN switch repalcement ports and single mode SFPs for BFN</t>
  </si>
  <si>
    <t>Upgrade of suggested SAN switch repalcement ports and single mode SFPs for GRJ</t>
  </si>
  <si>
    <t>Upgrade of suggested SAN switch repalcement ports and single mode SFPs for KIM</t>
  </si>
  <si>
    <t>Upgrade of suggested SAN switch repalcement ports and single mode SFPs for UTN</t>
  </si>
  <si>
    <t>Upgrade of suggested SAN switch repalcement ports and multi mode SFPs for JNB</t>
  </si>
  <si>
    <t>Upgrade of suggested SAN switch repalcement ports and multi mode SFPs for CPT</t>
  </si>
  <si>
    <t>Upgrade of suggested SAN switch repalcement ports and multi mode SFPs for DUR</t>
  </si>
  <si>
    <t>Upgrade of suggested SAN switch repalcement ports and multi mode SFPs for PLZ</t>
  </si>
  <si>
    <t>Upgrade of suggested SAN switch repalcement ports and multi mode SFPs for ELS</t>
  </si>
  <si>
    <t>Upgrade of suggested SAN switch repalcement ports and multi mode SFPs for BFN</t>
  </si>
  <si>
    <t>Upgrade of suggested SAN switch repalcement ports and multi mode SFPs for GRJ</t>
  </si>
  <si>
    <t>Upgrade of suggested SAN switch repalcement ports and multi mode SFPs for KIM</t>
  </si>
  <si>
    <t>Upgrade of suggested SAN switch repalcement ports and multi mode SFPs for UTN</t>
  </si>
  <si>
    <t>Replacement of existing backup manament and monitoring tools for JNB</t>
  </si>
  <si>
    <t>Replacement of existing storage manament and monitoring tools for JNB</t>
  </si>
  <si>
    <t>Replacement of existing SAN Storage Network (Fabrics) manament and monitoring tools for JNB</t>
  </si>
  <si>
    <t>Implementation of a new Cyber Recovery Solution for JNB</t>
  </si>
  <si>
    <t>Implementation of a new Cyber Recovery Solution for CPT</t>
  </si>
  <si>
    <t>Implementation of a new Cyber Recovery Solution for DUR</t>
  </si>
  <si>
    <t>Implementation of a new Microsoft 365 backup Solution for JNB</t>
  </si>
  <si>
    <t>Implementation of a new DR Solution for JNB</t>
  </si>
  <si>
    <t>Implementation of a new DR Solution for CPT</t>
  </si>
  <si>
    <t>Various components for JNB</t>
  </si>
  <si>
    <t>Various components for CPT</t>
  </si>
  <si>
    <t>Various components for DUR</t>
  </si>
  <si>
    <t>Various components for PLZ</t>
  </si>
  <si>
    <t>Various components for ELS</t>
  </si>
  <si>
    <t>Various components for BFN</t>
  </si>
  <si>
    <t>Various components for GRJ</t>
  </si>
  <si>
    <t>Various components for KIM</t>
  </si>
  <si>
    <t>Various components for UTN</t>
  </si>
  <si>
    <t xml:space="preserve"> </t>
  </si>
  <si>
    <t xml:space="preserve">Annexure C
Monthly Preventative and SLA Maintenance Pricing
</t>
  </si>
  <si>
    <t>Use your own preventative maintenance plan as well as all the requirements in the SOW (Annexure 1A) for determining the costs</t>
  </si>
  <si>
    <t>Use the Baseline Information in  Scope of Work to scope the environment that needs to be maintained.</t>
  </si>
  <si>
    <t xml:space="preserve">Pricing will be fixed for the duration of the contact. - No further CPI increases
</t>
  </si>
  <si>
    <t>Pricing must include at least the minimum Resources as per Scope of Work</t>
  </si>
  <si>
    <t>Locations responsible for</t>
  </si>
  <si>
    <t>UOM</t>
  </si>
  <si>
    <t>(A)
Monthly Cost excluding Vat - Y1</t>
  </si>
  <si>
    <t>(B)
Monthly Cost excluding Vat - Y2</t>
  </si>
  <si>
    <t>(C)
Monthly Cost excluding Vat - Y3</t>
  </si>
  <si>
    <t>(D)
Monthly Cost excluding Vat - Y4</t>
  </si>
  <si>
    <t>(E)
Monthly Cost excluding Vat - Y5</t>
  </si>
  <si>
    <t>(H)
Qty - Y1</t>
  </si>
  <si>
    <t>(I)
Qty - Y2</t>
  </si>
  <si>
    <t>(J)
Qty - Y3</t>
  </si>
  <si>
    <t>(K)
Qty - Y4</t>
  </si>
  <si>
    <t>(L)
Qty - Y5</t>
  </si>
  <si>
    <t>(O)
Total Cost Excluding Vat - Y1 
(A*H)</t>
  </si>
  <si>
    <t>(P)
Total Cost Excluding Vat - Y2 
(B*I)</t>
  </si>
  <si>
    <t>(Q)
Total Cost Excluding Vat - Y3 
(C*J)</t>
  </si>
  <si>
    <t>(R)
Total Cost Excluding Vat - Y4 
(D*K)</t>
  </si>
  <si>
    <t>(S)
Total Cost Excluding Vat - Y5 
(E*L)</t>
  </si>
  <si>
    <t>(V)
Total Cost Excluding VAT</t>
  </si>
  <si>
    <t>Fixed Monthly Pricing to maintain the SLA as required In Scope of work including providing all the Reports and tasks as provided</t>
  </si>
  <si>
    <t>Monthly</t>
  </si>
  <si>
    <t>Annexure C
Software Maintenance</t>
  </si>
  <si>
    <t>Pricing should covers parts, labour and travel</t>
  </si>
  <si>
    <t>Please engage the OEM for details if nessesary</t>
  </si>
  <si>
    <t>OEM</t>
  </si>
  <si>
    <t>Sites Deployed</t>
  </si>
  <si>
    <t>Product ID</t>
  </si>
  <si>
    <t>Description</t>
  </si>
  <si>
    <t>(A) 
Qty of licences - Y1</t>
  </si>
  <si>
    <t>(B) 
Qty of licences - Y2</t>
  </si>
  <si>
    <t>(C) 
Qty of licences - Y3</t>
  </si>
  <si>
    <t>(D) 
Qty of licences - Y4</t>
  </si>
  <si>
    <t>(E) 
Qty of licences - Y5</t>
  </si>
  <si>
    <t>(H)
License fees Annual in USD (TOTAL) - Y1</t>
  </si>
  <si>
    <t>(I)
License fees Annual in USD (TOTAL) - Y2</t>
  </si>
  <si>
    <t>(J)
License fees Annual in USD (TOTAL) - Y3</t>
  </si>
  <si>
    <t>(K)
License fees Annual in USD (TOTAL) - Y4</t>
  </si>
  <si>
    <t>(L)
License fees Annual in USD (TOTAL) - Y5</t>
  </si>
  <si>
    <t>(O)
Exchange Rate</t>
  </si>
  <si>
    <t>(P)
TOTAL Excluding VAT
(A*H*O) - Y1</t>
  </si>
  <si>
    <t>(Q)
TOTAL Excluding VAT
(B*I*O) - Y2</t>
  </si>
  <si>
    <t>(R)
TOTAL Excluding VAT
(C*J*O) - Y3</t>
  </si>
  <si>
    <t>(S)
TOTAL Excluding VAT
(D*K*O) - Y4</t>
  </si>
  <si>
    <t>(T)
TOTAL Excluding VAT
(E*L*O) - Y5</t>
  </si>
  <si>
    <t>(W)
TOTAL Excluding VAT</t>
  </si>
  <si>
    <t>Comments</t>
  </si>
  <si>
    <t>Dell</t>
  </si>
  <si>
    <t>Centralised licensing</t>
  </si>
  <si>
    <t>Data Protection Suite (Dell DPS)</t>
  </si>
  <si>
    <t>Backup Capacity Licensing (in TB)</t>
  </si>
  <si>
    <t xml:space="preserve">Annexure C
Hardware Maintenance  - Data Protection - Backup Appliances (DPBA)
</t>
  </si>
  <si>
    <t>Service level format is AxBxC, Where , A=Service Coverage hours per day, B= Service coverage days per week, C=Fix/Replace Time</t>
  </si>
  <si>
    <t>A Letter of confirmation can be provided should it be nessesary for you to engage the OEM</t>
  </si>
  <si>
    <t>Location</t>
  </si>
  <si>
    <t>Device Name</t>
  </si>
  <si>
    <t>Chassis Serial
Number</t>
  </si>
  <si>
    <t>Chassis
 Model Name</t>
  </si>
  <si>
    <t>(A)
Qty  - Y1</t>
  </si>
  <si>
    <t>(B)
Qty  - Y2</t>
  </si>
  <si>
    <t>(C)
Qty  - Y3</t>
  </si>
  <si>
    <t>(D)
Qty  - Y4</t>
  </si>
  <si>
    <t>(E)
Qty  - Y5</t>
  </si>
  <si>
    <t>(H)
Required Service Level for Preventative mantenance</t>
  </si>
  <si>
    <t>(I)
Required Service Level for OEM Backed Hardware Maintenance</t>
  </si>
  <si>
    <t>(J)
USD PRICE
Annual Partner Support Service (1 Year)
Chassis Plus Modules
- according to HW service level (I)
Y1</t>
  </si>
  <si>
    <t>(K)
USD PRICE
Annual Partner Support Service (1 Year)
Chassis Plus Modules
- according to HW service level (I)
Y2</t>
  </si>
  <si>
    <t>(L)
USD PRICE
Annual Partner Support Service (1 Year)
Chassis Plus Modules
- according to HW service level (I)
Y3</t>
  </si>
  <si>
    <t>(M)
USD PRICE
Annual Partner Support Service (1 Year)
Chassis Plus Modules
- according to HW service level (I)
Y4</t>
  </si>
  <si>
    <t>(N)
USD PRICE
Annual Partner Support Service (1 Year)
Chassis Plus Modules
- according to HW service level (I)
Y5</t>
  </si>
  <si>
    <t>(Q)
Exchange Rate</t>
  </si>
  <si>
    <t>(R)
Monthly Maintenance according to Service  Level (H) - Y1</t>
  </si>
  <si>
    <t>(S)
Monthly Maintenance according to Service  Level (H) - Y2</t>
  </si>
  <si>
    <t>(T)
Monthly Maintenance according to Service  Level (H) - Y3</t>
  </si>
  <si>
    <t>(U)
Monthly Maintenance according to Service  Level (H) - Y4</t>
  </si>
  <si>
    <t>(V)
Monthly Maintenance according to Service  Level (H) - Y5</t>
  </si>
  <si>
    <t>(Y)
TOTAL Excluding VAT - Y1
((A*J)*Q)+((A*R)*12))</t>
  </si>
  <si>
    <t>(Z)
TOTAL Excluding VAT - Y2
((B*K)*Q)+((B*S)*12))</t>
  </si>
  <si>
    <t>AA)
TOTAL Excluding VAT - Y3
((C*L)*Q)+((C*T)*12))</t>
  </si>
  <si>
    <t>(AB)
TOTAL Excluding VAT - Y4
((D*M)*Q)+((D*U)*12))</t>
  </si>
  <si>
    <t>(AC)
TOTAL Excluding VAT - Y5
((E*N*Q)+((E*V)*12))</t>
  </si>
  <si>
    <t>(AF)
TOTAL Excluding VAT</t>
  </si>
  <si>
    <t>JNBAVARAINUTL1</t>
  </si>
  <si>
    <t>FC6AV141600131</t>
  </si>
  <si>
    <t>Data Store M1200 GEN4S</t>
  </si>
  <si>
    <t>24x7x6</t>
  </si>
  <si>
    <t>JNBAVARAINSTG1</t>
  </si>
  <si>
    <t>FC6AV142100011</t>
  </si>
  <si>
    <t>JNBAVARAINSTG2</t>
  </si>
  <si>
    <t>FC6AV140600130</t>
  </si>
  <si>
    <t>JNBAVARAINSTG3</t>
  </si>
  <si>
    <t>FC6AV131900814</t>
  </si>
  <si>
    <t>JNBAVARAINSTG4</t>
  </si>
  <si>
    <t>FC6AV162000181</t>
  </si>
  <si>
    <t>JNBAVRAINSW1</t>
  </si>
  <si>
    <t>BRCBZN3222L027</t>
  </si>
  <si>
    <t>Data Store M1200 GEN4T</t>
  </si>
  <si>
    <t>BRCBZN3222L04A</t>
  </si>
  <si>
    <t>PLZAVAM600SRV1</t>
  </si>
  <si>
    <t>FC6AV154000215</t>
  </si>
  <si>
    <t>UTNAVAM600SRV1</t>
  </si>
  <si>
    <t>FC6AV153000138</t>
  </si>
  <si>
    <t>Data Store M600 GEN4S</t>
  </si>
  <si>
    <t>KIMAVAM600SRV1</t>
  </si>
  <si>
    <t>FC6AV153000127</t>
  </si>
  <si>
    <t>BFNAVAM600SRV1</t>
  </si>
  <si>
    <t>FC6AV153000131</t>
  </si>
  <si>
    <t>GRJAVAM600SRV1</t>
  </si>
  <si>
    <t>FC6AV153000141</t>
  </si>
  <si>
    <t>ELSAVAM600SRV1</t>
  </si>
  <si>
    <t>FC6AV161900060</t>
  </si>
  <si>
    <t xml:space="preserve">Annexure C
Hardware Maintenance  - Backup Storage (DPBS)
</t>
  </si>
  <si>
    <t>JNBWPBDPDDM1</t>
  </si>
  <si>
    <t>CKM01220805310</t>
  </si>
  <si>
    <t>PowerProtect DP5900</t>
  </si>
  <si>
    <t>JNBWPPPDD</t>
  </si>
  <si>
    <t>CRK00251312269</t>
  </si>
  <si>
    <t>PowerProtect DD9410</t>
  </si>
  <si>
    <t>CPTWPBDPSYSM1</t>
  </si>
  <si>
    <t>CKM01220805309</t>
  </si>
  <si>
    <t>CPTWPPPDD</t>
  </si>
  <si>
    <t>CRK00251312270</t>
  </si>
  <si>
    <t>DURWC1DPDDM1</t>
  </si>
  <si>
    <t>DE600215152632</t>
  </si>
  <si>
    <t>PowerProtect DP4400</t>
  </si>
  <si>
    <t xml:space="preserve">Annexure C
Hardware Maintenance - Data Protection - Data Replication (DPDR)
</t>
  </si>
  <si>
    <t>JNBDC1RPA1</t>
  </si>
  <si>
    <t>CK2SY194600047</t>
  </si>
  <si>
    <t>RecoverPoint GEN6</t>
  </si>
  <si>
    <t>24x7xNBD</t>
  </si>
  <si>
    <t>JNBDC1RPA2</t>
  </si>
  <si>
    <t>CK2SY194600048</t>
  </si>
  <si>
    <t>CPTDC1RPCLUSTER RPA 1</t>
  </si>
  <si>
    <t>CK2SY193800110</t>
  </si>
  <si>
    <t>CPTDC1RPCLUSTER RPA 2</t>
  </si>
  <si>
    <t>CK2SY193800111</t>
  </si>
  <si>
    <t>DURCR1RPCLUSTER RPA 1</t>
  </si>
  <si>
    <t>CK2SY194200054</t>
  </si>
  <si>
    <t>DURCR1RPCLUSTER RPA 2</t>
  </si>
  <si>
    <t>CK2SY194200055</t>
  </si>
  <si>
    <t xml:space="preserve">Annexure C
Hardware Maintenance  - Data Storage - Storage Systems (DSSS)
</t>
  </si>
  <si>
    <t>PLZCR1ESXH01</t>
  </si>
  <si>
    <t>DE600224776637</t>
  </si>
  <si>
    <t>VxRail S670</t>
  </si>
  <si>
    <t>PLZCR1ESXH02</t>
  </si>
  <si>
    <t>DE600224776638</t>
  </si>
  <si>
    <t>PLZCR1ESXH03</t>
  </si>
  <si>
    <t>DE600224776639</t>
  </si>
  <si>
    <t>PLZCR2ESXH01</t>
  </si>
  <si>
    <t>DE600224776640</t>
  </si>
  <si>
    <t>PLZCR2ESXH02</t>
  </si>
  <si>
    <t>DE600224776642</t>
  </si>
  <si>
    <t>PLZCR2ESXH03</t>
  </si>
  <si>
    <t>DE600224776641</t>
  </si>
  <si>
    <t>ELSCR1VSS2959</t>
  </si>
  <si>
    <t>CKM00144802959</t>
  </si>
  <si>
    <t>VNX-VSS100</t>
  </si>
  <si>
    <t>ELSCR1VSS2965</t>
  </si>
  <si>
    <t>CKM00144802965</t>
  </si>
  <si>
    <t>CPTDC1VSS2824</t>
  </si>
  <si>
    <t>CKM00155102824</t>
  </si>
  <si>
    <t>CPTDC1VSS2823</t>
  </si>
  <si>
    <t>CKM00155102823</t>
  </si>
  <si>
    <t>CPTDC1VSS2825</t>
  </si>
  <si>
    <t>CKM00155102825</t>
  </si>
  <si>
    <t>CPTCR3VSS0938</t>
  </si>
  <si>
    <t>CKM00154100938</t>
  </si>
  <si>
    <t>CPTCR3VSS2944</t>
  </si>
  <si>
    <t>CKM00155202944</t>
  </si>
  <si>
    <t>CPTCR3VSS3893</t>
  </si>
  <si>
    <t>CKM00155003893</t>
  </si>
  <si>
    <t>PLZCR1VSS1910</t>
  </si>
  <si>
    <t>CKM00151401910</t>
  </si>
  <si>
    <t>PLZCR2VSS4116</t>
  </si>
  <si>
    <t>CKM00145104116</t>
  </si>
  <si>
    <t>KIMCR1VSS2960</t>
  </si>
  <si>
    <t>CKM00144802960</t>
  </si>
  <si>
    <t>CORCR1VSS1911</t>
  </si>
  <si>
    <t>CKM00151401911</t>
  </si>
  <si>
    <t>BFNCR1VSS1408</t>
  </si>
  <si>
    <t>CKM00151301408</t>
  </si>
  <si>
    <t>UTNCR1VSS0758</t>
  </si>
  <si>
    <t>CKM00144300758</t>
  </si>
  <si>
    <t>CPTDC1VSS0045</t>
  </si>
  <si>
    <t>CKM00174600045</t>
  </si>
  <si>
    <t>VSS 1600</t>
  </si>
  <si>
    <t>CPTDC1VSS2183</t>
  </si>
  <si>
    <t>CKM00174502183</t>
  </si>
  <si>
    <t>CPTDC1VSS2273</t>
  </si>
  <si>
    <t>CKM00174702273</t>
  </si>
  <si>
    <t>CPTDC1VSS2042</t>
  </si>
  <si>
    <t>CKM00174502042</t>
  </si>
  <si>
    <t>CPTDC1VSS2365</t>
  </si>
  <si>
    <t>CKM00174502365</t>
  </si>
  <si>
    <t>CPTCR3VSS2041</t>
  </si>
  <si>
    <t>CKM00174502041</t>
  </si>
  <si>
    <t>CPTCR3VSS2367</t>
  </si>
  <si>
    <t>CKM00174502367</t>
  </si>
  <si>
    <t>CPTCR3VSS2272</t>
  </si>
  <si>
    <t>CKM00174702272</t>
  </si>
  <si>
    <t>CPTCR3VSS2390</t>
  </si>
  <si>
    <t>CKM00174702390</t>
  </si>
  <si>
    <t>KIMCR1VSS0050</t>
  </si>
  <si>
    <t>CKM00174600050</t>
  </si>
  <si>
    <t>CORCR3VSS2182</t>
  </si>
  <si>
    <t>CKM00174502182</t>
  </si>
  <si>
    <t>DURCR1VSS2271</t>
  </si>
  <si>
    <t>CKM00174702271</t>
  </si>
  <si>
    <t xml:space="preserve">DURCR1VSS0290 </t>
  </si>
  <si>
    <t xml:space="preserve">CKM00173500290 </t>
  </si>
  <si>
    <t>DURCR1VSS1368</t>
  </si>
  <si>
    <t>CKM00174501368</t>
  </si>
  <si>
    <t>DURCR2VSS2185</t>
  </si>
  <si>
    <t>CKM00174502185</t>
  </si>
  <si>
    <t xml:space="preserve">DURCR2VSS2181 </t>
  </si>
  <si>
    <t>CKM00174502181</t>
  </si>
  <si>
    <t>GRJCR1VSS2364</t>
  </si>
  <si>
    <t xml:space="preserve"> CKM00174502364</t>
  </si>
  <si>
    <t>GRJCR1VSS2366</t>
  </si>
  <si>
    <t>CKM00174502366</t>
  </si>
  <si>
    <t>JNBDC1VSS0046</t>
  </si>
  <si>
    <t>CKM00174600046</t>
  </si>
  <si>
    <t>JNBDC1VSS2274</t>
  </si>
  <si>
    <t>CKM00174702274</t>
  </si>
  <si>
    <t>JNBDC1VSS0047</t>
  </si>
  <si>
    <t>CKM00174600047</t>
  </si>
  <si>
    <t>JNBDC1VSS2040</t>
  </si>
  <si>
    <t>CKM00174502040</t>
  </si>
  <si>
    <t>JNBDC1VSS2039</t>
  </si>
  <si>
    <t>CKM00174502039</t>
  </si>
  <si>
    <t>JNBDC1VSS2184</t>
  </si>
  <si>
    <t>CKM00174502184</t>
  </si>
  <si>
    <t>JNBDC1VSS0292</t>
  </si>
  <si>
    <t>CKM00173500292</t>
  </si>
  <si>
    <t>JNBDC1VSS2043</t>
  </si>
  <si>
    <t>CKM00174502043</t>
  </si>
  <si>
    <t>JNBDC1VSS2046</t>
  </si>
  <si>
    <t>CKM00174502046</t>
  </si>
  <si>
    <t>JNBCR1VSS2277</t>
  </si>
  <si>
    <t>CKM00174502277</t>
  </si>
  <si>
    <t>JNBCR1VSS2389</t>
  </si>
  <si>
    <t>CKM00174702389</t>
  </si>
  <si>
    <t>JNBCR1UNITY2920</t>
  </si>
  <si>
    <t>CRK00214802920</t>
  </si>
  <si>
    <t>Unity XT880</t>
  </si>
  <si>
    <t>JNBDC1UNITY2718</t>
  </si>
  <si>
    <t>CRK00214902718</t>
  </si>
  <si>
    <t>CPTDC1UNITY8097</t>
  </si>
  <si>
    <t>CRK00243108097</t>
  </si>
  <si>
    <t>CPTCR3UNITY5732</t>
  </si>
  <si>
    <t>CRK00241905732</t>
  </si>
  <si>
    <t>DURCR1UNITY8662</t>
  </si>
  <si>
    <t>CRK00225218662</t>
  </si>
  <si>
    <t>Unity XT680</t>
  </si>
  <si>
    <t>DURCR2UNITY5403</t>
  </si>
  <si>
    <t>CRK00242105403</t>
  </si>
  <si>
    <t>JNBDC1UNITY1399</t>
  </si>
  <si>
    <t>CKM00172001399</t>
  </si>
  <si>
    <t>Unity 500F</t>
  </si>
  <si>
    <t>JNBCR1UNITY1400</t>
  </si>
  <si>
    <t>CKM00172001400</t>
  </si>
  <si>
    <t>JNBDC1UNITY0923</t>
  </si>
  <si>
    <t>CKM00194700923</t>
  </si>
  <si>
    <t>Unity 450F</t>
  </si>
  <si>
    <t>CPTCR3UNITY0917</t>
  </si>
  <si>
    <t>CKM00183800917</t>
  </si>
  <si>
    <t>CPTDC1UNITY0916</t>
  </si>
  <si>
    <t>CKM00183800916</t>
  </si>
  <si>
    <t>CIADC1UNITYDR0460</t>
  </si>
  <si>
    <t>CKM00194400460</t>
  </si>
  <si>
    <t>DURCR1UNITY2016</t>
  </si>
  <si>
    <t>CKM00194402016</t>
  </si>
  <si>
    <t>DURCR2UNITY2057</t>
  </si>
  <si>
    <t>CKM00194402057</t>
  </si>
  <si>
    <t xml:space="preserve">Annexure C
Hardware Maintenance - Data Storage - Storage Networks (DSSN)
</t>
  </si>
  <si>
    <t>JNBDC1FB6620M02P</t>
  </si>
  <si>
    <t>BRCEWY1950M02P</t>
  </si>
  <si>
    <t>Connectrix DS-6620B</t>
  </si>
  <si>
    <t>JNBDC1FA931Q01P</t>
  </si>
  <si>
    <t>BRCEWY1931Q01P</t>
  </si>
  <si>
    <t>JNBCR1FB6620M02Z</t>
  </si>
  <si>
    <t>BRCEWY1950M02Z</t>
  </si>
  <si>
    <t>JNBCR1FB6620M02S</t>
  </si>
  <si>
    <t>BRCEWY1950M02S</t>
  </si>
  <si>
    <t>JNBCR1FA6620M037</t>
  </si>
  <si>
    <t>BRCEWY1950M037</t>
  </si>
  <si>
    <t>JNBDC1FB931Q025</t>
  </si>
  <si>
    <t>BRCEWY1931Q025</t>
  </si>
  <si>
    <t>JNBCR1FA6620M039</t>
  </si>
  <si>
    <t>BRCEWY1950M039</t>
  </si>
  <si>
    <t>JNBDC1FA6620M02H</t>
  </si>
  <si>
    <t>BRCEWY1950M02H</t>
  </si>
  <si>
    <t>JNBDC1FA6620M033</t>
  </si>
  <si>
    <t>BRCEWY1950M033</t>
  </si>
  <si>
    <t>JNBDC1FB6620M02R</t>
  </si>
  <si>
    <t>BRCEWY1950M02R</t>
  </si>
  <si>
    <t>CPTDC1FA6620Q032</t>
  </si>
  <si>
    <t>BRCEWY1932Q032</t>
  </si>
  <si>
    <t>CPTDC1FA6620M00Z</t>
  </si>
  <si>
    <t>BRCEWY1942M00Z</t>
  </si>
  <si>
    <t>CPTDC1FB6620P01T</t>
  </si>
  <si>
    <t>BRCEWY1927P01T</t>
  </si>
  <si>
    <t>CPTDC1FA6620P01K</t>
  </si>
  <si>
    <t>BRCEWY1927P01K</t>
  </si>
  <si>
    <t>CPTCR3FA6620P01Y</t>
  </si>
  <si>
    <t>BRCEWY1927P01Y</t>
  </si>
  <si>
    <t>CPTCR3FB6620P01Z</t>
  </si>
  <si>
    <t>BRCEWY1927P01Z</t>
  </si>
  <si>
    <t>DURCR2FB6620Q076</t>
  </si>
  <si>
    <t>BRCEWY1936Q076</t>
  </si>
  <si>
    <t>DURCR1FB6620Q041</t>
  </si>
  <si>
    <t>BRCEWY1932Q041</t>
  </si>
  <si>
    <t>DURCR2FA6620Q072</t>
  </si>
  <si>
    <t>BRCEWY1936Q072</t>
  </si>
  <si>
    <t>DURCR1FA6620Q022</t>
  </si>
  <si>
    <t>BRCEWY1932Q022</t>
  </si>
  <si>
    <t xml:space="preserve">Annexure C
FIXED Resourse hours
</t>
  </si>
  <si>
    <t>Resourse</t>
  </si>
  <si>
    <t>(F)
Y1 Cost</t>
  </si>
  <si>
    <t>(G)
Y2 Cost</t>
  </si>
  <si>
    <t>(H)
Y3 Cost</t>
  </si>
  <si>
    <t>(I)
Y4 Cost</t>
  </si>
  <si>
    <t>(J)
Y5 Cost</t>
  </si>
  <si>
    <t>(K)
TOTAL Excluding VAT - Y1
(A*F)</t>
  </si>
  <si>
    <t>(L)
TOTAL Excluding VAT - Y2
(B*G)</t>
  </si>
  <si>
    <t>(M)
TOTAL Excluding VAT - Y3
(C*H)</t>
  </si>
  <si>
    <t>(N)
TOTAL Excluding VAT - Y4
(D*I)</t>
  </si>
  <si>
    <t>(O)
TOTAL Excluding VAT - Y5
(E*J)</t>
  </si>
  <si>
    <t>All</t>
  </si>
  <si>
    <t xml:space="preserve">Dell Certified Associate: Information Storage and Management (DCA-ISA) or 
Dell Certified Associate: Data Protection and Management (DCA-DPM) or
Dell Certified Associate: Cloud Infrastructure and Services (DCA-CIS) or
Same equivalent Certification of any new proposed OEM </t>
  </si>
  <si>
    <t xml:space="preserve">Dell Certified Specialist: Implementation Engineeer (DCS-IE) or
Dell Certified Specialist: Systems Administrator (DCS-SA) or
Dell Certified Specialist: Technology Architecs (DCS-TA) or 
Dell Certified Specialist: Platform Engineer (DCS-PE) or
Same equivalent Certification of any new proposed OEM </t>
  </si>
  <si>
    <t xml:space="preserve">Dell Certified Expert (DCE) or 
Same equivalent Certification of any new proposed OEM </t>
  </si>
  <si>
    <t xml:space="preserve">Annexure C
Resource Hourly Rates
</t>
  </si>
  <si>
    <t>Year 1</t>
  </si>
  <si>
    <t>Year 2</t>
  </si>
  <si>
    <t>Year 3</t>
  </si>
  <si>
    <t>Year 4</t>
  </si>
  <si>
    <t>Year 5</t>
  </si>
  <si>
    <t>Resouce Certification Level / Purpose</t>
  </si>
  <si>
    <t>Business Hours Hourly Rate - Y1</t>
  </si>
  <si>
    <t>After Hours Hourly Rate - Y1</t>
  </si>
  <si>
    <t>Weekend and Public Holidays Hourly Rate - Y1</t>
  </si>
  <si>
    <t>Business Hours Hourly Rate - Y2</t>
  </si>
  <si>
    <t>After Hours Hourly Rate - Y2</t>
  </si>
  <si>
    <t>Weekend and Public Holidays Hourly Rate - Y2</t>
  </si>
  <si>
    <t>Business Hours Hourly Rate - Y3</t>
  </si>
  <si>
    <t>After Hours Hourly Rate - Y3</t>
  </si>
  <si>
    <t>Weekend and Public Holidays Hourly Rate - Y3</t>
  </si>
  <si>
    <t>Business Hours Hourly Rate - Y4</t>
  </si>
  <si>
    <t>After Hours Hourly Rate - Y4</t>
  </si>
  <si>
    <t>Weekend and Public Holidays Hourly Rate - Y4</t>
  </si>
  <si>
    <t>Business Hours Hourly Rate - Y5</t>
  </si>
  <si>
    <t>After Hours Hourly Rate - Y5</t>
  </si>
  <si>
    <t>Weekend and Public Holidays Hourly Rate - Y5</t>
  </si>
  <si>
    <t>Resource - Dell Certified Associate: Information Storage and Management (DCA-ISA) or equivalent proposed OEM Certification</t>
  </si>
  <si>
    <t>Various</t>
  </si>
  <si>
    <t>Resource - Dell Certified Associate: Data Protection and Management (DCA-DPM) or equivalent proposed OEM Certification</t>
  </si>
  <si>
    <t>Resource - Dell Certified Associate: Cloud Infrastructure and Services (DCA-CIS) or equivalent proposed OEM Certification</t>
  </si>
  <si>
    <t>Resource - Dell Certified Specialist: Implementation Engineeer (DCS-IE) or equivalent proposed OEM Certification</t>
  </si>
  <si>
    <t>Resource - Dell Certified Specialist: Systems Administrator (DCS-SA) or equivalent proposed OEM Certification</t>
  </si>
  <si>
    <t>Resource - Dell Certified Specialist: Technology Architecs (DCS-TA) or equivalent proposed OEM Certification</t>
  </si>
  <si>
    <t>Resource - Dell Certified Specialist: Platform Engineer (DCS-PE) or equivalent proposed OEM Certification</t>
  </si>
  <si>
    <t>Resource - Dell Certified Expert (DCE) or equivalent proposed OEM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</si>
</sst>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R&quot;* #,##0.00_-;\-&quot;R&quot;* #,##0.00_-;_-&quot;R&quot;* &quot;-&quot;??_-;_-@_-"/>
    <numFmt numFmtId="165" formatCode="_ &quot;R&quot;\ * #,##0.00_ ;_ &quot;R&quot;\ * \-#,##0.00_ ;_ &quot;R&quot;\ * &quot;-&quot;??_ ;_ @_ "/>
    <numFmt numFmtId="166" formatCode="_-[$R-1C09]* #,##0.00_-;\-[$R-1C09]* #,##0.00_-;_-[$R-1C09]* &quot;-&quot;??_-;_-@_-"/>
    <numFmt numFmtId="167" formatCode="_-[$$-409]* #,##0.00_ ;_-[$$-409]* \-#,##0.00\ ;_-[$$-409]* &quot;-&quot;??_ ;_-@_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rgb="FF00206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0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8" fillId="0" borderId="0"/>
    <xf numFmtId="0" fontId="38" fillId="0" borderId="0"/>
    <xf numFmtId="0" fontId="39" fillId="0" borderId="0">
      <alignment vertical="top"/>
    </xf>
    <xf numFmtId="165" fontId="39" fillId="0" borderId="0" applyFont="0" applyFill="0" applyBorder="0" applyAlignment="0" applyProtection="0">
      <alignment vertical="top"/>
    </xf>
  </cellStyleXfs>
  <cellXfs count="235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66" fontId="0" fillId="0" borderId="0" xfId="44" applyNumberFormat="1" applyFont="1" applyFill="1" applyAlignment="1" applyProtection="1">
      <alignment vertical="top"/>
    </xf>
    <xf numFmtId="0" fontId="28" fillId="0" borderId="0" xfId="0" applyFont="1" applyAlignment="1">
      <alignment vertical="top" wrapText="1"/>
    </xf>
    <xf numFmtId="166" fontId="21" fillId="0" borderId="0" xfId="43" applyNumberFormat="1" applyFont="1" applyAlignment="1">
      <alignment horizontal="left"/>
    </xf>
    <xf numFmtId="166" fontId="0" fillId="0" borderId="0" xfId="0" applyNumberFormat="1"/>
    <xf numFmtId="0" fontId="13" fillId="3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42" applyFont="1" applyBorder="1"/>
    <xf numFmtId="0" fontId="26" fillId="0" borderId="0" xfId="0" applyFont="1"/>
    <xf numFmtId="166" fontId="26" fillId="33" borderId="10" xfId="0" applyNumberFormat="1" applyFont="1" applyFill="1" applyBorder="1" applyProtection="1">
      <protection locked="0"/>
    </xf>
    <xf numFmtId="9" fontId="13" fillId="34" borderId="0" xfId="46" applyFont="1" applyFill="1" applyBorder="1" applyAlignment="1" applyProtection="1">
      <alignment horizontal="center" vertical="center" wrapText="1"/>
    </xf>
    <xf numFmtId="0" fontId="13" fillId="34" borderId="1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2" fontId="26" fillId="0" borderId="0" xfId="0" applyNumberFormat="1" applyFont="1" applyAlignment="1">
      <alignment horizontal="center" vertical="center" wrapText="1"/>
    </xf>
    <xf numFmtId="166" fontId="26" fillId="0" borderId="0" xfId="0" applyNumberFormat="1" applyFont="1" applyAlignment="1">
      <alignment vertical="center" wrapText="1"/>
    </xf>
    <xf numFmtId="166" fontId="26" fillId="33" borderId="0" xfId="0" applyNumberFormat="1" applyFont="1" applyFill="1" applyAlignment="1" applyProtection="1">
      <alignment vertical="center" wrapText="1"/>
      <protection locked="0"/>
    </xf>
    <xf numFmtId="9" fontId="26" fillId="33" borderId="0" xfId="46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6" fillId="37" borderId="0" xfId="0" applyFont="1" applyFill="1" applyProtection="1">
      <protection locked="0"/>
    </xf>
    <xf numFmtId="0" fontId="27" fillId="0" borderId="0" xfId="0" applyFont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26" fillId="33" borderId="17" xfId="0" applyNumberFormat="1" applyFont="1" applyFill="1" applyBorder="1" applyProtection="1">
      <protection locked="0"/>
    </xf>
    <xf numFmtId="166" fontId="26" fillId="33" borderId="18" xfId="0" applyNumberFormat="1" applyFont="1" applyFill="1" applyBorder="1" applyProtection="1">
      <protection locked="0"/>
    </xf>
    <xf numFmtId="0" fontId="30" fillId="36" borderId="19" xfId="0" applyFont="1" applyFill="1" applyBorder="1" applyAlignment="1">
      <alignment horizontal="center" vertical="center" wrapText="1"/>
    </xf>
    <xf numFmtId="0" fontId="30" fillId="36" borderId="12" xfId="0" applyFont="1" applyFill="1" applyBorder="1" applyAlignment="1">
      <alignment horizontal="center" vertical="center" wrapText="1"/>
    </xf>
    <xf numFmtId="0" fontId="30" fillId="36" borderId="20" xfId="0" applyFont="1" applyFill="1" applyBorder="1" applyAlignment="1">
      <alignment horizontal="center" vertical="center" wrapText="1"/>
    </xf>
    <xf numFmtId="3" fontId="32" fillId="33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25" xfId="0" applyBorder="1"/>
    <xf numFmtId="0" fontId="18" fillId="0" borderId="25" xfId="0" applyFont="1" applyBorder="1" applyAlignment="1">
      <alignment horizontal="center" vertical="top" wrapText="1"/>
    </xf>
    <xf numFmtId="0" fontId="13" fillId="34" borderId="25" xfId="0" applyFont="1" applyFill="1" applyBorder="1" applyAlignment="1">
      <alignment horizontal="center" vertical="center"/>
    </xf>
    <xf numFmtId="0" fontId="13" fillId="34" borderId="26" xfId="0" applyFont="1" applyFill="1" applyBorder="1" applyAlignment="1">
      <alignment horizontal="center" vertical="center" wrapText="1"/>
    </xf>
    <xf numFmtId="164" fontId="0" fillId="0" borderId="26" xfId="42" applyFont="1" applyFill="1" applyBorder="1" applyAlignment="1">
      <alignment horizontal="right" vertical="top"/>
    </xf>
    <xf numFmtId="0" fontId="0" fillId="0" borderId="27" xfId="0" applyBorder="1"/>
    <xf numFmtId="164" fontId="0" fillId="0" borderId="28" xfId="0" applyNumberFormat="1" applyBorder="1"/>
    <xf numFmtId="164" fontId="0" fillId="0" borderId="29" xfId="0" applyNumberFormat="1" applyBorder="1"/>
    <xf numFmtId="0" fontId="27" fillId="0" borderId="0" xfId="0" applyFont="1" applyAlignment="1">
      <alignment horizontal="left" vertical="top" wrapText="1"/>
    </xf>
    <xf numFmtId="0" fontId="21" fillId="0" borderId="0" xfId="43" applyFont="1" applyAlignment="1">
      <alignment horizontal="left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3" fillId="33" borderId="0" xfId="0" applyFont="1" applyFill="1" applyAlignment="1" applyProtection="1">
      <alignment horizontal="center" vertical="center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8" fillId="0" borderId="0" xfId="0" applyFont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0" fillId="0" borderId="28" xfId="0" applyBorder="1"/>
    <xf numFmtId="0" fontId="0" fillId="0" borderId="29" xfId="0" applyBorder="1"/>
    <xf numFmtId="0" fontId="21" fillId="0" borderId="0" xfId="43" applyFont="1"/>
    <xf numFmtId="0" fontId="29" fillId="0" borderId="0" xfId="43" applyFont="1" applyAlignment="1">
      <alignment horizontal="lef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top"/>
    </xf>
    <xf numFmtId="0" fontId="0" fillId="0" borderId="0" xfId="44" applyNumberFormat="1" applyFont="1" applyFill="1" applyAlignment="1" applyProtection="1">
      <alignment horizontal="center" vertical="center"/>
    </xf>
    <xf numFmtId="0" fontId="13" fillId="34" borderId="34" xfId="0" applyFont="1" applyFill="1" applyBorder="1" applyAlignment="1">
      <alignment horizontal="center" vertical="center"/>
    </xf>
    <xf numFmtId="0" fontId="13" fillId="34" borderId="35" xfId="0" applyFont="1" applyFill="1" applyBorder="1" applyAlignment="1">
      <alignment horizontal="center" vertical="center" wrapText="1"/>
    </xf>
    <xf numFmtId="0" fontId="13" fillId="34" borderId="35" xfId="0" applyFont="1" applyFill="1" applyBorder="1" applyAlignment="1">
      <alignment horizontal="center" vertical="top" wrapText="1"/>
    </xf>
    <xf numFmtId="0" fontId="13" fillId="34" borderId="34" xfId="0" applyFont="1" applyFill="1" applyBorder="1" applyAlignment="1">
      <alignment horizontal="center" vertical="center" wrapText="1"/>
    </xf>
    <xf numFmtId="2" fontId="13" fillId="34" borderId="12" xfId="0" applyNumberFormat="1" applyFont="1" applyFill="1" applyBorder="1" applyAlignment="1">
      <alignment horizontal="center" vertical="center" wrapText="1"/>
    </xf>
    <xf numFmtId="166" fontId="13" fillId="34" borderId="36" xfId="42" applyNumberFormat="1" applyFont="1" applyFill="1" applyBorder="1" applyAlignment="1" applyProtection="1">
      <alignment horizontal="center" vertical="center" wrapText="1"/>
    </xf>
    <xf numFmtId="0" fontId="13" fillId="34" borderId="12" xfId="0" applyFont="1" applyFill="1" applyBorder="1" applyAlignment="1">
      <alignment horizontal="center" vertical="center" wrapText="1"/>
    </xf>
    <xf numFmtId="167" fontId="0" fillId="33" borderId="0" xfId="0" applyNumberFormat="1" applyFill="1" applyProtection="1">
      <protection locked="0"/>
    </xf>
    <xf numFmtId="2" fontId="0" fillId="0" borderId="0" xfId="42" applyNumberFormat="1" applyFont="1" applyFill="1" applyBorder="1" applyAlignment="1" applyProtection="1">
      <alignment horizontal="center"/>
    </xf>
    <xf numFmtId="164" fontId="0" fillId="0" borderId="0" xfId="42" applyFont="1" applyFill="1" applyBorder="1" applyProtection="1"/>
    <xf numFmtId="0" fontId="0" fillId="33" borderId="0" xfId="0" applyFill="1" applyProtection="1">
      <protection locked="0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43" fillId="0" borderId="0" xfId="43" applyFont="1" applyAlignment="1">
      <alignment horizontal="center"/>
    </xf>
    <xf numFmtId="0" fontId="1" fillId="0" borderId="0" xfId="44" applyNumberFormat="1" applyFont="1" applyFill="1" applyAlignment="1" applyProtection="1">
      <alignment horizontal="center" vertical="center"/>
    </xf>
    <xf numFmtId="166" fontId="1" fillId="0" borderId="0" xfId="44" applyNumberFormat="1" applyFont="1" applyFill="1" applyAlignment="1" applyProtection="1">
      <alignment horizontal="center" vertical="top"/>
    </xf>
    <xf numFmtId="167" fontId="44" fillId="0" borderId="0" xfId="43" applyNumberFormat="1" applyFont="1" applyAlignment="1">
      <alignment horizontal="center"/>
    </xf>
    <xf numFmtId="0" fontId="44" fillId="0" borderId="0" xfId="43" applyFont="1" applyAlignment="1">
      <alignment horizontal="center"/>
    </xf>
    <xf numFmtId="166" fontId="44" fillId="0" borderId="0" xfId="43" applyNumberFormat="1" applyFont="1" applyAlignment="1">
      <alignment horizontal="center"/>
    </xf>
    <xf numFmtId="164" fontId="44" fillId="0" borderId="0" xfId="42" applyFont="1" applyFill="1" applyAlignment="1" applyProtection="1">
      <alignment horizontal="center"/>
    </xf>
    <xf numFmtId="166" fontId="1" fillId="0" borderId="0" xfId="44" applyNumberFormat="1" applyFont="1" applyFill="1" applyAlignment="1" applyProtection="1">
      <alignment horizontal="center" vertical="center"/>
    </xf>
    <xf numFmtId="164" fontId="1" fillId="0" borderId="0" xfId="42" applyFont="1" applyFill="1" applyAlignment="1" applyProtection="1">
      <alignment horizontal="center" vertical="top"/>
    </xf>
    <xf numFmtId="0" fontId="13" fillId="34" borderId="0" xfId="0" applyFont="1" applyFill="1" applyAlignment="1">
      <alignment horizontal="center" vertical="center"/>
    </xf>
    <xf numFmtId="0" fontId="13" fillId="34" borderId="0" xfId="0" applyFont="1" applyFill="1"/>
    <xf numFmtId="166" fontId="13" fillId="34" borderId="0" xfId="0" applyNumberFormat="1" applyFont="1" applyFill="1" applyAlignment="1">
      <alignment horizontal="center" vertical="center" wrapText="1"/>
    </xf>
    <xf numFmtId="164" fontId="0" fillId="33" borderId="0" xfId="42" applyFont="1" applyFill="1" applyProtection="1">
      <protection locked="0"/>
    </xf>
    <xf numFmtId="0" fontId="0" fillId="33" borderId="0" xfId="0" applyFill="1"/>
    <xf numFmtId="0" fontId="42" fillId="33" borderId="0" xfId="0" applyFont="1" applyFill="1"/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42" applyFont="1" applyAlignment="1" applyProtection="1">
      <alignment horizontal="center"/>
    </xf>
    <xf numFmtId="0" fontId="45" fillId="0" borderId="0" xfId="0" applyFont="1"/>
    <xf numFmtId="0" fontId="46" fillId="0" borderId="0" xfId="0" applyFont="1"/>
    <xf numFmtId="164" fontId="46" fillId="0" borderId="0" xfId="0" applyNumberFormat="1" applyFont="1"/>
    <xf numFmtId="0" fontId="4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8" fillId="33" borderId="0" xfId="0" applyFont="1" applyFill="1" applyAlignment="1" applyProtection="1">
      <alignment horizontal="center" vertical="center" wrapText="1"/>
      <protection locked="0"/>
    </xf>
    <xf numFmtId="166" fontId="26" fillId="0" borderId="0" xfId="0" applyNumberFormat="1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center" vertical="center" wrapText="1"/>
    </xf>
    <xf numFmtId="0" fontId="26" fillId="33" borderId="0" xfId="0" applyFont="1" applyFill="1" applyAlignment="1" applyProtection="1">
      <alignment horizontal="center" vertical="center" wrapText="1"/>
      <protection locked="0"/>
    </xf>
    <xf numFmtId="0" fontId="33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 shrinkToFit="1"/>
    </xf>
    <xf numFmtId="0" fontId="26" fillId="33" borderId="0" xfId="0" applyFont="1" applyFill="1" applyAlignment="1" applyProtection="1">
      <alignment horizontal="center" vertical="center" wrapText="1" shrinkToFit="1"/>
      <protection locked="0"/>
    </xf>
    <xf numFmtId="166" fontId="27" fillId="0" borderId="0" xfId="0" applyNumberFormat="1" applyFont="1" applyAlignment="1">
      <alignment horizontal="left" vertical="center" wrapText="1"/>
    </xf>
    <xf numFmtId="9" fontId="26" fillId="33" borderId="0" xfId="0" applyNumberFormat="1" applyFont="1" applyFill="1" applyAlignment="1" applyProtection="1">
      <alignment horizontal="center" vertical="center" wrapText="1"/>
      <protection locked="0"/>
    </xf>
    <xf numFmtId="166" fontId="20" fillId="35" borderId="0" xfId="0" applyNumberFormat="1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164" fontId="22" fillId="0" borderId="0" xfId="42" applyFont="1" applyFill="1" applyAlignment="1" applyProtection="1">
      <alignment horizontal="left" vertical="center" wrapText="1"/>
    </xf>
    <xf numFmtId="166" fontId="22" fillId="0" borderId="0" xfId="42" applyNumberFormat="1" applyFont="1" applyFill="1" applyBorder="1" applyAlignment="1" applyProtection="1">
      <alignment horizontal="left" vertical="center" wrapText="1"/>
    </xf>
    <xf numFmtId="166" fontId="26" fillId="0" borderId="0" xfId="42" applyNumberFormat="1" applyFont="1" applyFill="1" applyBorder="1" applyAlignment="1" applyProtection="1">
      <alignment vertical="center"/>
    </xf>
    <xf numFmtId="0" fontId="22" fillId="0" borderId="0" xfId="0" applyFont="1" applyAlignment="1">
      <alignment horizontal="left" vertical="center" wrapText="1"/>
    </xf>
    <xf numFmtId="166" fontId="26" fillId="33" borderId="0" xfId="42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38" xfId="0" applyFont="1" applyFill="1" applyBorder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0" fontId="24" fillId="34" borderId="3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0" fillId="0" borderId="36" xfId="0" applyFont="1" applyBorder="1" applyAlignment="1">
      <alignment horizontal="center" vertical="top" wrapText="1"/>
    </xf>
    <xf numFmtId="167" fontId="13" fillId="34" borderId="0" xfId="0" applyNumberFormat="1" applyFont="1" applyFill="1" applyAlignment="1">
      <alignment horizontal="center" vertical="center" wrapText="1"/>
    </xf>
    <xf numFmtId="166" fontId="0" fillId="33" borderId="0" xfId="0" applyNumberFormat="1" applyFill="1" applyProtection="1">
      <protection locked="0"/>
    </xf>
    <xf numFmtId="0" fontId="14" fillId="0" borderId="0" xfId="0" applyFont="1"/>
    <xf numFmtId="167" fontId="0" fillId="0" borderId="0" xfId="0" applyNumberFormat="1" applyProtection="1">
      <protection locked="0"/>
    </xf>
    <xf numFmtId="0" fontId="42" fillId="33" borderId="0" xfId="0" applyFont="1" applyFill="1" applyProtection="1">
      <protection locked="0"/>
    </xf>
    <xf numFmtId="0" fontId="41" fillId="0" borderId="0" xfId="0" applyFont="1"/>
    <xf numFmtId="0" fontId="34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166" fontId="26" fillId="33" borderId="14" xfId="0" applyNumberFormat="1" applyFont="1" applyFill="1" applyBorder="1" applyProtection="1">
      <protection locked="0"/>
    </xf>
    <xf numFmtId="166" fontId="26" fillId="33" borderId="15" xfId="0" applyNumberFormat="1" applyFont="1" applyFill="1" applyBorder="1" applyProtection="1">
      <protection locked="0"/>
    </xf>
    <xf numFmtId="166" fontId="26" fillId="33" borderId="16" xfId="0" applyNumberFormat="1" applyFont="1" applyFill="1" applyBorder="1" applyProtection="1">
      <protection locked="0"/>
    </xf>
    <xf numFmtId="164" fontId="13" fillId="34" borderId="0" xfId="42" applyFont="1" applyFill="1" applyAlignment="1">
      <alignment horizontal="center" vertical="center" wrapText="1"/>
    </xf>
    <xf numFmtId="164" fontId="0" fillId="33" borderId="0" xfId="42" applyFont="1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26" fillId="0" borderId="14" xfId="0" applyFont="1" applyBorder="1" applyAlignment="1">
      <alignment wrapText="1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wrapText="1"/>
    </xf>
    <xf numFmtId="0" fontId="26" fillId="0" borderId="18" xfId="0" applyFont="1" applyBorder="1" applyAlignment="1">
      <alignment horizontal="center" vertical="center"/>
    </xf>
    <xf numFmtId="0" fontId="26" fillId="0" borderId="39" xfId="0" applyFont="1" applyBorder="1" applyAlignment="1">
      <alignment wrapText="1"/>
    </xf>
    <xf numFmtId="167" fontId="26" fillId="33" borderId="0" xfId="0" applyNumberFormat="1" applyFont="1" applyFill="1" applyAlignment="1" applyProtection="1">
      <alignment vertical="center" wrapText="1"/>
      <protection locked="0"/>
    </xf>
    <xf numFmtId="167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167" fontId="0" fillId="0" borderId="28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36" fillId="0" borderId="22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left" vertical="top" wrapText="1"/>
    </xf>
    <xf numFmtId="0" fontId="21" fillId="0" borderId="32" xfId="0" applyFont="1" applyBorder="1" applyAlignment="1">
      <alignment horizontal="left" vertical="top" wrapText="1"/>
    </xf>
    <xf numFmtId="0" fontId="21" fillId="0" borderId="33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0" fontId="28" fillId="0" borderId="24" xfId="0" applyFont="1" applyBorder="1" applyAlignment="1">
      <alignment horizontal="center" vertical="top" wrapText="1"/>
    </xf>
    <xf numFmtId="0" fontId="28" fillId="0" borderId="25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8" fillId="0" borderId="26" xfId="0" applyFont="1" applyBorder="1" applyAlignment="1">
      <alignment horizontal="center" vertical="top" wrapText="1"/>
    </xf>
    <xf numFmtId="0" fontId="28" fillId="0" borderId="27" xfId="0" applyFont="1" applyBorder="1" applyAlignment="1">
      <alignment horizontal="center" vertical="top" wrapText="1"/>
    </xf>
    <xf numFmtId="0" fontId="28" fillId="0" borderId="28" xfId="0" applyFont="1" applyBorder="1" applyAlignment="1">
      <alignment horizontal="center" vertical="top" wrapText="1"/>
    </xf>
    <xf numFmtId="0" fontId="28" fillId="0" borderId="29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1" fillId="0" borderId="0" xfId="43" applyFont="1" applyAlignment="1">
      <alignment horizontal="left"/>
    </xf>
    <xf numFmtId="0" fontId="23" fillId="0" borderId="11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0" fontId="29" fillId="0" borderId="0" xfId="43" applyFont="1" applyAlignment="1">
      <alignment horizontal="left"/>
    </xf>
    <xf numFmtId="0" fontId="21" fillId="0" borderId="3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6" fillId="38" borderId="14" xfId="0" applyFont="1" applyFill="1" applyBorder="1" applyAlignment="1">
      <alignment horizontal="center"/>
    </xf>
    <xf numFmtId="0" fontId="26" fillId="38" borderId="15" xfId="0" applyFont="1" applyFill="1" applyBorder="1" applyAlignment="1">
      <alignment horizontal="center"/>
    </xf>
    <xf numFmtId="0" fontId="26" fillId="38" borderId="16" xfId="0" applyFont="1" applyFill="1" applyBorder="1" applyAlignment="1">
      <alignment horizontal="center"/>
    </xf>
    <xf numFmtId="0" fontId="26" fillId="39" borderId="14" xfId="0" applyFont="1" applyFill="1" applyBorder="1" applyAlignment="1">
      <alignment horizontal="center"/>
    </xf>
    <xf numFmtId="0" fontId="26" fillId="39" borderId="15" xfId="0" applyFont="1" applyFill="1" applyBorder="1" applyAlignment="1">
      <alignment horizontal="center"/>
    </xf>
    <xf numFmtId="0" fontId="26" fillId="39" borderId="16" xfId="0" applyFont="1" applyFill="1" applyBorder="1" applyAlignment="1">
      <alignment horizontal="center"/>
    </xf>
    <xf numFmtId="0" fontId="26" fillId="40" borderId="14" xfId="0" applyFont="1" applyFill="1" applyBorder="1" applyAlignment="1">
      <alignment horizontal="center"/>
    </xf>
    <xf numFmtId="0" fontId="26" fillId="40" borderId="15" xfId="0" applyFont="1" applyFill="1" applyBorder="1" applyAlignment="1">
      <alignment horizontal="center"/>
    </xf>
    <xf numFmtId="0" fontId="26" fillId="40" borderId="16" xfId="0" applyFont="1" applyFill="1" applyBorder="1" applyAlignment="1">
      <alignment horizontal="center"/>
    </xf>
    <xf numFmtId="0" fontId="26" fillId="41" borderId="14" xfId="0" applyFont="1" applyFill="1" applyBorder="1" applyAlignment="1">
      <alignment horizontal="center"/>
    </xf>
    <xf numFmtId="0" fontId="26" fillId="41" borderId="15" xfId="0" applyFont="1" applyFill="1" applyBorder="1" applyAlignment="1">
      <alignment horizontal="center"/>
    </xf>
    <xf numFmtId="0" fontId="26" fillId="41" borderId="16" xfId="0" applyFont="1" applyFill="1" applyBorder="1" applyAlignment="1">
      <alignment horizontal="center"/>
    </xf>
    <xf numFmtId="0" fontId="26" fillId="42" borderId="14" xfId="0" applyFont="1" applyFill="1" applyBorder="1" applyAlignment="1">
      <alignment horizontal="center"/>
    </xf>
    <xf numFmtId="0" fontId="26" fillId="42" borderId="15" xfId="0" applyFont="1" applyFill="1" applyBorder="1" applyAlignment="1">
      <alignment horizontal="center"/>
    </xf>
    <xf numFmtId="0" fontId="26" fillId="42" borderId="16" xfId="0" applyFont="1" applyFill="1" applyBorder="1" applyAlignment="1">
      <alignment horizontal="center"/>
    </xf>
    <xf numFmtId="166" fontId="27" fillId="0" borderId="0" xfId="0" applyNumberFormat="1" applyFont="1" applyAlignment="1">
      <alignment horizontal="center" vertical="top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4" xr:uid="{00000000-0005-0000-0000-00001C000000}"/>
    <cellStyle name="Currency 3" xfId="48" xr:uid="{00000000-0005-0000-0000-00001D000000}"/>
    <cellStyle name="Currency 4" xfId="52" xr:uid="{00000000-0005-0000-0000-00001E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1" xfId="50" xr:uid="{00000000-0005-0000-0000-000029000000}"/>
    <cellStyle name="Normal 2" xfId="43" xr:uid="{00000000-0005-0000-0000-00002A000000}"/>
    <cellStyle name="Normal 3" xfId="49" xr:uid="{00000000-0005-0000-0000-00002B000000}"/>
    <cellStyle name="Normal 4" xfId="45" xr:uid="{00000000-0005-0000-0000-00002C000000}"/>
    <cellStyle name="Normal 5" xfId="51" xr:uid="{00000000-0005-0000-0000-00002D000000}"/>
    <cellStyle name="Note" xfId="15" builtinId="10" customBuiltin="1"/>
    <cellStyle name="Output" xfId="10" builtinId="21" customBuiltin="1"/>
    <cellStyle name="Percent" xfId="46" builtinId="5"/>
    <cellStyle name="Percent 2" xfId="47" xr:uid="{00000000-0005-0000-0000-000031000000}"/>
    <cellStyle name="Title" xfId="1" builtinId="15" customBuiltin="1"/>
    <cellStyle name="Total" xfId="17" builtinId="25" customBuiltin="1"/>
    <cellStyle name="Warning Text" xfId="14" builtinId="11" customBuiltin="1"/>
  </cellStyles>
  <dxfs count="5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sz val="10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numFmt numFmtId="168" formatCode="_-[$R-1C09]* #\,##0.00_-;\-[$R-1C09]* #\,##0.00_-;_-[$R-1C09]* &quot;-&quot;??_-;_-@_-"/>
      <protection locked="1" hidden="0"/>
    </dxf>
    <dxf>
      <numFmt numFmtId="168" formatCode="_-[$R-1C09]* #\,##0.00_-;\-[$R-1C09]* #\,##0.00_-;_-[$R-1C09]* &quot;-&quot;??_-;_-@_-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protection locked="0" hidden="0"/>
    </dxf>
    <dxf>
      <numFmt numFmtId="167" formatCode="_-[$$-409]* #,##0.00_ ;_-[$$-409]* \-#,##0.00\ ;_-[$$-409]* &quot;-&quot;??_ ;_-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rgb="FF92D050"/>
        </patternFill>
      </fill>
      <protection locked="0" hidden="0"/>
    </dxf>
    <dxf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strike val="0"/>
        <outline val="0"/>
        <shadow val="0"/>
        <u val="none"/>
        <vertAlign val="baseline"/>
        <color theme="1"/>
      </font>
      <numFmt numFmtId="164" formatCode="_-&quot;R&quot;* #,##0.00_-;\-&quot;R&quot;* #,##0.00_-;_-&quot;R&quot;* &quot;-&quot;??_-;_-@_-"/>
      <fill>
        <patternFill patternType="none">
          <fgColor indexed="64"/>
          <bgColor auto="1"/>
        </patternFill>
      </fill>
      <protection locked="1" hidden="0"/>
    </dxf>
    <dxf>
      <numFmt numFmtId="164" formatCode="_-&quot;R&quot;* #,##0.00_-;\-&quot;R&quot;* #,##0.00_-;_-&quot;R&quot;* &quot;-&quot;??_-;_-@_-"/>
    </dxf>
    <dxf>
      <font>
        <strike val="0"/>
        <outline val="0"/>
        <shadow val="0"/>
        <u val="none"/>
        <vertAlign val="baseline"/>
        <color theme="1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color theme="1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color theme="1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color theme="1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color theme="1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protection locked="1" hidden="0"/>
    </dxf>
    <dxf>
      <border outline="0">
        <right style="thin">
          <color indexed="64"/>
        </right>
        <bottom style="thin">
          <color indexed="64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sz val="10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92D05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</font>
      <fill>
        <patternFill patternType="solid">
          <fgColor rgb="FF000000"/>
          <bgColor rgb="FF000000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rgb="FF000000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sz val="10"/>
        <color auto="1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</font>
      <fill>
        <patternFill patternType="none">
          <bgColor auto="1"/>
        </patternFill>
      </fill>
      <alignment horizontal="center" vertical="center" textRotation="0" wrapText="1" indent="0" justifyLastLine="0" readingOrder="0"/>
      <protection locked="1" hidden="0"/>
    </dxf>
    <dxf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vertical="center" textRotation="0" wrapText="1" indent="0" justifyLastLine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left" vertical="center" textRotation="0" wrapText="1" indent="0" justifyLastLine="0" shrinkToFit="0" readingOrder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wrapText="1" indent="0" justifyLastLine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164" formatCode="_-&quot;R&quot;* #,##0.00_-;\-&quot;R&quot;* #,##0.00_-;_-&quot;R&quot;* &quot;-&quot;??_-;_-@_-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164" formatCode="_-&quot;R&quot;* #,##0.00_-;\-&quot;R&quot;* #,##0.00_-;_-&quot;R&quot;* &quot;-&quot;??_-;_-@_-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numFmt numFmtId="164" formatCode="_-&quot;R&quot;* #,##0.00_-;\-&quot;R&quot;* #,##0.00_-;_-&quot;R&quot;* &quot;-&quot;??_-;_-@_-"/>
    </dxf>
    <dxf>
      <numFmt numFmtId="164" formatCode="_-&quot;R&quot;* #,##0.00_-;\-&quot;R&quot;* #,##0.00_-;_-&quot;R&quot;* &quot;-&quot;??_-;_-@_-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R&quot;* #,##0.00_-;\-&quot;R&quot;* #,##0.00_-;_-&quot;R&quot;* &quot;-&quot;??_-;_-@_-"/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numFmt numFmtId="16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</dxfs>
  <tableStyles count="0" defaultTableStyle="TableStyleMedium2" defaultPivotStyle="PivotStyleLight16"/>
  <colors>
    <mruColors>
      <color rgb="FFB889DB"/>
      <color rgb="FFCC66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uthkeyits-my.sharepoint.com/personal/werick_southkey_co_za/Documents/Profile/Desktop/AC/latest%20tender%20pack/Compute/TENDER%20PACK/Annexure%20C%20-%20Compute%20Pricing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ricing Summary"/>
      <sheetName val="RESOURCES"/>
      <sheetName val="Supply Summary"/>
      <sheetName val="Supply Pricing - OP1"/>
      <sheetName val="Supply Pricing - OP2"/>
      <sheetName val="SLA Maintenance - OP1-2"/>
      <sheetName val="HW Maint-Blade Servers - OP1-2"/>
      <sheetName val="Software Maint - OP1-2"/>
      <sheetName val="HW Maint-Rack Server - OP1-2"/>
      <sheetName val="HW Maint-IBM - OP1-2"/>
      <sheetName val="Annexure C - Compute Pricing W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e13" displayName="Table13" ref="B7:I16" totalsRowCount="1">
  <autoFilter ref="B7:I15" xr:uid="{00000000-0009-0000-0100-00000D000000}"/>
  <tableColumns count="8">
    <tableColumn id="1" xr3:uid="{00000000-0010-0000-0000-000001000000}" name="Area" totalsRowLabel="Total" dataDxfId="513" totalsRowDxfId="514"/>
    <tableColumn id="2" xr3:uid="{00000000-0010-0000-0000-000002000000}" name="Total Excluding VAT Y1" totalsRowDxfId="512" dataCellStyle="Currency"/>
    <tableColumn id="5" xr3:uid="{C2D28502-E7DB-4E2F-85B5-944E7E8BF70C}" name="Total Excluding VAT Y2" dataDxfId="510" totalsRowDxfId="511" dataCellStyle="Currency">
      <calculatedColumnFormula array="1">#REF!</calculatedColumnFormula>
    </tableColumn>
    <tableColumn id="4" xr3:uid="{493AE168-D98D-4C22-98EA-25411D21CE29}" name="Total Excluding VAT Y3" dataDxfId="508" totalsRowDxfId="509" dataCellStyle="Currency">
      <calculatedColumnFormula array="1">#REF!</calculatedColumnFormula>
    </tableColumn>
    <tableColumn id="6" xr3:uid="{EB415728-1896-4C87-A673-0552D42009BC}" name="Total Excluding VAT Y4" dataDxfId="506" totalsRowDxfId="507" dataCellStyle="Currency"/>
    <tableColumn id="7" xr3:uid="{12C6391F-1295-4451-8E8B-C2E6B1C76D70}" name="Total Excluding VAT Y5" dataDxfId="504" totalsRowDxfId="505" dataCellStyle="Currency"/>
    <tableColumn id="8" xr3:uid="{1495D059-0960-4289-8BBA-5EFB2ABEE362}" name="Total Excluding VAT" totalsRowFunction="sum" dataDxfId="502" totalsRowDxfId="503" dataCellStyle="Currency">
      <calculatedColumnFormula>SUM(Table13[[#This Row],[Total Excluding VAT Y1]:[Total Excluding VAT Y5]])</calculatedColumnFormula>
    </tableColumn>
    <tableColumn id="3" xr3:uid="{00000000-0010-0000-0000-000003000000}" name="Total Including VAT" totalsRowFunction="sum" dataDxfId="500" totalsRowDxfId="501" dataCellStyle="Currency">
      <calculatedColumnFormula>Table13[[#This Row],[Total Excluding VAT]]*1.15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5479B51-6E87-4006-9400-ED124BA12551}" name="T_MAIN_DC192021" displayName="T_MAIN_DC192021" ref="A12:AC76" totalsRowCount="1" headerRowDxfId="174" dataDxfId="173" totalsRowDxfId="172">
  <autoFilter ref="A12:AC75" xr:uid="{A27DCF49-7642-47A8-81B0-519E0D94E91E}"/>
  <tableColumns count="29">
    <tableColumn id="1" xr3:uid="{517F10F0-B399-43D5-8710-FC8D614D1431}" name="Location" totalsRowLabel="Total" dataDxfId="171"/>
    <tableColumn id="2" xr3:uid="{F1B1F37A-8972-4EA6-8DC2-5AD7AB0ADA94}" name="Device Name" dataDxfId="170"/>
    <tableColumn id="3" xr3:uid="{136A61FF-4550-4143-8D8D-1E44D5032F02}" name="Chassis Serial_x000a_Number" dataDxfId="168" totalsRowDxfId="169"/>
    <tableColumn id="4" xr3:uid="{8B2579A0-9882-4A02-9274-509FAD56E7C7}" name="Chassis_x000a_ Model Name" dataDxfId="166" totalsRowDxfId="167"/>
    <tableColumn id="12" xr3:uid="{0B395E5B-648F-4BC8-808D-462C1482E065}" name="(A)_x000a_Qty  - Y1" dataDxfId="164" totalsRowDxfId="165"/>
    <tableColumn id="16" xr3:uid="{F535D174-EF93-43B5-BF3D-ADBD10329722}" name="(B)_x000a_Qty  - Y2" dataDxfId="162" totalsRowDxfId="163"/>
    <tableColumn id="17" xr3:uid="{5DD7F024-297E-4AEE-B358-55B57551F00B}" name="(C)_x000a_Qty  - Y3" dataDxfId="160" totalsRowDxfId="161"/>
    <tableColumn id="18" xr3:uid="{A3B5C186-4509-4AE0-95D1-DE95CC4E430B}" name="(D)_x000a_Qty  - Y4" dataDxfId="158" totalsRowDxfId="159"/>
    <tableColumn id="19" xr3:uid="{A03CCF1A-E8D3-430D-8C7D-5B9D0135C695}" name="(E)_x000a_Qty  - Y5" dataDxfId="156" totalsRowDxfId="157"/>
    <tableColumn id="33" xr3:uid="{D03C3FA4-96B1-4768-958C-86B56E8F02F1}" name="(H)_x000a_Required Service Level for Preventative mantenance" dataDxfId="155"/>
    <tableColumn id="27" xr3:uid="{B273086E-B1F8-4554-BED4-0DAC744B41E2}" name="(I)_x000a_Required Service Level for OEM Backed Hardware Maintenance" dataDxfId="154"/>
    <tableColumn id="8" xr3:uid="{9DB22FAE-5BBC-424E-82F2-C964FF5614BB}" name="(J)_x000a_USD PRICE_x000a_Annual Partner Support Service (1 Year)_x000a_Chassis Plus Modules_x000a_- according to HW service level (I)_x000a_Y1" dataDxfId="152" totalsRowDxfId="153"/>
    <tableColumn id="20" xr3:uid="{38DA13E1-0C94-4A75-A1E1-57D5044DACE6}" name="(K)_x000a_USD PRICE_x000a_Annual Partner Support Service (1 Year)_x000a_Chassis Plus Modules_x000a_- according to HW service level (I)_x000a_Y2" dataDxfId="150" totalsRowDxfId="151"/>
    <tableColumn id="21" xr3:uid="{4022789C-291B-48BE-AF5A-E259A78E2623}" name="(L)_x000a_USD PRICE_x000a_Annual Partner Support Service (1 Year)_x000a_Chassis Plus Modules_x000a_- according to HW service level (I)_x000a_Y3" dataDxfId="148" totalsRowDxfId="149"/>
    <tableColumn id="22" xr3:uid="{AACA159E-79D8-44E2-8C26-4EC35492E98E}" name="(M)_x000a_USD PRICE_x000a_Annual Partner Support Service (1 Year)_x000a_Chassis Plus Modules_x000a_- according to HW service level (I)_x000a_Y4" dataDxfId="146" totalsRowDxfId="147"/>
    <tableColumn id="23" xr3:uid="{A802BBB0-F236-4C44-AF6B-4051BB6C707B}" name="(N)_x000a_USD PRICE_x000a_Annual Partner Support Service (1 Year)_x000a_Chassis Plus Modules_x000a_- according to HW service level (I)_x000a_Y5" dataDxfId="144" totalsRowDxfId="145"/>
    <tableColumn id="13" xr3:uid="{84A5ABAD-7C75-4AD0-B4BE-DB21A36B2154}" name="(Q)_x000a_Exchange Rate" dataDxfId="142" totalsRowDxfId="143">
      <calculatedColumnFormula>Exchange_Rate</calculatedColumnFormula>
    </tableColumn>
    <tableColumn id="9" xr3:uid="{3662D9F4-3A21-4FF1-B237-7B3E405C1472}" name="(R)_x000a_Monthly Maintenance according to Service  Level (H) - Y1" dataDxfId="140" totalsRowDxfId="141"/>
    <tableColumn id="10" xr3:uid="{1A496D5E-2475-4168-B5C3-1AF3936FA858}" name="(S)_x000a_Monthly Maintenance according to Service  Level (H) - Y2" dataDxfId="138" totalsRowDxfId="139"/>
    <tableColumn id="24" xr3:uid="{C8DA72DF-917B-4240-BE5C-788FF6D37972}" name="(T)_x000a_Monthly Maintenance according to Service  Level (H) - Y3" dataDxfId="136" totalsRowDxfId="137"/>
    <tableColumn id="25" xr3:uid="{F0081AB0-6FD0-45CB-A5A2-4E2DE975E266}" name="(U)_x000a_Monthly Maintenance according to Service  Level (H) - Y4" dataDxfId="134" totalsRowDxfId="135"/>
    <tableColumn id="26" xr3:uid="{22A5DCB5-576A-44FA-AC82-45ACABE74AE3}" name="(V)_x000a_Monthly Maintenance according to Service  Level (H) - Y5" dataDxfId="132" totalsRowDxfId="133"/>
    <tableColumn id="14" xr3:uid="{C68F01F7-7839-4784-85EB-78FEA9108C86}" name="(Y)_x000a_TOTAL Excluding VAT - Y1_x000a_((A*J)*Q)+((A*R)*12))" totalsRowFunction="sum" dataDxfId="130" totalsRowDxfId="131">
      <calculatedColumnFormula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calculatedColumnFormula>
    </tableColumn>
    <tableColumn id="37" xr3:uid="{75287607-B952-443F-8F24-DAFAD9138C02}" name="(Z)_x000a_TOTAL Excluding VAT - Y2_x000a_((B*K)*Q)+((B*S)*12))" totalsRowFunction="sum" dataDxfId="128" totalsRowDxfId="129">
      <calculatedColumnFormula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calculatedColumnFormula>
    </tableColumn>
    <tableColumn id="36" xr3:uid="{0E5B0DD2-47FD-4A22-A124-A736A338CC45}" name="AA)_x000a_TOTAL Excluding VAT - Y3_x000a_((C*L)*Q)+((C*T)*12))" totalsRowFunction="sum" dataDxfId="126" totalsRowDxfId="127">
      <calculatedColumnFormula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calculatedColumnFormula>
    </tableColumn>
    <tableColumn id="35" xr3:uid="{477362C8-A67F-438E-B561-9DDBB65A395B}" name="(AB)_x000a_TOTAL Excluding VAT - Y4_x000a_((D*M)*Q)+((D*U)*12))" totalsRowFunction="sum" dataDxfId="124" totalsRowDxfId="125">
      <calculatedColumnFormula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calculatedColumnFormula>
    </tableColumn>
    <tableColumn id="34" xr3:uid="{3F18062B-0B60-47C3-9B92-C881032F2757}" name="(AC)_x000a_TOTAL Excluding VAT - Y5_x000a_((E*N*Q)+((E*V)*12))" totalsRowFunction="sum" dataDxfId="122" totalsRowDxfId="123">
      <calculatedColumnFormula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calculatedColumnFormula>
    </tableColumn>
    <tableColumn id="15" xr3:uid="{0EA860DD-0393-4DE2-AA0C-0978E85678C2}" name="(AF)_x000a_TOTAL Excluding VAT" totalsRowFunction="sum" dataDxfId="120" totalsRowDxfId="121">
      <calculatedColumnFormula>SUM(T_MAIN_DC192021[[#This Row],[(Y)
TOTAL Excluding VAT - Y1
((A*J)*Q)+((A*R)*12))]:[(AC)
TOTAL Excluding VAT - Y5
((E*N*Q)+((E*V)*12))]])</calculatedColumnFormula>
    </tableColumn>
    <tableColumn id="11" xr3:uid="{83C3BD94-EB0E-4DB3-B906-60C7042B0883}" name="Comments" totalsRowFunction="count" dataDxfId="118" totalsRowDxfId="119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7EB6187-4E15-4C4C-B57C-BC40E6B08838}" name="T_MAIN_DC19202122" displayName="T_MAIN_DC19202122" ref="A12:AC33" totalsRowCount="1" headerRowDxfId="117" dataDxfId="116" totalsRowDxfId="115">
  <autoFilter ref="A12:AC32" xr:uid="{A27DCF49-7642-47A8-81B0-519E0D94E91E}"/>
  <tableColumns count="29">
    <tableColumn id="1" xr3:uid="{3F148438-3053-4013-A196-EE7F5E13B455}" name="Location" totalsRowLabel="Total" dataDxfId="114"/>
    <tableColumn id="2" xr3:uid="{8C155111-8801-4CEF-8B8A-9FD4585F7D55}" name="Device Name" dataDxfId="113"/>
    <tableColumn id="3" xr3:uid="{867F6862-F17C-4BE1-9FE4-FC38A68B47B4}" name="Chassis Serial_x000a_Number" dataDxfId="111" totalsRowDxfId="112"/>
    <tableColumn id="4" xr3:uid="{890C4DE6-82C0-4D15-9BAD-CED9CC74F398}" name="Chassis_x000a_ Model Name" dataDxfId="109" totalsRowDxfId="110"/>
    <tableColumn id="12" xr3:uid="{86206751-379A-4709-BB88-4C8E1AAAE648}" name="(A)_x000a_Qty  - Y1" dataDxfId="107" totalsRowDxfId="108"/>
    <tableColumn id="16" xr3:uid="{D6F0BDDD-62F0-40CD-930C-3761E4E4B6CC}" name="(B)_x000a_Qty  - Y2" dataDxfId="105" totalsRowDxfId="106"/>
    <tableColumn id="17" xr3:uid="{9833B5C7-AAA6-4086-8ED5-7FF8CCBF7A0C}" name="(C)_x000a_Qty  - Y3" dataDxfId="103" totalsRowDxfId="104"/>
    <tableColumn id="18" xr3:uid="{FB544F7D-5368-459D-824D-393F5B1227F6}" name="(D)_x000a_Qty  - Y4" dataDxfId="101" totalsRowDxfId="102"/>
    <tableColumn id="19" xr3:uid="{AD4EA2E8-B273-4691-90C2-3409D2EE0478}" name="(E)_x000a_Qty  - Y5" dataDxfId="99" totalsRowDxfId="100"/>
    <tableColumn id="33" xr3:uid="{ED01BCB7-EB45-4076-9421-E8C8CCF077F7}" name="(H)_x000a_Required Service Level for Preventative mantenance" dataDxfId="98"/>
    <tableColumn id="27" xr3:uid="{1836E46C-F138-4359-A9CC-BA763D7FADF7}" name="(I)_x000a_Required Service Level for OEM Backed Hardware Maintenance" dataDxfId="97"/>
    <tableColumn id="8" xr3:uid="{5605D039-A315-4AE0-BB1C-E10A126EB0C9}" name="(J)_x000a_USD PRICE_x000a_Annual Partner Support Service (1 Year)_x000a_Chassis Plus Modules_x000a_- according to HW service level (I)_x000a_Y1" dataDxfId="95" totalsRowDxfId="96"/>
    <tableColumn id="20" xr3:uid="{A60266A4-7C8B-4F8F-9A89-1D9FDF1D8BA0}" name="(K)_x000a_USD PRICE_x000a_Annual Partner Support Service (1 Year)_x000a_Chassis Plus Modules_x000a_- according to HW service level (I)_x000a_Y2" dataDxfId="93" totalsRowDxfId="94"/>
    <tableColumn id="21" xr3:uid="{F3BD3F2D-741F-456A-BBEC-A24C4BC9EA3A}" name="(L)_x000a_USD PRICE_x000a_Annual Partner Support Service (1 Year)_x000a_Chassis Plus Modules_x000a_- according to HW service level (I)_x000a_Y3" dataDxfId="91" totalsRowDxfId="92"/>
    <tableColumn id="22" xr3:uid="{A8B1B9A6-6F1A-433D-BCA4-51D5227250C3}" name="(M)_x000a_USD PRICE_x000a_Annual Partner Support Service (1 Year)_x000a_Chassis Plus Modules_x000a_- according to HW service level (I)_x000a_Y4" dataDxfId="89" totalsRowDxfId="90"/>
    <tableColumn id="23" xr3:uid="{4D374C37-ABD5-4511-8820-75E23A2BF847}" name="(N)_x000a_USD PRICE_x000a_Annual Partner Support Service (1 Year)_x000a_Chassis Plus Modules_x000a_- according to HW service level (I)_x000a_Y5" dataDxfId="87" totalsRowDxfId="88"/>
    <tableColumn id="13" xr3:uid="{48041F5E-9AB0-425E-8710-AC4A9C5C82B7}" name="(Q)_x000a_Exchange Rate" dataDxfId="85" totalsRowDxfId="86">
      <calculatedColumnFormula>Exchange_Rate</calculatedColumnFormula>
    </tableColumn>
    <tableColumn id="9" xr3:uid="{E519A476-FD19-463E-A780-07DCB9A8E9B3}" name="(R)_x000a_Monthly Maintenance according to Service  Level (H) - Y1" dataDxfId="83" totalsRowDxfId="84"/>
    <tableColumn id="10" xr3:uid="{2D3D9352-FC21-4DBB-B904-DFEC8DCA7D02}" name="(S)_x000a_Monthly Maintenance according to Service  Level (H) - Y2" dataDxfId="81" totalsRowDxfId="82"/>
    <tableColumn id="24" xr3:uid="{882166AA-8D02-47B6-9CB3-44A51C5550C2}" name="(T)_x000a_Monthly Maintenance according to Service  Level (H) - Y3" dataDxfId="79" totalsRowDxfId="80"/>
    <tableColumn id="25" xr3:uid="{B9175965-9144-4A6C-9447-CED8BFA93392}" name="(U)_x000a_Monthly Maintenance according to Service  Level (H) - Y4" dataDxfId="77" totalsRowDxfId="78"/>
    <tableColumn id="26" xr3:uid="{CE8BB26B-D8A7-4A1A-9D36-66FB1CEE4FD8}" name="(V)_x000a_Monthly Maintenance according to Service  Level (H) - Y5" dataDxfId="75" totalsRowDxfId="76"/>
    <tableColumn id="14" xr3:uid="{2F14FE25-53A4-4E87-BB98-242694F49E2A}" name="(Y)_x000a_TOTAL Excluding VAT - Y1_x000a_((A*J)*Q)+((A*R)*12))" totalsRowFunction="sum" dataDxfId="73" totalsRowDxfId="74">
      <calculatedColumnFormula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calculatedColumnFormula>
    </tableColumn>
    <tableColumn id="37" xr3:uid="{505C60EB-5071-4EE3-80C5-C1C2CD5D4CA2}" name="(Z)_x000a_TOTAL Excluding VAT - Y2_x000a_((B*K)*Q)+((B*S)*12))" totalsRowFunction="sum" dataDxfId="71" totalsRowDxfId="72">
      <calculatedColumnFormula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calculatedColumnFormula>
    </tableColumn>
    <tableColumn id="36" xr3:uid="{42C095C7-AB0F-432C-AEA2-6F67A5AC73B1}" name="AA)_x000a_TOTAL Excluding VAT - Y3_x000a_((C*L)*Q)+((C*T)*12))" totalsRowFunction="sum" dataDxfId="69" totalsRowDxfId="70">
      <calculatedColumnFormula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calculatedColumnFormula>
    </tableColumn>
    <tableColumn id="35" xr3:uid="{885F24F7-C622-409F-8169-2130B013D9BA}" name="(AB)_x000a_TOTAL Excluding VAT - Y4_x000a_((D*M)*Q)+((D*U)*12))" totalsRowFunction="sum" dataDxfId="67" totalsRowDxfId="68">
      <calculatedColumnFormula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calculatedColumnFormula>
    </tableColumn>
    <tableColumn id="34" xr3:uid="{583F8DDA-1D6B-4897-BA87-348D2EBAB4F3}" name="(AC)_x000a_TOTAL Excluding VAT - Y5_x000a_((E*N*Q)+((E*V)*12))" totalsRowFunction="sum" dataDxfId="65" totalsRowDxfId="66">
      <calculatedColumnFormula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calculatedColumnFormula>
    </tableColumn>
    <tableColumn id="15" xr3:uid="{5D503120-8ABA-49AA-9E08-54EB92838CB2}" name="(AF)_x000a_TOTAL Excluding VAT" totalsRowFunction="sum" dataDxfId="63" totalsRowDxfId="64">
      <calculatedColumnFormula>SUM(T_MAIN_DC19202122[[#This Row],[(Y)
TOTAL Excluding VAT - Y1
((A*J)*Q)+((A*R)*12))]:[(AC)
TOTAL Excluding VAT - Y5
((E*N*Q)+((E*V)*12))]])</calculatedColumnFormula>
    </tableColumn>
    <tableColumn id="11" xr3:uid="{BC045E5F-A1F0-4769-AA8A-7C895A8C6929}" name="Comments" totalsRowFunction="count" dataDxfId="61" totalsRowDxfId="62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0D29037-15F7-40D8-84FA-441004D2FE46}" name="T_MAIN_DC4" displayName="T_MAIN_DC4" ref="A12:S16" totalsRowCount="1" headerRowDxfId="60" dataDxfId="59" totalsRowDxfId="58">
  <autoFilter ref="A12:S15" xr:uid="{A27DCF49-7642-47A8-81B0-519E0D94E91E}"/>
  <tableColumns count="19">
    <tableColumn id="1" xr3:uid="{19121FA9-9DD5-4FD4-BCDE-235020DA8410}" name="Location" totalsRowLabel="Total" dataDxfId="57"/>
    <tableColumn id="2" xr3:uid="{9A5FBDC4-A3D1-404E-9897-FAEA1BB2EF1C}" name="Resourse" dataDxfId="56"/>
    <tableColumn id="12" xr3:uid="{24DEBAEC-035B-45F5-9CA7-7A0F47AD9544}" name="(A)_x000a_Qty  - Y1" dataDxfId="54" totalsRowDxfId="55"/>
    <tableColumn id="16" xr3:uid="{726A87E9-67CC-4B5B-AFEF-32089A89E685}" name="(B)_x000a_Qty  - Y2" dataDxfId="52" totalsRowDxfId="53"/>
    <tableColumn id="17" xr3:uid="{AB3771A6-9BD1-40B7-B579-A95452B7EA16}" name="(C)_x000a_Qty  - Y3" dataDxfId="50" totalsRowDxfId="51"/>
    <tableColumn id="18" xr3:uid="{41269C10-EEE2-4B51-9939-717380338FAE}" name="(D)_x000a_Qty  - Y4" dataDxfId="48" totalsRowDxfId="49"/>
    <tableColumn id="19" xr3:uid="{B4D0C210-145B-40B8-B7C4-F6B4E7D4E1C7}" name="(E)_x000a_Qty  - Y5" dataDxfId="46" totalsRowDxfId="47"/>
    <tableColumn id="3" xr3:uid="{84DFA5DC-D4BA-46D9-8FF0-4470C3F19093}" name="(F)_x000a_Y1 Cost" dataDxfId="44" totalsRowDxfId="45" dataCellStyle="Currency"/>
    <tableColumn id="4" xr3:uid="{AC49B315-FD02-481F-A4AE-98B1AE364478}" name="(G)_x000a_Y2 Cost" dataDxfId="42" totalsRowDxfId="43" dataCellStyle="Currency"/>
    <tableColumn id="5" xr3:uid="{0F47A8EA-074C-4746-B2B4-B440714BAC1A}" name="(H)_x000a_Y3 Cost" dataDxfId="40" totalsRowDxfId="41" dataCellStyle="Currency"/>
    <tableColumn id="6" xr3:uid="{7A56490C-3ECB-473C-9647-80107B356AB3}" name="(I)_x000a_Y4 Cost" dataDxfId="38" totalsRowDxfId="39" dataCellStyle="Currency"/>
    <tableColumn id="7" xr3:uid="{6702598F-2874-4959-B85A-A783ACC102C7}" name="(J)_x000a_Y5 Cost" dataDxfId="36" totalsRowDxfId="37" dataCellStyle="Currency"/>
    <tableColumn id="14" xr3:uid="{E3148B01-78FC-4343-B442-88AA264552EA}" name="(K)_x000a_TOTAL Excluding VAT - Y1_x000a_(A*F)" totalsRowFunction="sum" dataDxfId="34" totalsRowDxfId="35">
      <calculatedColumnFormula>T_MAIN_DC4[[#This Row],[(A)
Qty  - Y1]]*T_MAIN_DC4[[#This Row],[(F)
Y1 Cost]]</calculatedColumnFormula>
    </tableColumn>
    <tableColumn id="37" xr3:uid="{4801B72B-A28C-41C0-AD94-730D979DC9BF}" name="(L)_x000a_TOTAL Excluding VAT - Y2_x000a_(B*G)" totalsRowFunction="sum" dataDxfId="32" totalsRowDxfId="33">
      <calculatedColumnFormula>T_MAIN_DC4[[#This Row],[(B)
Qty  - Y2]]*T_MAIN_DC4[[#This Row],[(G)
Y2 Cost]]</calculatedColumnFormula>
    </tableColumn>
    <tableColumn id="36" xr3:uid="{7D44D8A1-A1DC-4C7F-A088-E309A31421CE}" name="(M)_x000a_TOTAL Excluding VAT - Y3_x000a_(C*H)" totalsRowFunction="sum" dataDxfId="30" totalsRowDxfId="31">
      <calculatedColumnFormula>T_MAIN_DC4[[#This Row],[(C)
Qty  - Y3]]*T_MAIN_DC4[[#This Row],[(H)
Y3 Cost]]</calculatedColumnFormula>
    </tableColumn>
    <tableColumn id="35" xr3:uid="{82A2ACF1-52E9-4840-BC7B-04DD756474C3}" name="(N)_x000a_TOTAL Excluding VAT - Y4_x000a_(D*I)" totalsRowFunction="sum" dataDxfId="28" totalsRowDxfId="29">
      <calculatedColumnFormula>T_MAIN_DC4[[#This Row],[(D)
Qty  - Y4]]*T_MAIN_DC4[[#This Row],[(I)
Y4 Cost]]</calculatedColumnFormula>
    </tableColumn>
    <tableColumn id="34" xr3:uid="{673FBC39-D97F-4E9D-B3E3-C187E7CD0C82}" name="(O)_x000a_TOTAL Excluding VAT - Y5_x000a_(E*J)" totalsRowFunction="sum" dataDxfId="26" totalsRowDxfId="27">
      <calculatedColumnFormula>T_MAIN_DC4[[#This Row],[(E)
Qty  - Y5]]*T_MAIN_DC4[[#This Row],[(J)
Y5 Cost]]</calculatedColumnFormula>
    </tableColumn>
    <tableColumn id="15" xr3:uid="{E290FEB8-254E-4F2B-A160-BF0FD96EBA73}" name="(AF)_x000a_TOTAL Excluding VAT" totalsRowFunction="sum" dataDxfId="24" totalsRowDxfId="25">
      <calculatedColumnFormula>T_MAIN_DC4[[#This Row],[(F)
Y1 Cost]]*T_MAIN_DC4[[#This Row],[(K)
TOTAL Excluding VAT - Y1
(A*F)]]</calculatedColumnFormula>
    </tableColumn>
    <tableColumn id="11" xr3:uid="{D056728E-09E1-4046-B184-0CFFA4773232}" name="Comments" totalsRowFunction="count" dataDxfId="22" totalsRowDxfId="23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9010005-7F60-4E5F-8F61-F04FE534D3CF}" name="Table1024" displayName="Table1024" ref="A11:Q19" totalsRowShown="0" headerRowDxfId="21" dataDxfId="20" headerRowBorderDxfId="18" tableBorderDxfId="19" totalsRowBorderDxfId="17">
  <autoFilter ref="A11:Q19" xr:uid="{D502A5C2-FC05-4C98-A0B4-FFDE910A8D43}"/>
  <tableColumns count="17">
    <tableColumn id="1" xr3:uid="{5E3F5188-794B-4060-B45B-4BE28E6B1D0E}" name="Resouce Certification Level / Purpose" dataDxfId="16"/>
    <tableColumn id="2" xr3:uid="{2E35B41D-F8C6-482B-9924-88441CC2C7C5}" name="OEM" dataDxfId="15"/>
    <tableColumn id="3" xr3:uid="{C969E97B-F2D3-4498-90BD-7A4D577D3EBE}" name="Business Hours Hourly Rate - Y1" dataDxfId="14"/>
    <tableColumn id="4" xr3:uid="{7C755E5E-A553-4080-BCF4-5B0EF31D64B7}" name="After Hours Hourly Rate - Y1" dataDxfId="13"/>
    <tableColumn id="5" xr3:uid="{BF13832F-6827-420A-BD69-BDD2FBD0D826}" name="Weekend and Public Holidays Hourly Rate - Y1" dataDxfId="12"/>
    <tableColumn id="6" xr3:uid="{78B82D48-4703-425C-8F7C-ACCCEEABA23D}" name="Business Hours Hourly Rate - Y2" dataDxfId="11"/>
    <tableColumn id="7" xr3:uid="{93C1AD7F-C870-4017-8EAC-024E52B2D72D}" name="After Hours Hourly Rate - Y2" dataDxfId="10"/>
    <tableColumn id="8" xr3:uid="{060AF7CD-66A1-4FC7-ADCC-0BCEB410D0BD}" name="Weekend and Public Holidays Hourly Rate - Y2" dataDxfId="9"/>
    <tableColumn id="9" xr3:uid="{CADA2CD8-F4D9-48A4-ACD4-14F5DE4CC86B}" name="Business Hours Hourly Rate - Y3" dataDxfId="8"/>
    <tableColumn id="10" xr3:uid="{4F364EFA-EB56-4009-BEBF-12D9A271225A}" name="After Hours Hourly Rate - Y3" dataDxfId="7"/>
    <tableColumn id="11" xr3:uid="{20B6F2BC-969D-41EA-99D1-2124F8FBC0D6}" name="Weekend and Public Holidays Hourly Rate - Y3" dataDxfId="6"/>
    <tableColumn id="12" xr3:uid="{7BAD8A9E-5251-4DE3-A6DA-61EFB9770F0C}" name="Business Hours Hourly Rate - Y4" dataDxfId="5"/>
    <tableColumn id="13" xr3:uid="{45FA55F3-EABD-48D2-9B51-95CC24A94A4C}" name="After Hours Hourly Rate - Y4" dataDxfId="4"/>
    <tableColumn id="14" xr3:uid="{387381E1-3713-4CED-8F66-11102F053FC2}" name="Weekend and Public Holidays Hourly Rate - Y4" dataDxfId="3"/>
    <tableColumn id="15" xr3:uid="{FB6C4BF6-E7DC-450A-9A8E-497715C1AC76}" name="Business Hours Hourly Rate - Y5" dataDxfId="2"/>
    <tableColumn id="16" xr3:uid="{1D599ABA-D90C-40C4-8631-3D05553F2212}" name="After Hours Hourly Rate - Y5" dataDxfId="1"/>
    <tableColumn id="17" xr3:uid="{AA2A3706-2CFF-4D98-8532-265A213113A1}" name="Weekend and Public Holidays Hourly Rate - Y5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1DAD00-CB97-4B74-A6F7-79082C17A2A1}" name="Table4" displayName="Table4" ref="B20:D22" totalsRowShown="0" headerRowDxfId="499" dataDxfId="498">
  <autoFilter ref="B20:D22" xr:uid="{E31DAD00-CB97-4B74-A6F7-79082C17A2A1}"/>
  <tableColumns count="3">
    <tableColumn id="1" xr3:uid="{73E02380-E330-4F71-A0E3-AD3FC26557E0}" name="EX" dataDxfId="497"/>
    <tableColumn id="2" xr3:uid="{29917CD1-94EC-48FA-BACA-8B666167EE07}" name="Excluding VAT" dataDxfId="496">
      <calculatedColumnFormula>SUM(H7:H12,H14)</calculatedColumnFormula>
    </tableColumn>
    <tableColumn id="3" xr3:uid="{C3625FE0-0455-493D-9F7F-A8ED41CCDAE4}" name="Including VAT" dataDxfId="495">
      <calculatedColumnFormula>SUM(I14)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_SUP_SUM_OP1" displayName="T_SUP_SUM_OP1" ref="B11:D41" totalsRowCount="1" headerRowDxfId="494" dataDxfId="493" totalsRowDxfId="492">
  <tableColumns count="3">
    <tableColumn id="1" xr3:uid="{00000000-0010-0000-0100-000001000000}" name="WORK PACKAGE DESCRIPTION" totalsRowLabel="Total" dataDxfId="490" totalsRowDxfId="491"/>
    <tableColumn id="2" xr3:uid="{00000000-0010-0000-0100-000002000000}" name="Total Excluding VAT" totalsRowFunction="sum" dataDxfId="488" totalsRowDxfId="489">
      <calculatedColumnFormula>SUMIF(T_SUP_OP115[WORK PACKAGE NAME],T_SUP_SUM_OP1[[#This Row],[WORK PACKAGE DESCRIPTION]],T_SUP_OP115[(Y)
Total Cost Excluding VAT
(S+T+U+V+W)*(1+X)])</calculatedColumnFormula>
    </tableColumn>
    <tableColumn id="3" xr3:uid="{00000000-0010-0000-0100-000003000000}" name="TOTAL Including VAT" totalsRowFunction="sum" dataDxfId="486" totalsRowDxfId="487">
      <calculatedColumnFormula>C12*1.15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A3E829B-13AB-4102-81E6-0DEBF24AC173}" name="T_SUP_OP115" displayName="T_SUP_OP115" ref="A6:AB90" totalsRowCount="1" headerRowDxfId="485" dataDxfId="484" totalsRowDxfId="483">
  <autoFilter ref="A6:AB89" xr:uid="{00000000-000C-0000-FFFF-FFFF02000000}"/>
  <tableColumns count="28">
    <tableColumn id="1" xr3:uid="{E637F84D-05D8-4FAC-BE9E-0241FA963DB1}" name="WORK PACKAGE NAME" totalsRowLabel="Total" dataDxfId="481" totalsRowDxfId="482"/>
    <tableColumn id="2" xr3:uid="{157FB737-DE85-4983-B20C-6F25B57ADF9B}" name="Site" dataDxfId="479" totalsRowDxfId="480"/>
    <tableColumn id="3" xr3:uid="{9AC55244-6131-431D-BBC5-D92A65DF365A}" name="Work Package Description" dataDxfId="477" totalsRowDxfId="478"/>
    <tableColumn id="5" xr3:uid="{C38031B7-3642-4F6C-BA91-27D0FBA3BFE9}" name="(A)_x000a_Y1" dataDxfId="475" totalsRowDxfId="476"/>
    <tableColumn id="15" xr3:uid="{812B4CD0-AADD-403F-AD0C-F811FA12C378}" name="(B)_x000a_Y2" dataDxfId="473" totalsRowDxfId="474"/>
    <tableColumn id="16" xr3:uid="{D1498A69-B06A-4629-B748-A20EEC61DFDD}" name="(C)_x000a_Y3" dataDxfId="471" totalsRowDxfId="472"/>
    <tableColumn id="17" xr3:uid="{E0351C25-39C1-4D36-9E34-0F90551B662D}" name="(D)_x000a_Y4" dataDxfId="469" totalsRowDxfId="470"/>
    <tableColumn id="18" xr3:uid="{461BB412-3161-4445-A3DB-BC9CE2C5A771}" name="(E)_x000a_Y5" dataDxfId="467" totalsRowDxfId="468"/>
    <tableColumn id="6" xr3:uid="{4351E719-78EE-4E93-8E05-DDE684990A2D}" name="Price influenced by USD Exchange rate (Yes/No)" dataDxfId="465" totalsRowDxfId="466"/>
    <tableColumn id="7" xr3:uid="{20232FE5-9109-4A77-A03D-03297216BA77}" name="(H)_x000a_Base landed Price in USD_x000a_For US sourced items - Y1" dataDxfId="463" totalsRowDxfId="464"/>
    <tableColumn id="8" xr3:uid="{5A95417D-02AA-4055-A494-5D6BCE2D57DD}" name="(I)_x000a_ZAR Price (for local sourced items) Excluding VAT - Y1" dataDxfId="461" totalsRowDxfId="462"/>
    <tableColumn id="4" xr3:uid="{BACA75C7-9FF1-47EA-A7EC-63FE7E84073F}" name="(J)_x000a_Base landed Price in USD_x000a_For US sourced items - Y2" dataDxfId="459" totalsRowDxfId="460"/>
    <tableColumn id="13" xr3:uid="{FDF9B576-455F-4999-8017-143556345791}" name="(K)_x000a_ZAR Price (for local sourced items) Excluding VAT - Y2" dataDxfId="457" totalsRowDxfId="458"/>
    <tableColumn id="19" xr3:uid="{7458B32D-456B-4593-8DB9-E9F36AA61FA1}" name="(L)_x000a_Base landed Price in USD_x000a_For US sourced items - Y3" dataDxfId="455" totalsRowDxfId="456"/>
    <tableColumn id="20" xr3:uid="{8B21798D-2C05-4BE2-94EA-EF50A154E1F9}" name="(M)_x000a_ZAR Price (for local sourced items) Excluding VAT - Y3" dataDxfId="453" totalsRowDxfId="454"/>
    <tableColumn id="21" xr3:uid="{A7105C97-60B1-480B-8F81-70EDF537F5DF}" name="(N)_x000a_Base landed Price in USD_x000a_For US sourced items - Y4" dataDxfId="451" totalsRowDxfId="452"/>
    <tableColumn id="22" xr3:uid="{25CA92B1-F268-4408-B594-1491FDA2A66F}" name="(O)_x000a_ZAR Price (for local sourced items) Excluding VAT - Y4" dataDxfId="449" totalsRowDxfId="450"/>
    <tableColumn id="27" xr3:uid="{00B7A1FE-CFED-4033-9FA0-AD251A5A452C}" name="(P)_x000a_Base landed Price in USD_x000a_For US sourced items - Y5" dataDxfId="447" totalsRowDxfId="448"/>
    <tableColumn id="28" xr3:uid="{F4C75F89-DE16-46AD-8857-BA70D7E3B40F}" name="(Q)_x000a_ZAR Price (for local sourced items) Excluding VAT - Y5" dataDxfId="445" totalsRowDxfId="446"/>
    <tableColumn id="9" xr3:uid="{B8329A9C-244A-4D5C-BBD0-0034D425036E}" name="(R)_x000a_Exchange rate" dataDxfId="443" totalsRowDxfId="444">
      <calculatedColumnFormula>Exchange_Rate</calculatedColumnFormula>
    </tableColumn>
    <tableColumn id="10" xr3:uid="{D632127B-34E5-40ED-90D6-DEB86A627EB0}" name="(S)_x000a_Total Cost Y1_x000a_((H*R)+I)*A" totalsRowFunction="sum" dataDxfId="441" totalsRowDxfId="442">
      <calculatedColumnFormula>((T_SUP_OP115[[#This Row],[(R)
Exchange rate]]*T_SUP_OP115[[#This Row],[(H)
Base landed Price in USD
For US sourced items - Y1]])+T_SUP_OP115[[#This Row],[(I)
ZAR Price (for local sourced items) Excluding VAT - Y1]])*T_SUP_OP115[[#This Row],[(A)
Y1]]</calculatedColumnFormula>
    </tableColumn>
    <tableColumn id="26" xr3:uid="{5220073D-AE96-496B-8AE7-C40E5F3C0F97}" name="(T)_x000a_Total Cost Y2_x000a_((J*R)+K)*B" totalsRowFunction="sum" dataDxfId="439" totalsRowDxfId="440">
      <calculatedColumnFormula>((T_SUP_OP115[[#This Row],[(R)
Exchange rate]]*T_SUP_OP115[[#This Row],[(J)
Base landed Price in USD
For US sourced items - Y2]])+T_SUP_OP115[[#This Row],[(K)
ZAR Price (for local sourced items) Excluding VAT - Y2]])*T_SUP_OP115[[#This Row],[(B)
Y2]]</calculatedColumnFormula>
    </tableColumn>
    <tableColumn id="25" xr3:uid="{CA7530EB-B989-4A07-AE57-8BCA3E007CB2}" name="(U)_x000a_Total Cost Y3_x000a_((L*R)+M)*C" totalsRowFunction="sum" dataDxfId="437" totalsRowDxfId="438">
      <calculatedColumnFormula>((T_SUP_OP115[[#This Row],[(R)
Exchange rate]]*T_SUP_OP115[[#This Row],[(L)
Base landed Price in USD
For US sourced items - Y3]])+T_SUP_OP115[[#This Row],[(M)
ZAR Price (for local sourced items) Excluding VAT - Y3]])*T_SUP_OP115[[#This Row],[(C)
Y3]]</calculatedColumnFormula>
    </tableColumn>
    <tableColumn id="24" xr3:uid="{1DE41890-8942-4D69-86C6-F1A8F81F644B}" name="(V)_x000a_Total Cost Y4_x000a_((N*R)+O)*D" totalsRowFunction="sum" dataDxfId="435" totalsRowDxfId="436">
      <calculatedColumnFormula>((T_SUP_OP115[[#This Row],[(R)
Exchange rate]]*T_SUP_OP115[[#This Row],[(N)
Base landed Price in USD
For US sourced items - Y4]])+T_SUP_OP115[[#This Row],[(O)
ZAR Price (for local sourced items) Excluding VAT - Y4]])*T_SUP_OP115[[#This Row],[(D)
Y4]]</calculatedColumnFormula>
    </tableColumn>
    <tableColumn id="23" xr3:uid="{1AFF994B-D455-413C-8179-D159F7EA52CD}" name="(W)_x000a_Total Cost Y5_x000a_((P*R)+Q)*E" totalsRowFunction="sum" dataDxfId="433" totalsRowDxfId="434">
      <calculatedColumnFormula>((T_SUP_OP115[[#This Row],[(R)
Exchange rate]]*T_SUP_OP115[[#This Row],[(P)
Base landed Price in USD
For US sourced items - Y5]])+T_SUP_OP115[[#This Row],[(Q)
ZAR Price (for local sourced items) Excluding VAT - Y5]])*T_SUP_OP115[[#This Row],[(E)
Y5]]</calculatedColumnFormula>
    </tableColumn>
    <tableColumn id="11" xr3:uid="{8B37D62A-CB15-4FC9-AF19-170D08E0876C}" name="(X)_x000a_Markup %" totalsRowLabel=" " dataDxfId="431" totalsRowDxfId="432" dataCellStyle="Percent"/>
    <tableColumn id="12" xr3:uid="{B4525CDF-1951-4BAC-8A57-80425C874CC2}" name="(Y)_x000a_Total Cost Excluding VAT_x000a_(S+T+U+V+W)*(1+X)" totalsRowFunction="sum" dataDxfId="429" totalsRowDxfId="430">
      <calculatedColumnFormula>SUM(T_SUP_OP115[[#This Row],[(S)
Total Cost Y1
((H*R)+I)*A]:[(W)
Total Cost Y5
((P*R)+Q)*E]])*(1+T_SUP_OP115[[#This Row],[(X)
Markup %]])</calculatedColumnFormula>
    </tableColumn>
    <tableColumn id="14" xr3:uid="{D64C8A0A-731E-4E3B-80CB-4CF2940DCD67}" name="Comment" dataDxfId="427" totalsRowDxfId="428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3A36FA1-87AA-4E26-A243-AAFEE113A3A8}" name="T_SLA6" displayName="T_SLA6" ref="A13:S23" totalsRowCount="1" headerRowDxfId="426" dataDxfId="425" totalsRowDxfId="424">
  <autoFilter ref="A13:S22" xr:uid="{00000000-0009-0000-0100-000002000000}"/>
  <tableColumns count="19">
    <tableColumn id="1" xr3:uid="{79CBF8F0-1A90-4745-A65F-3FC475F9ABDD}" name="Locations responsible for" totalsRowLabel="Total" dataDxfId="422" totalsRowDxfId="423"/>
    <tableColumn id="5" xr3:uid="{D8560411-EFC0-4DDB-AC61-C4E21E98B9F5}" name="Site" dataDxfId="420" totalsRowDxfId="421"/>
    <tableColumn id="3" xr3:uid="{67C4600C-BEDB-4443-B268-7576E6E136C1}" name="UOM" dataDxfId="418" totalsRowDxfId="419"/>
    <tableColumn id="4" xr3:uid="{7BEC672D-3EE2-4224-A98C-5BEABC586ACF}" name="(A)_x000a_Monthly Cost excluding Vat - Y1" dataDxfId="416" totalsRowDxfId="417" dataCellStyle="Currency"/>
    <tableColumn id="2" xr3:uid="{8A96AC69-B60C-4B26-BBAE-B162B293A6D5}" name="(B)_x000a_Monthly Cost excluding Vat - Y2" dataDxfId="414" totalsRowDxfId="415" dataCellStyle="Currency"/>
    <tableColumn id="9" xr3:uid="{A183BF41-7B0F-418F-8FF1-42795220E9C6}" name="(C)_x000a_Monthly Cost excluding Vat - Y3" dataDxfId="412" totalsRowDxfId="413" dataCellStyle="Currency"/>
    <tableColumn id="10" xr3:uid="{5A170A28-B56E-44E5-8754-FFCCF3D93285}" name="(D)_x000a_Monthly Cost excluding Vat - Y4" dataDxfId="410" totalsRowDxfId="411" dataCellStyle="Currency"/>
    <tableColumn id="11" xr3:uid="{9D260DC1-DFA3-4B28-9F76-45919C3542B9}" name="(E)_x000a_Monthly Cost excluding Vat - Y5" dataDxfId="408" totalsRowDxfId="409" dataCellStyle="Currency"/>
    <tableColumn id="6" xr3:uid="{2A7AD85F-51EE-4779-A0CB-7E4AB744A9E9}" name="(H)_x000a_Qty - Y1" dataDxfId="406" totalsRowDxfId="407"/>
    <tableColumn id="12" xr3:uid="{89FCD3A5-F030-4DC5-9477-105D1433F9E6}" name="(I)_x000a_Qty - Y2" dataDxfId="404" totalsRowDxfId="405"/>
    <tableColumn id="13" xr3:uid="{78BFBD71-9340-45F8-B95B-BAE3AF3E5F05}" name="(J)_x000a_Qty - Y3" dataDxfId="402" totalsRowDxfId="403"/>
    <tableColumn id="14" xr3:uid="{7B96D0D5-BB12-41E3-A303-9FB1DF46BDC2}" name="(K)_x000a_Qty - Y4" dataDxfId="400" totalsRowDxfId="401"/>
    <tableColumn id="15" xr3:uid="{FBA3B409-1107-40BD-B331-007342546542}" name="(L)_x000a_Qty - Y5" dataDxfId="398" totalsRowDxfId="399"/>
    <tableColumn id="7" xr3:uid="{466A8C6C-DEAF-48BF-83C9-717B014C5D06}" name="(O)_x000a_Total Cost Excluding Vat - Y1 _x000a_(A*H)" totalsRowFunction="sum" dataDxfId="396" totalsRowDxfId="397" dataCellStyle="Currency">
      <calculatedColumnFormula>T_SLA6[[#This Row],[(H)
Qty - Y1]]*T_SLA6[[#This Row],[(A)
Monthly Cost excluding Vat - Y1]]</calculatedColumnFormula>
    </tableColumn>
    <tableColumn id="16" xr3:uid="{1627BD92-FE4F-4AEC-B7AA-646FF245E4EE}" name="(P)_x000a_Total Cost Excluding Vat - Y2 _x000a_(B*I)" totalsRowFunction="sum" dataDxfId="394" totalsRowDxfId="395" dataCellStyle="Currency">
      <calculatedColumnFormula>T_SLA6[[#This Row],[(B)
Monthly Cost excluding Vat - Y2]]*T_SLA6[[#This Row],[(I)
Qty - Y2]]</calculatedColumnFormula>
    </tableColumn>
    <tableColumn id="17" xr3:uid="{8BAECD8D-3C28-4E4E-9B54-3240BD66266D}" name="(Q)_x000a_Total Cost Excluding Vat - Y3 _x000a_(C*J)" totalsRowFunction="sum" dataDxfId="392" totalsRowDxfId="393" dataCellStyle="Currency">
      <calculatedColumnFormula>T_SLA6[[#This Row],[(C)
Monthly Cost excluding Vat - Y3]]*T_SLA6[[#This Row],[(J)
Qty - Y3]]</calculatedColumnFormula>
    </tableColumn>
    <tableColumn id="18" xr3:uid="{7C10C9C7-DA7A-40D9-8CF1-F36FFD415804}" name="(R)_x000a_Total Cost Excluding Vat - Y4 _x000a_(D*K)" totalsRowFunction="sum" dataDxfId="390" totalsRowDxfId="391" dataCellStyle="Currency">
      <calculatedColumnFormula>T_SLA6[[#This Row],[(D)
Monthly Cost excluding Vat - Y4]]*T_SLA6[[#This Row],[(K)
Qty - Y4]]</calculatedColumnFormula>
    </tableColumn>
    <tableColumn id="19" xr3:uid="{9AB2FC23-1FFA-43FE-AEB7-ACE02B5CA9A9}" name="(S)_x000a_Total Cost Excluding Vat - Y5 _x000a_(E*L)" totalsRowFunction="sum" dataDxfId="388" totalsRowDxfId="389" dataCellStyle="Currency">
      <calculatedColumnFormula>T_SLA6[[#This Row],[(E)
Monthly Cost excluding Vat - Y5]]*T_SLA6[[#This Row],[(L)
Qty - Y5]]</calculatedColumnFormula>
    </tableColumn>
    <tableColumn id="20" xr3:uid="{650BA062-AEF8-4402-BCA7-EE6407408589}" name="(V)_x000a_Total Cost Excluding VAT" totalsRowFunction="sum" dataDxfId="386" totalsRowDxfId="387" dataCellStyle="Currency">
      <calculatedColumnFormula>SUM(T_SLA6[[#This Row],[(O)
Total Cost Excluding Vat - Y1 
(A*H)]:[(S)
Total Cost Excluding Vat - Y5 
(E*L)]])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8663A91-01BD-4EA1-836F-2E45D0EA9AE2}" name="T_MAIN_SW" displayName="T_MAIN_SW" ref="A12:V14" totalsRowCount="1" headerRowDxfId="385" dataDxfId="384" totalsRowDxfId="383" tableBorderDxfId="382">
  <autoFilter ref="A12:V13" xr:uid="{00000000-0009-0000-0100-00000C000000}"/>
  <tableColumns count="22">
    <tableColumn id="1" xr3:uid="{4ED5D697-2786-4D47-8C85-982748C4F223}" name="OEM" totalsRowLabel="Total" dataDxfId="381"/>
    <tableColumn id="2" xr3:uid="{8F1532B6-0312-4EEA-B29D-BAFD61137FF1}" name="Sites Deployed" dataDxfId="380"/>
    <tableColumn id="3" xr3:uid="{DD915605-F2F3-4A1A-B6AC-59CEB7989BBF}" name="Product ID" dataDxfId="379"/>
    <tableColumn id="4" xr3:uid="{576DB8D5-9587-489D-A20B-7B84E51A3834}" name="Description" dataDxfId="377" totalsRowDxfId="378"/>
    <tableColumn id="5" xr3:uid="{26A3D8C6-3F6D-4152-92E5-F7FCA6B4010C}" name="(A) _x000a_Qty of licences - Y1" dataDxfId="376"/>
    <tableColumn id="11" xr3:uid="{85677901-E8D8-4D73-8EB6-F5658FA304EA}" name="(B) _x000a_Qty of licences - Y2" dataDxfId="375"/>
    <tableColumn id="12" xr3:uid="{5241D028-48FF-4152-847D-EB381366B09B}" name="(C) _x000a_Qty of licences - Y3" dataDxfId="374"/>
    <tableColumn id="13" xr3:uid="{EFBC8A37-0655-418F-BC8D-7CAB22C7F26D}" name="(D) _x000a_Qty of licences - Y4" dataDxfId="373"/>
    <tableColumn id="14" xr3:uid="{E659FA18-0CF5-4CB9-96F0-AE62D7FE8723}" name="(E) _x000a_Qty of licences - Y5" dataDxfId="372"/>
    <tableColumn id="6" xr3:uid="{9D5AF5A8-B05F-4B59-827B-629C007AE83B}" name="(H)_x000a_License fees Annual in USD (TOTAL) - Y1" dataDxfId="370" totalsRowDxfId="371"/>
    <tableColumn id="15" xr3:uid="{987F660A-5167-4466-8BC7-F7FB59FFB20C}" name="(I)_x000a_License fees Annual in USD (TOTAL) - Y2" dataDxfId="368" totalsRowDxfId="369"/>
    <tableColumn id="16" xr3:uid="{B1DEAF19-A8E7-44FB-A50A-B167DB380721}" name="(J)_x000a_License fees Annual in USD (TOTAL) - Y3" dataDxfId="366" totalsRowDxfId="367"/>
    <tableColumn id="17" xr3:uid="{ABF7FA7D-4761-494D-89CF-F024D910D3C9}" name="(K)_x000a_License fees Annual in USD (TOTAL) - Y4" dataDxfId="364" totalsRowDxfId="365"/>
    <tableColumn id="18" xr3:uid="{EFC48493-CAAD-43CF-B270-1D304D1970FE}" name="(L)_x000a_License fees Annual in USD (TOTAL) - Y5" dataDxfId="362" totalsRowDxfId="363"/>
    <tableColumn id="7" xr3:uid="{061A696A-22CF-495B-A02F-462755170ACB}" name="(O)_x000a_Exchange Rate" dataDxfId="360" totalsRowDxfId="361">
      <calculatedColumnFormula>Exchange_Rate</calculatedColumnFormula>
    </tableColumn>
    <tableColumn id="8" xr3:uid="{93EEDD07-12BA-4EAB-9FE4-8A96A7870A65}" name="(P)_x000a_TOTAL Excluding VAT_x000a_(A*H*O) - Y1" totalsRowFunction="sum" dataDxfId="358" totalsRowDxfId="359" dataCellStyle="Currency">
      <calculatedColumnFormula>T_MAIN_SW[[#This Row],[(A) 
Qty of licences - Y1]]*T_MAIN_SW[[#This Row],[(H)
License fees Annual in USD (TOTAL) - Y1]]*T_MAIN_SW[[#This Row],[(O)
Exchange Rate]]</calculatedColumnFormula>
    </tableColumn>
    <tableColumn id="20" xr3:uid="{0403038A-AD37-4356-A869-DFA1841BED15}" name="(Q)_x000a_TOTAL Excluding VAT_x000a_(B*I*O) - Y2" totalsRowFunction="sum" dataDxfId="356" totalsRowDxfId="357" dataCellStyle="Currency">
      <calculatedColumnFormula>T_MAIN_SW[[#This Row],[(B) 
Qty of licences - Y2]]*T_MAIN_SW[[#This Row],[(I)
License fees Annual in USD (TOTAL) - Y2]]*T_MAIN_SW[[#This Row],[(O)
Exchange Rate]]</calculatedColumnFormula>
    </tableColumn>
    <tableColumn id="21" xr3:uid="{F4495992-6B00-409C-AAE5-FD22AD78EADE}" name="(R)_x000a_TOTAL Excluding VAT_x000a_(C*J*O) - Y3" totalsRowFunction="sum" dataDxfId="354" totalsRowDxfId="355" dataCellStyle="Currency">
      <calculatedColumnFormula>T_MAIN_SW[[#This Row],[(C) 
Qty of licences - Y3]]*T_MAIN_SW[[#This Row],[(J)
License fees Annual in USD (TOTAL) - Y3]]*T_MAIN_SW[[#This Row],[(O)
Exchange Rate]]</calculatedColumnFormula>
    </tableColumn>
    <tableColumn id="22" xr3:uid="{61F84FAE-D5FC-4F96-AF3B-389AEC041F5D}" name="(S)_x000a_TOTAL Excluding VAT_x000a_(D*K*O) - Y4" totalsRowFunction="sum" dataDxfId="352" totalsRowDxfId="353" dataCellStyle="Currency">
      <calculatedColumnFormula>T_MAIN_SW[[#This Row],[(D) 
Qty of licences - Y4]]*T_MAIN_SW[[#This Row],[(K)
License fees Annual in USD (TOTAL) - Y4]]*T_MAIN_SW[[#This Row],[(O)
Exchange Rate]]</calculatedColumnFormula>
    </tableColumn>
    <tableColumn id="23" xr3:uid="{B23CCBB9-3CBE-4D86-BC3D-907E96ECF32C}" name="(T)_x000a_TOTAL Excluding VAT_x000a_(E*L*O) - Y5" totalsRowFunction="sum" dataDxfId="350" totalsRowDxfId="351" dataCellStyle="Currency">
      <calculatedColumnFormula>T_MAIN_SW[[#This Row],[(E) 
Qty of licences - Y5]]*T_MAIN_SW[[#This Row],[(L)
License fees Annual in USD (TOTAL) - Y5]]*T_MAIN_SW[[#This Row],[(O)
Exchange Rate]]</calculatedColumnFormula>
    </tableColumn>
    <tableColumn id="25" xr3:uid="{28195509-F6C2-4A3F-905D-1DE1A83BB31F}" name="(W)_x000a_TOTAL Excluding VAT" totalsRowFunction="sum" dataDxfId="348" totalsRowDxfId="349" dataCellStyle="Currency">
      <calculatedColumnFormula>SUM(T_MAIN_SW[[#This Row],[(P)
TOTAL Excluding VAT
(A*H*O) - Y1]:[(T)
TOTAL Excluding VAT
(E*L*O) - Y5]])</calculatedColumnFormula>
    </tableColumn>
    <tableColumn id="10" xr3:uid="{D7C9B68D-FCC5-4652-9A9B-4963077821F9}" name="Comments" totalsRowFunction="count" dataDxfId="346" totalsRowDxfId="34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69CB74B-EFA2-4BC4-BC50-6E5A4A0E2CBA}" name="T_MAIN_DC" displayName="T_MAIN_DC" ref="A12:AC28" totalsRowCount="1" headerRowDxfId="345" dataDxfId="344" totalsRowDxfId="343">
  <autoFilter ref="A12:AC27" xr:uid="{A27DCF49-7642-47A8-81B0-519E0D94E91E}"/>
  <tableColumns count="29">
    <tableColumn id="1" xr3:uid="{5B994989-5C02-44A8-96CA-34DF9A5FE696}" name="Location" totalsRowLabel="Total" dataDxfId="342"/>
    <tableColumn id="2" xr3:uid="{DD971007-76E2-4DF4-8E9C-2BF9AE04EF99}" name="Device Name" dataDxfId="341"/>
    <tableColumn id="3" xr3:uid="{351B60B2-1825-4C1C-97D3-E6D9592233F4}" name="Chassis Serial_x000a_Number" dataDxfId="339" totalsRowDxfId="340"/>
    <tableColumn id="4" xr3:uid="{5589905F-9F2B-479F-887D-0AE771C0E05C}" name="Chassis_x000a_ Model Name" dataDxfId="337" totalsRowDxfId="338"/>
    <tableColumn id="12" xr3:uid="{C0F149FA-5D0F-4443-B8D4-B000C78F92AF}" name="(A)_x000a_Qty  - Y1" dataDxfId="335" totalsRowDxfId="336"/>
    <tableColumn id="16" xr3:uid="{206A7CF8-1EC3-4198-833A-6506BEA7D46B}" name="(B)_x000a_Qty  - Y2" dataDxfId="333" totalsRowDxfId="334"/>
    <tableColumn id="17" xr3:uid="{15EC2829-4C9F-4DA5-8D9D-EDD6BC59F91B}" name="(C)_x000a_Qty  - Y3" dataDxfId="331" totalsRowDxfId="332"/>
    <tableColumn id="18" xr3:uid="{2DA5F1A7-D796-4DC5-A613-CA730FCCDAE6}" name="(D)_x000a_Qty  - Y4" dataDxfId="329" totalsRowDxfId="330"/>
    <tableColumn id="19" xr3:uid="{CE53FB70-F0EC-4AC9-8BEC-61E397F3EC10}" name="(E)_x000a_Qty  - Y5" dataDxfId="327" totalsRowDxfId="328"/>
    <tableColumn id="33" xr3:uid="{E3016944-DE30-4770-88AB-F8CB3AAC9E84}" name="(H)_x000a_Required Service Level for Preventative mantenance" dataDxfId="326"/>
    <tableColumn id="27" xr3:uid="{C4149264-71A8-45A1-8704-4CB55BA7F245}" name="(I)_x000a_Required Service Level for OEM Backed Hardware Maintenance" dataDxfId="325"/>
    <tableColumn id="8" xr3:uid="{C45FEC7A-673D-436D-95BB-80EC4B3AA3CE}" name="(J)_x000a_USD PRICE_x000a_Annual Partner Support Service (1 Year)_x000a_Chassis Plus Modules_x000a_- according to HW service level (I)_x000a_Y1" dataDxfId="323" totalsRowDxfId="324"/>
    <tableColumn id="20" xr3:uid="{E8065F7C-66F1-472A-A1E1-83334C76E00A}" name="(K)_x000a_USD PRICE_x000a_Annual Partner Support Service (1 Year)_x000a_Chassis Plus Modules_x000a_- according to HW service level (I)_x000a_Y2" dataDxfId="321" totalsRowDxfId="322"/>
    <tableColumn id="21" xr3:uid="{E31789B9-9AE8-41CB-BB5E-EB289998281F}" name="(L)_x000a_USD PRICE_x000a_Annual Partner Support Service (1 Year)_x000a_Chassis Plus Modules_x000a_- according to HW service level (I)_x000a_Y3" dataDxfId="319" totalsRowDxfId="320"/>
    <tableColumn id="22" xr3:uid="{738C908C-2CCB-4412-8B34-4843FFCF2335}" name="(M)_x000a_USD PRICE_x000a_Annual Partner Support Service (1 Year)_x000a_Chassis Plus Modules_x000a_- according to HW service level (I)_x000a_Y4" dataDxfId="317" totalsRowDxfId="318"/>
    <tableColumn id="23" xr3:uid="{ACA31F66-000E-4BA5-A8BE-046FEF828E79}" name="(N)_x000a_USD PRICE_x000a_Annual Partner Support Service (1 Year)_x000a_Chassis Plus Modules_x000a_- according to HW service level (I)_x000a_Y5" dataDxfId="315" totalsRowDxfId="316"/>
    <tableColumn id="13" xr3:uid="{126AEDD8-5797-4CC4-A6EE-4A134BD74041}" name="(Q)_x000a_Exchange Rate" dataDxfId="313" totalsRowDxfId="314">
      <calculatedColumnFormula>Exchange_Rate</calculatedColumnFormula>
    </tableColumn>
    <tableColumn id="9" xr3:uid="{58ECC62E-B7D3-4409-B6DB-3C9ED5842836}" name="(R)_x000a_Monthly Maintenance according to Service  Level (H) - Y1" dataDxfId="311" totalsRowDxfId="312"/>
    <tableColumn id="10" xr3:uid="{E00BABFC-2409-4E13-BB6F-E2EA4EE58D34}" name="(S)_x000a_Monthly Maintenance according to Service  Level (H) - Y2" dataDxfId="309" totalsRowDxfId="310"/>
    <tableColumn id="24" xr3:uid="{BA881855-0EDB-43F1-BFED-4781130021DC}" name="(T)_x000a_Monthly Maintenance according to Service  Level (H) - Y3" dataDxfId="307" totalsRowDxfId="308"/>
    <tableColumn id="25" xr3:uid="{0FFF94A4-F568-40DB-BB37-03E7DEC7EFB3}" name="(U)_x000a_Monthly Maintenance according to Service  Level (H) - Y4" dataDxfId="305" totalsRowDxfId="306"/>
    <tableColumn id="26" xr3:uid="{A5C857CD-3E7D-4B68-9427-A5F60B2ECE7C}" name="(V)_x000a_Monthly Maintenance according to Service  Level (H) - Y5" dataDxfId="303" totalsRowDxfId="304"/>
    <tableColumn id="14" xr3:uid="{A8703670-A5DB-40C9-92A3-D2F9EFD43124}" name="(Y)_x000a_TOTAL Excluding VAT - Y1_x000a_((A*J)*Q)+((A*R)*12))" totalsRowFunction="sum" dataDxfId="301" totalsRowDxfId="302">
      <calculatedColumnFormula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calculatedColumnFormula>
    </tableColumn>
    <tableColumn id="37" xr3:uid="{C44CE921-03AD-46DF-A2B5-80ACC622E077}" name="(Z)_x000a_TOTAL Excluding VAT - Y2_x000a_((B*K)*Q)+((B*S)*12))" totalsRowFunction="sum" dataDxfId="299" totalsRowDxfId="300">
      <calculatedColumnFormula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calculatedColumnFormula>
    </tableColumn>
    <tableColumn id="36" xr3:uid="{DA0973B3-D15A-4717-BB3E-BD162A32AF46}" name="AA)_x000a_TOTAL Excluding VAT - Y3_x000a_((C*L)*Q)+((C*T)*12))" totalsRowFunction="sum" dataDxfId="297" totalsRowDxfId="298">
      <calculatedColumnFormula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calculatedColumnFormula>
    </tableColumn>
    <tableColumn id="35" xr3:uid="{5D6EBE4C-FC6F-4D04-9291-4FCAA091A7BE}" name="(AB)_x000a_TOTAL Excluding VAT - Y4_x000a_((D*M)*Q)+((D*U)*12))" totalsRowFunction="sum" dataDxfId="295" totalsRowDxfId="296">
      <calculatedColumnFormula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calculatedColumnFormula>
    </tableColumn>
    <tableColumn id="34" xr3:uid="{ED129E15-F787-463B-8885-20DCDF9219EA}" name="(AC)_x000a_TOTAL Excluding VAT - Y5_x000a_((E*N*Q)+((E*V)*12))" totalsRowFunction="sum" dataDxfId="293" totalsRowDxfId="294">
      <calculatedColumnFormula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calculatedColumnFormula>
    </tableColumn>
    <tableColumn id="15" xr3:uid="{75989ABF-6196-4291-8D89-40D0FF131C49}" name="(AF)_x000a_TOTAL Excluding VAT" totalsRowFunction="sum" dataDxfId="291" totalsRowDxfId="292">
      <calculatedColumnFormula>SUM(T_MAIN_DC[[#This Row],[(Y)
TOTAL Excluding VAT - Y1
((A*J)*Q)+((A*R)*12))]:[(AC)
TOTAL Excluding VAT - Y5
((E*N*Q)+((E*V)*12))]])</calculatedColumnFormula>
    </tableColumn>
    <tableColumn id="11" xr3:uid="{37EBEB0A-7560-47DE-9E58-0BF2ACB1D60B}" name="Comments" totalsRowFunction="count" dataDxfId="289" totalsRowDxfId="29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8D45A26-8441-40D9-8F2C-212A3840A328}" name="T_MAIN_DC19" displayName="T_MAIN_DC19" ref="A12:AC18" totalsRowCount="1" headerRowDxfId="288" dataDxfId="287" totalsRowDxfId="286">
  <autoFilter ref="A12:AC17" xr:uid="{A27DCF49-7642-47A8-81B0-519E0D94E91E}"/>
  <tableColumns count="29">
    <tableColumn id="1" xr3:uid="{88F5D301-5A68-41CE-A6EE-ED010ECD9F4E}" name="Location" totalsRowLabel="Total" dataDxfId="285"/>
    <tableColumn id="2" xr3:uid="{AE3ABF8E-D869-4ED7-998F-FC435914B739}" name="Device Name" dataDxfId="284"/>
    <tableColumn id="3" xr3:uid="{71B8586B-6ECD-4041-8409-51FAE8C094CC}" name="Chassis Serial_x000a_Number" dataDxfId="282" totalsRowDxfId="283"/>
    <tableColumn id="4" xr3:uid="{EA31BAE6-3A9C-4B75-B45D-019009F3CC7F}" name="Chassis_x000a_ Model Name" dataDxfId="280" totalsRowDxfId="281"/>
    <tableColumn id="12" xr3:uid="{8E9647A8-FF0D-4F06-A5E5-60CC3B047708}" name="(A)_x000a_Qty  - Y1" dataDxfId="278" totalsRowDxfId="279"/>
    <tableColumn id="16" xr3:uid="{6D047AA7-CA78-4B10-986C-17DCAED5156F}" name="(B)_x000a_Qty  - Y2" dataDxfId="276" totalsRowDxfId="277"/>
    <tableColumn id="17" xr3:uid="{B609C462-EBFF-4073-8950-D25B9048FE45}" name="(C)_x000a_Qty  - Y3" dataDxfId="274" totalsRowDxfId="275"/>
    <tableColumn id="18" xr3:uid="{0D8F81BA-DA65-42A1-AAEE-B366EC135F85}" name="(D)_x000a_Qty  - Y4" dataDxfId="272" totalsRowDxfId="273"/>
    <tableColumn id="19" xr3:uid="{749750C4-0279-441A-82E8-38501519680E}" name="(E)_x000a_Qty  - Y5" dataDxfId="270" totalsRowDxfId="271"/>
    <tableColumn id="33" xr3:uid="{B6638DE3-420C-4E7D-8F7C-D0481C4E7F9F}" name="(H)_x000a_Required Service Level for Preventative mantenance" dataDxfId="269"/>
    <tableColumn id="27" xr3:uid="{AF783DDA-BDF4-4C41-833C-7D87B4CF24F5}" name="(I)_x000a_Required Service Level for OEM Backed Hardware Maintenance" dataDxfId="268"/>
    <tableColumn id="8" xr3:uid="{D11E3A59-53EF-4DE2-AC82-0FA995A38213}" name="(J)_x000a_USD PRICE_x000a_Annual Partner Support Service (1 Year)_x000a_Chassis Plus Modules_x000a_- according to HW service level (I)_x000a_Y1" dataDxfId="266" totalsRowDxfId="267"/>
    <tableColumn id="20" xr3:uid="{CC77B030-B978-4AF4-BFE5-D9F8A254CAA3}" name="(K)_x000a_USD PRICE_x000a_Annual Partner Support Service (1 Year)_x000a_Chassis Plus Modules_x000a_- according to HW service level (I)_x000a_Y2" dataDxfId="264" totalsRowDxfId="265"/>
    <tableColumn id="21" xr3:uid="{3FBC8495-D3CC-492F-B4DD-7FF15574A591}" name="(L)_x000a_USD PRICE_x000a_Annual Partner Support Service (1 Year)_x000a_Chassis Plus Modules_x000a_- according to HW service level (I)_x000a_Y3" dataDxfId="262" totalsRowDxfId="263"/>
    <tableColumn id="22" xr3:uid="{B07E8B33-73B6-492C-8E40-9F74EF778A9D}" name="(M)_x000a_USD PRICE_x000a_Annual Partner Support Service (1 Year)_x000a_Chassis Plus Modules_x000a_- according to HW service level (I)_x000a_Y4" dataDxfId="260" totalsRowDxfId="261"/>
    <tableColumn id="23" xr3:uid="{F247C5C0-A0F3-4350-B3CB-F41B53E0329E}" name="(N)_x000a_USD PRICE_x000a_Annual Partner Support Service (1 Year)_x000a_Chassis Plus Modules_x000a_- according to HW service level (I)_x000a_Y5" dataDxfId="258" totalsRowDxfId="259"/>
    <tableColumn id="13" xr3:uid="{B762CFB9-01D7-4CF4-9DD0-7B9DE8BB2FFF}" name="(Q)_x000a_Exchange Rate" dataDxfId="256" totalsRowDxfId="257">
      <calculatedColumnFormula>Exchange_Rate</calculatedColumnFormula>
    </tableColumn>
    <tableColumn id="9" xr3:uid="{AA73579B-D4C6-40D4-8DEE-8DAE2B1CBE31}" name="(R)_x000a_Monthly Maintenance according to Service  Level (H) - Y1" dataDxfId="254" totalsRowDxfId="255"/>
    <tableColumn id="10" xr3:uid="{CE25CF5A-E022-4471-8AC8-282FC1123D11}" name="(S)_x000a_Monthly Maintenance according to Service  Level (H) - Y2" dataDxfId="252" totalsRowDxfId="253"/>
    <tableColumn id="24" xr3:uid="{5F1F0220-5492-4698-AD09-AC4F4540C57B}" name="(T)_x000a_Monthly Maintenance according to Service  Level (H) - Y3" dataDxfId="250" totalsRowDxfId="251"/>
    <tableColumn id="25" xr3:uid="{E80E94AB-2C6D-45B7-823F-EE723E6F7202}" name="(U)_x000a_Monthly Maintenance according to Service  Level (H) - Y4" dataDxfId="248" totalsRowDxfId="249"/>
    <tableColumn id="26" xr3:uid="{E6635E61-9397-4B8D-B336-EC491B68ADD4}" name="(V)_x000a_Monthly Maintenance according to Service  Level (H) - Y5" dataDxfId="246" totalsRowDxfId="247"/>
    <tableColumn id="14" xr3:uid="{8A9660FE-09C2-45A2-9642-E44BF48067DC}" name="(Y)_x000a_TOTAL Excluding VAT - Y1_x000a_((A*J)*Q)+((A*R)*12))" totalsRowFunction="sum" dataDxfId="244" totalsRowDxfId="245">
      <calculatedColumnFormula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calculatedColumnFormula>
    </tableColumn>
    <tableColumn id="37" xr3:uid="{DFE2EAC6-0372-4A01-AE7B-0B9D14E28A77}" name="(Z)_x000a_TOTAL Excluding VAT - Y2_x000a_((B*K)*Q)+((B*S)*12))" totalsRowFunction="sum" dataDxfId="242" totalsRowDxfId="243">
      <calculatedColumnFormula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calculatedColumnFormula>
    </tableColumn>
    <tableColumn id="36" xr3:uid="{C9708FBA-1C27-4E5D-A61B-FDD168E82D6E}" name="AA)_x000a_TOTAL Excluding VAT - Y3_x000a_((C*L)*Q)+((C*T)*12))" totalsRowFunction="sum" dataDxfId="240" totalsRowDxfId="241">
      <calculatedColumnFormula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calculatedColumnFormula>
    </tableColumn>
    <tableColumn id="35" xr3:uid="{C8443244-B4BD-4A3C-BDD1-DF320E761769}" name="(AB)_x000a_TOTAL Excluding VAT - Y4_x000a_((D*M)*Q)+((D*U)*12))" totalsRowFunction="sum" dataDxfId="238" totalsRowDxfId="239">
      <calculatedColumnFormula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calculatedColumnFormula>
    </tableColumn>
    <tableColumn id="34" xr3:uid="{5705CF71-7688-4F19-B21F-ACFADBEAB557}" name="(AC)_x000a_TOTAL Excluding VAT - Y5_x000a_((E*N*Q)+((E*V)*12))" totalsRowFunction="sum" dataDxfId="236" totalsRowDxfId="237">
      <calculatedColumnFormula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calculatedColumnFormula>
    </tableColumn>
    <tableColumn id="15" xr3:uid="{43207062-56AE-4C43-8C8B-A2284697B5C1}" name="(AF)_x000a_TOTAL Excluding VAT" totalsRowFunction="sum" dataDxfId="234" totalsRowDxfId="235">
      <calculatedColumnFormula>SUM(T_MAIN_DC19[[#This Row],[(Y)
TOTAL Excluding VAT - Y1
((A*J)*Q)+((A*R)*12))]:[(AC)
TOTAL Excluding VAT - Y5
((E*N*Q)+((E*V)*12))]])</calculatedColumnFormula>
    </tableColumn>
    <tableColumn id="11" xr3:uid="{2C9CD2AF-051F-4066-B552-55ECAE9AE666}" name="Comments" totalsRowFunction="count" dataDxfId="232" totalsRowDxfId="233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3C80BE7-ABAE-4F8E-A4E8-45020D69A162}" name="T_MAIN_DC1920" displayName="T_MAIN_DC1920" ref="A12:AC19" totalsRowCount="1" headerRowDxfId="231" dataDxfId="230" totalsRowDxfId="229">
  <autoFilter ref="A12:AC18" xr:uid="{A27DCF49-7642-47A8-81B0-519E0D94E91E}"/>
  <tableColumns count="29">
    <tableColumn id="1" xr3:uid="{1F964E04-A6E0-4743-9B1F-7A16071269EC}" name="Location" totalsRowLabel="Total" dataDxfId="228"/>
    <tableColumn id="2" xr3:uid="{1F7D52AB-C95E-45E0-AB08-475070706527}" name="Device Name" dataDxfId="227"/>
    <tableColumn id="3" xr3:uid="{A9DF3677-ADDF-474A-BF53-8DDA1CC1E52D}" name="Chassis Serial_x000a_Number" dataDxfId="225" totalsRowDxfId="226"/>
    <tableColumn id="4" xr3:uid="{7CDC63A1-0457-4C84-A1DE-23E5F04791DC}" name="Chassis_x000a_ Model Name" dataDxfId="223" totalsRowDxfId="224"/>
    <tableColumn id="12" xr3:uid="{1B73E672-98FB-4B26-98AE-17DA1B9E3913}" name="(A)_x000a_Qty  - Y1" dataDxfId="221" totalsRowDxfId="222"/>
    <tableColumn id="16" xr3:uid="{7D596A30-7FC0-4EA4-B26A-19D9D9409946}" name="(B)_x000a_Qty  - Y2" dataDxfId="219" totalsRowDxfId="220"/>
    <tableColumn id="17" xr3:uid="{4F0CC1B7-163C-48B6-8460-6BCCC72339A7}" name="(C)_x000a_Qty  - Y3" dataDxfId="217" totalsRowDxfId="218"/>
    <tableColumn id="18" xr3:uid="{6C2BDE18-9BAC-41FD-AA5E-F69156E8FB8B}" name="(D)_x000a_Qty  - Y4" dataDxfId="215" totalsRowDxfId="216"/>
    <tableColumn id="19" xr3:uid="{5F1A64F2-0D56-47B6-A9B9-7EDA27FC6505}" name="(E)_x000a_Qty  - Y5" dataDxfId="213" totalsRowDxfId="214"/>
    <tableColumn id="33" xr3:uid="{DD370688-D153-46C2-8A27-3040F916366C}" name="(H)_x000a_Required Service Level for Preventative mantenance" dataDxfId="212"/>
    <tableColumn id="27" xr3:uid="{0648F7F0-CDA6-4BF7-9C15-6CCD0F900D2C}" name="(I)_x000a_Required Service Level for OEM Backed Hardware Maintenance" dataDxfId="211"/>
    <tableColumn id="8" xr3:uid="{2DA41492-5C14-4C0C-B432-9419EBFAF656}" name="(J)_x000a_USD PRICE_x000a_Annual Partner Support Service (1 Year)_x000a_Chassis Plus Modules_x000a_- according to HW service level (I)_x000a_Y1" dataDxfId="209" totalsRowDxfId="210"/>
    <tableColumn id="20" xr3:uid="{0024A75D-FC72-4C69-ABA7-B46C94F3FD93}" name="(K)_x000a_USD PRICE_x000a_Annual Partner Support Service (1 Year)_x000a_Chassis Plus Modules_x000a_- according to HW service level (I)_x000a_Y2" dataDxfId="207" totalsRowDxfId="208"/>
    <tableColumn id="21" xr3:uid="{D2C71D36-8B4C-4033-A7D1-759D0DB9BC58}" name="(L)_x000a_USD PRICE_x000a_Annual Partner Support Service (1 Year)_x000a_Chassis Plus Modules_x000a_- according to HW service level (I)_x000a_Y3" dataDxfId="205" totalsRowDxfId="206"/>
    <tableColumn id="22" xr3:uid="{0523896D-A990-49E5-A797-C2620DFBF348}" name="(M)_x000a_USD PRICE_x000a_Annual Partner Support Service (1 Year)_x000a_Chassis Plus Modules_x000a_- according to HW service level (I)_x000a_Y4" dataDxfId="203" totalsRowDxfId="204"/>
    <tableColumn id="23" xr3:uid="{605589AC-ABEB-4DD8-962C-A5E192641AEF}" name="(N)_x000a_USD PRICE_x000a_Annual Partner Support Service (1 Year)_x000a_Chassis Plus Modules_x000a_- according to HW service level (I)_x000a_Y5" dataDxfId="201" totalsRowDxfId="202"/>
    <tableColumn id="13" xr3:uid="{7CABF914-D566-433A-AB89-FED219673E86}" name="(Q)_x000a_Exchange Rate" dataDxfId="199" totalsRowDxfId="200">
      <calculatedColumnFormula>Exchange_Rate</calculatedColumnFormula>
    </tableColumn>
    <tableColumn id="9" xr3:uid="{F9904D59-AADC-47BE-A6AB-67EF1E695C9F}" name="(R)_x000a_Monthly Maintenance according to Service  Level (H) - Y1" dataDxfId="197" totalsRowDxfId="198"/>
    <tableColumn id="10" xr3:uid="{99071601-B229-45B9-B75A-755D6369930F}" name="(S)_x000a_Monthly Maintenance according to Service  Level (H) - Y2" dataDxfId="195" totalsRowDxfId="196"/>
    <tableColumn id="24" xr3:uid="{1AC8706B-F603-408E-B52F-7A76FAA93E74}" name="(T)_x000a_Monthly Maintenance according to Service  Level (H) - Y3" dataDxfId="193" totalsRowDxfId="194"/>
    <tableColumn id="25" xr3:uid="{7E5D2D30-B07E-41C9-AB35-9D7FDAB75019}" name="(U)_x000a_Monthly Maintenance according to Service  Level (H) - Y4" dataDxfId="191" totalsRowDxfId="192"/>
    <tableColumn id="26" xr3:uid="{AE5C9389-A183-42E0-A14C-9E22D66D5D6D}" name="(V)_x000a_Monthly Maintenance according to Service  Level (H) - Y5" dataDxfId="189" totalsRowDxfId="190"/>
    <tableColumn id="14" xr3:uid="{9E0B22B3-B853-4525-9B36-751658C039E2}" name="(Y)_x000a_TOTAL Excluding VAT - Y1_x000a_((A*J)*Q)+((A*R)*12))" totalsRowFunction="sum" dataDxfId="187" totalsRowDxfId="188">
      <calculatedColumnFormula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calculatedColumnFormula>
    </tableColumn>
    <tableColumn id="37" xr3:uid="{3862DF61-8346-47E8-A6A7-768E7706FEA7}" name="(Z)_x000a_TOTAL Excluding VAT - Y2_x000a_((B*K)*Q)+((B*S)*12))" totalsRowFunction="sum" dataDxfId="185" totalsRowDxfId="186">
      <calculatedColumnFormula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calculatedColumnFormula>
    </tableColumn>
    <tableColumn id="36" xr3:uid="{6CFA621A-5433-423A-A4E8-CB3CEDB5DBD9}" name="AA)_x000a_TOTAL Excluding VAT - Y3_x000a_((C*L)*Q)+((C*T)*12))" totalsRowFunction="sum" dataDxfId="183" totalsRowDxfId="184">
      <calculatedColumnFormula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calculatedColumnFormula>
    </tableColumn>
    <tableColumn id="35" xr3:uid="{6EB7B4B4-45AE-448D-A836-41E2F37F4F0C}" name="(AB)_x000a_TOTAL Excluding VAT - Y4_x000a_((D*M)*Q)+((D*U)*12))" totalsRowFunction="sum" dataDxfId="181" totalsRowDxfId="182">
      <calculatedColumnFormula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calculatedColumnFormula>
    </tableColumn>
    <tableColumn id="34" xr3:uid="{994CA8CB-10CC-4C4D-B08B-2C292B1BB9E1}" name="(AC)_x000a_TOTAL Excluding VAT - Y5_x000a_((E*N*Q)+((E*V)*12))" totalsRowFunction="sum" dataDxfId="179" totalsRowDxfId="180">
      <calculatedColumnFormula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calculatedColumnFormula>
    </tableColumn>
    <tableColumn id="15" xr3:uid="{A941E4C1-3DF3-42C2-B079-4F2B9FDE1A11}" name="(AF)_x000a_TOTAL Excluding VAT" totalsRowFunction="sum" dataDxfId="177" totalsRowDxfId="178">
      <calculatedColumnFormula>SUM(T_MAIN_DC1920[[#This Row],[(Y)
TOTAL Excluding VAT - Y1
((A*J)*Q)+((A*R)*12))]:[(AC)
TOTAL Excluding VAT - Y5
((E*N*Q)+((E*V)*12))]])</calculatedColumnFormula>
    </tableColumn>
    <tableColumn id="11" xr3:uid="{6BE48651-145E-4B26-B3B9-F7FD57EB0287}" name="Comments" totalsRowFunction="count" dataDxfId="175" totalsRowDxfId="17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32D2-D15E-4F7A-A2FE-47D3D2F80B79}">
  <sheetPr>
    <tabColor rgb="FF92D050"/>
  </sheetPr>
  <dimension ref="B1:S18"/>
  <sheetViews>
    <sheetView showGridLines="0" topLeftCell="A12" workbookViewId="0">
      <selection activeCell="U1" sqref="U1"/>
    </sheetView>
  </sheetViews>
  <sheetFormatPr defaultRowHeight="14.65"/>
  <cols>
    <col min="1" max="1" width="2.7109375" customWidth="1"/>
  </cols>
  <sheetData>
    <row r="1" spans="2:19" ht="15" thickBot="1"/>
    <row r="2" spans="2:19" ht="14.45" customHeight="1">
      <c r="B2" s="161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3"/>
    </row>
    <row r="3" spans="2:19" ht="14.45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6"/>
    </row>
    <row r="4" spans="2:19" ht="15" customHeight="1">
      <c r="B4" s="164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6"/>
    </row>
    <row r="5" spans="2:19" ht="14.45" customHeight="1">
      <c r="B5" s="164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6"/>
    </row>
    <row r="6" spans="2:19" ht="14.45" customHeight="1">
      <c r="B6" s="16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6"/>
    </row>
    <row r="7" spans="2:19" ht="14.45" customHeight="1" thickBot="1">
      <c r="B7" s="167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9"/>
    </row>
    <row r="8" spans="2:19" ht="20.65" thickBot="1"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</row>
    <row r="9" spans="2:19" ht="15.6" customHeight="1">
      <c r="B9" s="171" t="s">
        <v>1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3"/>
    </row>
    <row r="10" spans="2:19" ht="15.6" customHeight="1">
      <c r="B10" s="174" t="s">
        <v>2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6"/>
    </row>
    <row r="11" spans="2:19" ht="15.6" customHeight="1">
      <c r="B11" s="174" t="s">
        <v>3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6"/>
    </row>
    <row r="12" spans="2:19" ht="15.6" customHeight="1">
      <c r="B12" s="174" t="s">
        <v>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6"/>
    </row>
    <row r="13" spans="2:19" ht="15.4">
      <c r="B13" s="180" t="s">
        <v>5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2"/>
    </row>
    <row r="14" spans="2:19" ht="15.6" customHeight="1">
      <c r="B14" s="174" t="s">
        <v>6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6"/>
    </row>
    <row r="15" spans="2:19" ht="15.6" customHeight="1">
      <c r="B15" s="174" t="s">
        <v>7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6"/>
    </row>
    <row r="16" spans="2:19" ht="15.6" customHeight="1">
      <c r="B16" s="174" t="s">
        <v>8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6"/>
    </row>
    <row r="17" spans="2:19" ht="15.6" customHeight="1" thickBot="1">
      <c r="B17" s="177" t="s">
        <v>9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9"/>
    </row>
    <row r="18" spans="2:19" ht="183.75" customHeight="1" thickBot="1">
      <c r="B18" s="177" t="s">
        <v>10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9"/>
    </row>
  </sheetData>
  <mergeCells count="12">
    <mergeCell ref="B17:S17"/>
    <mergeCell ref="B18:S18"/>
    <mergeCell ref="B12:S12"/>
    <mergeCell ref="B13:S13"/>
    <mergeCell ref="B14:S14"/>
    <mergeCell ref="B15:S15"/>
    <mergeCell ref="B16:S16"/>
    <mergeCell ref="B2:S7"/>
    <mergeCell ref="B8:S8"/>
    <mergeCell ref="B9:S9"/>
    <mergeCell ref="B10:S10"/>
    <mergeCell ref="B11:S11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04D4-FF8A-42AF-8BE6-A8FA58642CDC}">
  <sheetPr>
    <tabColor rgb="FF92D050"/>
    <pageSetUpPr fitToPage="1"/>
  </sheetPr>
  <dimension ref="A1:AC83"/>
  <sheetViews>
    <sheetView showGridLines="0" zoomScaleNormal="100" workbookViewId="0">
      <selection activeCell="D12" sqref="D12"/>
    </sheetView>
  </sheetViews>
  <sheetFormatPr defaultColWidth="9.140625" defaultRowHeight="14.65"/>
  <cols>
    <col min="1" max="1" width="17.7109375" bestFit="1" customWidth="1"/>
    <col min="2" max="2" width="22.42578125" bestFit="1" customWidth="1"/>
    <col min="3" max="3" width="23.42578125" bestFit="1" customWidth="1"/>
    <col min="4" max="4" width="21.85546875" bestFit="1" customWidth="1"/>
    <col min="5" max="5" width="10.7109375" style="91" customWidth="1"/>
    <col min="6" max="6" width="10.7109375" style="10" customWidth="1"/>
    <col min="7" max="7" width="10.7109375" style="92" customWidth="1"/>
    <col min="8" max="8" width="10.7109375" style="94" customWidth="1"/>
    <col min="9" max="9" width="10.7109375" style="10" customWidth="1"/>
    <col min="10" max="10" width="10.28515625" customWidth="1"/>
    <col min="11" max="11" width="11" customWidth="1"/>
    <col min="12" max="16" width="19.28515625" customWidth="1"/>
    <col min="17" max="17" width="14.7109375" bestFit="1" customWidth="1"/>
    <col min="18" max="18" width="22.42578125" bestFit="1" customWidth="1"/>
    <col min="19" max="22" width="22.85546875" bestFit="1" customWidth="1"/>
    <col min="23" max="27" width="15.28515625" customWidth="1"/>
    <col min="28" max="28" width="15.5703125" bestFit="1" customWidth="1"/>
    <col min="29" max="29" width="57.5703125" customWidth="1"/>
  </cols>
  <sheetData>
    <row r="1" spans="1:29" s="4" customFormat="1" ht="15" customHeight="1">
      <c r="A1" s="191" t="s">
        <v>330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3"/>
    </row>
    <row r="2" spans="1:2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/>
    </row>
    <row r="3" spans="1:2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6"/>
    </row>
    <row r="4" spans="1:2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9"/>
    </row>
    <row r="5" spans="1:29" s="4" customFormat="1" ht="15.4">
      <c r="A5" s="216" t="s">
        <v>38</v>
      </c>
      <c r="B5" s="216"/>
      <c r="C5" s="216"/>
      <c r="D5" s="216"/>
      <c r="E5" s="76"/>
      <c r="F5" s="76"/>
      <c r="G5" s="77"/>
      <c r="H5" s="78"/>
      <c r="I5" s="78"/>
    </row>
    <row r="6" spans="1:29" s="4" customFormat="1" ht="15.4">
      <c r="A6" s="212" t="s">
        <v>242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9" s="4" customFormat="1" ht="15.4">
      <c r="A7" s="212" t="s">
        <v>213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29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29" s="4" customFormat="1" ht="15.4">
      <c r="A9" s="212" t="s">
        <v>243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</row>
    <row r="10" spans="1:29" ht="15.4">
      <c r="A10" s="42"/>
      <c r="B10" s="42"/>
      <c r="C10" s="42"/>
      <c r="D10" s="42"/>
      <c r="E10" s="79"/>
      <c r="F10" s="80"/>
      <c r="G10" s="81"/>
      <c r="H10" s="82"/>
      <c r="I10" s="81"/>
      <c r="J10" s="7"/>
      <c r="K10" s="7"/>
      <c r="L10" s="42"/>
    </row>
    <row r="11" spans="1:29" ht="15.4">
      <c r="A11" s="42"/>
      <c r="B11" s="42"/>
      <c r="C11" s="42"/>
      <c r="D11" s="42"/>
      <c r="E11" s="79"/>
      <c r="F11" s="80"/>
      <c r="G11" s="83"/>
      <c r="H11" s="84"/>
      <c r="I11" s="78"/>
      <c r="J11" s="4"/>
      <c r="K11" s="4"/>
      <c r="L11" s="4"/>
    </row>
    <row r="12" spans="1:29" ht="131.1">
      <c r="A12" s="85" t="s">
        <v>244</v>
      </c>
      <c r="B12" s="85" t="s">
        <v>245</v>
      </c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254</v>
      </c>
      <c r="L12" s="127" t="s">
        <v>255</v>
      </c>
      <c r="M12" s="127" t="s">
        <v>256</v>
      </c>
      <c r="N12" s="127" t="s">
        <v>257</v>
      </c>
      <c r="O12" s="127" t="s">
        <v>258</v>
      </c>
      <c r="P12" s="127" t="s">
        <v>259</v>
      </c>
      <c r="Q12" s="9" t="s">
        <v>260</v>
      </c>
      <c r="R12" s="87" t="s">
        <v>261</v>
      </c>
      <c r="S12" s="87" t="s">
        <v>262</v>
      </c>
      <c r="T12" s="87" t="s">
        <v>263</v>
      </c>
      <c r="U12" s="87" t="s">
        <v>264</v>
      </c>
      <c r="V12" s="87" t="s">
        <v>265</v>
      </c>
      <c r="W12" s="87" t="s">
        <v>266</v>
      </c>
      <c r="X12" s="87" t="s">
        <v>267</v>
      </c>
      <c r="Y12" s="87" t="s">
        <v>268</v>
      </c>
      <c r="Z12" s="87" t="s">
        <v>269</v>
      </c>
      <c r="AA12" s="87" t="s">
        <v>270</v>
      </c>
      <c r="AB12" s="87" t="s">
        <v>271</v>
      </c>
      <c r="AC12" s="9" t="s">
        <v>236</v>
      </c>
    </row>
    <row r="13" spans="1:29">
      <c r="A13" s="10" t="s">
        <v>108</v>
      </c>
      <c r="B13" t="s">
        <v>331</v>
      </c>
      <c r="C13" s="132" t="s">
        <v>332</v>
      </c>
      <c r="D13" s="132" t="s">
        <v>333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t="s">
        <v>275</v>
      </c>
      <c r="K13" t="s">
        <v>275</v>
      </c>
      <c r="L13" s="70"/>
      <c r="M13" s="70"/>
      <c r="N13" s="70"/>
      <c r="O13" s="70"/>
      <c r="P13" s="70"/>
      <c r="Q13" s="74">
        <f t="shared" ref="Q13:Q75" si="0">Exchange_Rate</f>
        <v>17.2315</v>
      </c>
      <c r="R13" s="128"/>
      <c r="S13" s="128"/>
      <c r="T13" s="128"/>
      <c r="U13" s="128"/>
      <c r="V13" s="128"/>
      <c r="W1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3" s="8">
        <f>SUM(T_MAIN_DC192021[[#This Row],[(Y)
TOTAL Excluding VAT - Y1
((A*J)*Q)+((A*R)*12))]:[(AC)
TOTAL Excluding VAT - Y5
((E*N*Q)+((E*V)*12))]])</f>
        <v>0</v>
      </c>
      <c r="AC13" s="73"/>
    </row>
    <row r="14" spans="1:29">
      <c r="A14" s="10" t="s">
        <v>108</v>
      </c>
      <c r="B14" t="s">
        <v>334</v>
      </c>
      <c r="C14" s="132" t="s">
        <v>335</v>
      </c>
      <c r="D14" s="132" t="s">
        <v>333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t="s">
        <v>275</v>
      </c>
      <c r="K14" t="s">
        <v>275</v>
      </c>
      <c r="L14" s="70"/>
      <c r="M14" s="70"/>
      <c r="N14" s="70"/>
      <c r="O14" s="70"/>
      <c r="P14" s="70"/>
      <c r="Q14" s="74">
        <f t="shared" ref="Q14:Q45" si="1">Exchange_Rate</f>
        <v>17.2315</v>
      </c>
      <c r="R14" s="128"/>
      <c r="S14" s="128"/>
      <c r="T14" s="128"/>
      <c r="U14" s="128"/>
      <c r="V14" s="128"/>
      <c r="W1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4" s="8">
        <f>SUM(T_MAIN_DC192021[[#This Row],[(Y)
TOTAL Excluding VAT - Y1
((A*J)*Q)+((A*R)*12))]:[(AC)
TOTAL Excluding VAT - Y5
((E*N*Q)+((E*V)*12))]])</f>
        <v>0</v>
      </c>
      <c r="AC14" s="131"/>
    </row>
    <row r="15" spans="1:29">
      <c r="A15" s="10" t="s">
        <v>108</v>
      </c>
      <c r="B15" t="s">
        <v>336</v>
      </c>
      <c r="C15" s="132" t="s">
        <v>337</v>
      </c>
      <c r="D15" s="132" t="s">
        <v>333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t="s">
        <v>275</v>
      </c>
      <c r="K15" t="s">
        <v>275</v>
      </c>
      <c r="L15" s="70"/>
      <c r="M15" s="70"/>
      <c r="N15" s="70"/>
      <c r="O15" s="70"/>
      <c r="P15" s="70"/>
      <c r="Q15" s="74">
        <f t="shared" si="1"/>
        <v>17.2315</v>
      </c>
      <c r="R15" s="128"/>
      <c r="S15" s="128"/>
      <c r="T15" s="128"/>
      <c r="U15" s="128"/>
      <c r="V15" s="128"/>
      <c r="W1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5" s="8">
        <f>SUM(T_MAIN_DC192021[[#This Row],[(Y)
TOTAL Excluding VAT - Y1
((A*J)*Q)+((A*R)*12))]:[(AC)
TOTAL Excluding VAT - Y5
((E*N*Q)+((E*V)*12))]])</f>
        <v>0</v>
      </c>
      <c r="AC15" s="131"/>
    </row>
    <row r="16" spans="1:29">
      <c r="A16" s="10" t="s">
        <v>108</v>
      </c>
      <c r="B16" t="s">
        <v>338</v>
      </c>
      <c r="C16" s="132" t="s">
        <v>339</v>
      </c>
      <c r="D16" s="132" t="s">
        <v>333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t="s">
        <v>275</v>
      </c>
      <c r="K16" t="s">
        <v>275</v>
      </c>
      <c r="L16" s="70"/>
      <c r="M16" s="70"/>
      <c r="N16" s="70"/>
      <c r="O16" s="70"/>
      <c r="P16" s="70"/>
      <c r="Q16" s="74">
        <f t="shared" si="1"/>
        <v>17.2315</v>
      </c>
      <c r="R16" s="128"/>
      <c r="S16" s="128"/>
      <c r="T16" s="128"/>
      <c r="U16" s="128"/>
      <c r="V16" s="128"/>
      <c r="W1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6" s="8">
        <f>SUM(T_MAIN_DC192021[[#This Row],[(Y)
TOTAL Excluding VAT - Y1
((A*J)*Q)+((A*R)*12))]:[(AC)
TOTAL Excluding VAT - Y5
((E*N*Q)+((E*V)*12))]])</f>
        <v>0</v>
      </c>
      <c r="AC16" s="131"/>
    </row>
    <row r="17" spans="1:29">
      <c r="A17" s="10" t="s">
        <v>108</v>
      </c>
      <c r="B17" t="s">
        <v>340</v>
      </c>
      <c r="C17" s="132" t="s">
        <v>341</v>
      </c>
      <c r="D17" s="132" t="s">
        <v>333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t="s">
        <v>275</v>
      </c>
      <c r="K17" t="s">
        <v>275</v>
      </c>
      <c r="L17" s="70"/>
      <c r="M17" s="70"/>
      <c r="N17" s="70"/>
      <c r="O17" s="70"/>
      <c r="P17" s="70"/>
      <c r="Q17" s="74">
        <f t="shared" si="1"/>
        <v>17.2315</v>
      </c>
      <c r="R17" s="128"/>
      <c r="S17" s="128"/>
      <c r="T17" s="128"/>
      <c r="U17" s="128"/>
      <c r="V17" s="128"/>
      <c r="W1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7" s="8">
        <f>SUM(T_MAIN_DC192021[[#This Row],[(Y)
TOTAL Excluding VAT - Y1
((A*J)*Q)+((A*R)*12))]:[(AC)
TOTAL Excluding VAT - Y5
((E*N*Q)+((E*V)*12))]])</f>
        <v>0</v>
      </c>
      <c r="AC17" s="131"/>
    </row>
    <row r="18" spans="1:29">
      <c r="A18" s="10" t="s">
        <v>108</v>
      </c>
      <c r="B18" t="s">
        <v>342</v>
      </c>
      <c r="C18" s="132" t="s">
        <v>343</v>
      </c>
      <c r="D18" s="132" t="s">
        <v>333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t="s">
        <v>275</v>
      </c>
      <c r="K18" t="s">
        <v>275</v>
      </c>
      <c r="L18" s="70"/>
      <c r="M18" s="70"/>
      <c r="N18" s="70"/>
      <c r="O18" s="70"/>
      <c r="P18" s="70"/>
      <c r="Q18" s="74">
        <f t="shared" si="1"/>
        <v>17.2315</v>
      </c>
      <c r="R18" s="128"/>
      <c r="S18" s="128"/>
      <c r="T18" s="128"/>
      <c r="U18" s="128"/>
      <c r="V18" s="128"/>
      <c r="W1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8" s="8">
        <f>SUM(T_MAIN_DC192021[[#This Row],[(Y)
TOTAL Excluding VAT - Y1
((A*J)*Q)+((A*R)*12))]:[(AC)
TOTAL Excluding VAT - Y5
((E*N*Q)+((E*V)*12))]])</f>
        <v>0</v>
      </c>
      <c r="AC18" s="131"/>
    </row>
    <row r="19" spans="1:29">
      <c r="A19" s="10" t="s">
        <v>110</v>
      </c>
      <c r="B19" t="s">
        <v>344</v>
      </c>
      <c r="C19" s="132" t="s">
        <v>345</v>
      </c>
      <c r="D19" s="132" t="s">
        <v>346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t="s">
        <v>319</v>
      </c>
      <c r="K19" t="s">
        <v>319</v>
      </c>
      <c r="L19" s="70"/>
      <c r="M19" s="70"/>
      <c r="N19" s="70"/>
      <c r="O19" s="70"/>
      <c r="P19" s="70"/>
      <c r="Q19" s="74">
        <f t="shared" si="1"/>
        <v>17.2315</v>
      </c>
      <c r="R19" s="128"/>
      <c r="S19" s="128"/>
      <c r="T19" s="128"/>
      <c r="U19" s="128"/>
      <c r="V19" s="128"/>
      <c r="W1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1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1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1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1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19" s="8">
        <f>SUM(T_MAIN_DC192021[[#This Row],[(Y)
TOTAL Excluding VAT - Y1
((A*J)*Q)+((A*R)*12))]:[(AC)
TOTAL Excluding VAT - Y5
((E*N*Q)+((E*V)*12))]])</f>
        <v>0</v>
      </c>
      <c r="AC19" s="131"/>
    </row>
    <row r="20" spans="1:29">
      <c r="A20" s="10" t="s">
        <v>110</v>
      </c>
      <c r="B20" t="s">
        <v>347</v>
      </c>
      <c r="C20" s="132" t="s">
        <v>348</v>
      </c>
      <c r="D20" s="132" t="s">
        <v>346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t="s">
        <v>319</v>
      </c>
      <c r="K20" t="s">
        <v>319</v>
      </c>
      <c r="L20" s="70"/>
      <c r="M20" s="70"/>
      <c r="N20" s="70"/>
      <c r="O20" s="70"/>
      <c r="P20" s="70"/>
      <c r="Q20" s="74">
        <f t="shared" si="1"/>
        <v>17.2315</v>
      </c>
      <c r="R20" s="128"/>
      <c r="S20" s="128"/>
      <c r="T20" s="128"/>
      <c r="U20" s="128"/>
      <c r="V20" s="128"/>
      <c r="W2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0" s="8">
        <f>SUM(T_MAIN_DC192021[[#This Row],[(Y)
TOTAL Excluding VAT - Y1
((A*J)*Q)+((A*R)*12))]:[(AC)
TOTAL Excluding VAT - Y5
((E*N*Q)+((E*V)*12))]])</f>
        <v>0</v>
      </c>
      <c r="AC20" s="131"/>
    </row>
    <row r="21" spans="1:29">
      <c r="A21" s="10" t="s">
        <v>104</v>
      </c>
      <c r="B21" t="s">
        <v>349</v>
      </c>
      <c r="C21" s="132" t="s">
        <v>350</v>
      </c>
      <c r="D21" s="132" t="s">
        <v>346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t="s">
        <v>319</v>
      </c>
      <c r="K21" t="s">
        <v>319</v>
      </c>
      <c r="L21" s="70"/>
      <c r="M21" s="70"/>
      <c r="N21" s="70"/>
      <c r="O21" s="70"/>
      <c r="P21" s="70"/>
      <c r="Q21" s="74">
        <f t="shared" si="1"/>
        <v>17.2315</v>
      </c>
      <c r="R21" s="128"/>
      <c r="S21" s="128"/>
      <c r="T21" s="128"/>
      <c r="U21" s="128"/>
      <c r="V21" s="128"/>
      <c r="W2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1" s="8">
        <f>SUM(T_MAIN_DC192021[[#This Row],[(Y)
TOTAL Excluding VAT - Y1
((A*J)*Q)+((A*R)*12))]:[(AC)
TOTAL Excluding VAT - Y5
((E*N*Q)+((E*V)*12))]])</f>
        <v>0</v>
      </c>
      <c r="AC21" s="131"/>
    </row>
    <row r="22" spans="1:29">
      <c r="A22" s="10" t="s">
        <v>104</v>
      </c>
      <c r="B22" t="s">
        <v>351</v>
      </c>
      <c r="C22" s="132" t="s">
        <v>352</v>
      </c>
      <c r="D22" s="132" t="s">
        <v>346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t="s">
        <v>319</v>
      </c>
      <c r="K22" t="s">
        <v>319</v>
      </c>
      <c r="L22" s="70"/>
      <c r="M22" s="70"/>
      <c r="N22" s="70"/>
      <c r="O22" s="70"/>
      <c r="P22" s="70"/>
      <c r="Q22" s="74">
        <f t="shared" si="1"/>
        <v>17.2315</v>
      </c>
      <c r="R22" s="128"/>
      <c r="S22" s="128"/>
      <c r="T22" s="128"/>
      <c r="U22" s="128"/>
      <c r="V22" s="128"/>
      <c r="W2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2" s="8">
        <f>SUM(T_MAIN_DC192021[[#This Row],[(Y)
TOTAL Excluding VAT - Y1
((A*J)*Q)+((A*R)*12))]:[(AC)
TOTAL Excluding VAT - Y5
((E*N*Q)+((E*V)*12))]])</f>
        <v>0</v>
      </c>
      <c r="AC22" s="131"/>
    </row>
    <row r="23" spans="1:29">
      <c r="A23" s="10" t="s">
        <v>104</v>
      </c>
      <c r="B23" t="s">
        <v>353</v>
      </c>
      <c r="C23" s="132" t="s">
        <v>354</v>
      </c>
      <c r="D23" s="132" t="s">
        <v>346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t="s">
        <v>319</v>
      </c>
      <c r="K23" t="s">
        <v>319</v>
      </c>
      <c r="L23" s="70"/>
      <c r="M23" s="70"/>
      <c r="N23" s="70"/>
      <c r="O23" s="70"/>
      <c r="P23" s="70"/>
      <c r="Q23" s="74">
        <f t="shared" si="1"/>
        <v>17.2315</v>
      </c>
      <c r="R23" s="128"/>
      <c r="S23" s="128"/>
      <c r="T23" s="128"/>
      <c r="U23" s="128"/>
      <c r="V23" s="128"/>
      <c r="W2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3" s="8">
        <f>SUM(T_MAIN_DC192021[[#This Row],[(Y)
TOTAL Excluding VAT - Y1
((A*J)*Q)+((A*R)*12))]:[(AC)
TOTAL Excluding VAT - Y5
((E*N*Q)+((E*V)*12))]])</f>
        <v>0</v>
      </c>
      <c r="AC23" s="131"/>
    </row>
    <row r="24" spans="1:29">
      <c r="A24" s="10" t="s">
        <v>104</v>
      </c>
      <c r="B24" t="s">
        <v>355</v>
      </c>
      <c r="C24" s="132" t="s">
        <v>356</v>
      </c>
      <c r="D24" s="132" t="s">
        <v>346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t="s">
        <v>319</v>
      </c>
      <c r="K24" t="s">
        <v>319</v>
      </c>
      <c r="L24" s="70"/>
      <c r="M24" s="70"/>
      <c r="N24" s="70"/>
      <c r="O24" s="70"/>
      <c r="P24" s="70"/>
      <c r="Q24" s="74">
        <f t="shared" si="1"/>
        <v>17.2315</v>
      </c>
      <c r="R24" s="128"/>
      <c r="S24" s="128"/>
      <c r="T24" s="128"/>
      <c r="U24" s="128"/>
      <c r="V24" s="128"/>
      <c r="W2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4" s="8">
        <f>SUM(T_MAIN_DC192021[[#This Row],[(Y)
TOTAL Excluding VAT - Y1
((A*J)*Q)+((A*R)*12))]:[(AC)
TOTAL Excluding VAT - Y5
((E*N*Q)+((E*V)*12))]])</f>
        <v>0</v>
      </c>
      <c r="AC24" s="131"/>
    </row>
    <row r="25" spans="1:29">
      <c r="A25" s="10" t="s">
        <v>104</v>
      </c>
      <c r="B25" t="s">
        <v>357</v>
      </c>
      <c r="C25" s="132" t="s">
        <v>358</v>
      </c>
      <c r="D25" s="132" t="s">
        <v>346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t="s">
        <v>319</v>
      </c>
      <c r="K25" t="s">
        <v>319</v>
      </c>
      <c r="L25" s="70"/>
      <c r="M25" s="70"/>
      <c r="N25" s="70"/>
      <c r="O25" s="70"/>
      <c r="P25" s="70"/>
      <c r="Q25" s="74">
        <f t="shared" si="1"/>
        <v>17.2315</v>
      </c>
      <c r="R25" s="128"/>
      <c r="S25" s="128"/>
      <c r="T25" s="128"/>
      <c r="U25" s="128"/>
      <c r="V25" s="128"/>
      <c r="W2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5" s="8">
        <f>SUM(T_MAIN_DC192021[[#This Row],[(Y)
TOTAL Excluding VAT - Y1
((A*J)*Q)+((A*R)*12))]:[(AC)
TOTAL Excluding VAT - Y5
((E*N*Q)+((E*V)*12))]])</f>
        <v>0</v>
      </c>
      <c r="AC25" s="131"/>
    </row>
    <row r="26" spans="1:29">
      <c r="A26" s="10" t="s">
        <v>104</v>
      </c>
      <c r="B26" t="s">
        <v>359</v>
      </c>
      <c r="C26" s="132" t="s">
        <v>360</v>
      </c>
      <c r="D26" s="132" t="s">
        <v>346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t="s">
        <v>319</v>
      </c>
      <c r="K26" t="s">
        <v>319</v>
      </c>
      <c r="L26" s="70"/>
      <c r="M26" s="70"/>
      <c r="N26" s="70"/>
      <c r="O26" s="70"/>
      <c r="P26" s="70"/>
      <c r="Q26" s="74">
        <f t="shared" si="1"/>
        <v>17.2315</v>
      </c>
      <c r="R26" s="128"/>
      <c r="S26" s="128"/>
      <c r="T26" s="128"/>
      <c r="U26" s="128"/>
      <c r="V26" s="128"/>
      <c r="W2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6" s="8">
        <f>SUM(T_MAIN_DC192021[[#This Row],[(Y)
TOTAL Excluding VAT - Y1
((A*J)*Q)+((A*R)*12))]:[(AC)
TOTAL Excluding VAT - Y5
((E*N*Q)+((E*V)*12))]])</f>
        <v>0</v>
      </c>
      <c r="AC26" s="131"/>
    </row>
    <row r="27" spans="1:29">
      <c r="A27" s="10" t="s">
        <v>108</v>
      </c>
      <c r="B27" t="s">
        <v>361</v>
      </c>
      <c r="C27" s="132" t="s">
        <v>362</v>
      </c>
      <c r="D27" s="132" t="s">
        <v>346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t="s">
        <v>319</v>
      </c>
      <c r="K27" t="s">
        <v>319</v>
      </c>
      <c r="L27" s="70"/>
      <c r="M27" s="70"/>
      <c r="N27" s="70"/>
      <c r="O27" s="70"/>
      <c r="P27" s="70"/>
      <c r="Q27" s="74">
        <f t="shared" si="1"/>
        <v>17.2315</v>
      </c>
      <c r="R27" s="128"/>
      <c r="S27" s="128"/>
      <c r="T27" s="128"/>
      <c r="U27" s="128"/>
      <c r="V27" s="128"/>
      <c r="W2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7" s="8">
        <f>SUM(T_MAIN_DC192021[[#This Row],[(Y)
TOTAL Excluding VAT - Y1
((A*J)*Q)+((A*R)*12))]:[(AC)
TOTAL Excluding VAT - Y5
((E*N*Q)+((E*V)*12))]])</f>
        <v>0</v>
      </c>
      <c r="AC27" s="131"/>
    </row>
    <row r="28" spans="1:29">
      <c r="A28" s="10" t="s">
        <v>108</v>
      </c>
      <c r="B28" t="s">
        <v>363</v>
      </c>
      <c r="C28" s="132" t="s">
        <v>364</v>
      </c>
      <c r="D28" s="132" t="s">
        <v>346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t="s">
        <v>319</v>
      </c>
      <c r="K28" t="s">
        <v>319</v>
      </c>
      <c r="L28" s="70"/>
      <c r="M28" s="70"/>
      <c r="N28" s="70"/>
      <c r="O28" s="70"/>
      <c r="P28" s="70"/>
      <c r="Q28" s="74">
        <f t="shared" si="1"/>
        <v>17.2315</v>
      </c>
      <c r="R28" s="128"/>
      <c r="S28" s="128"/>
      <c r="T28" s="128"/>
      <c r="U28" s="128"/>
      <c r="V28" s="128"/>
      <c r="W2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8" s="8">
        <f>SUM(T_MAIN_DC192021[[#This Row],[(Y)
TOTAL Excluding VAT - Y1
((A*J)*Q)+((A*R)*12))]:[(AC)
TOTAL Excluding VAT - Y5
((E*N*Q)+((E*V)*12))]])</f>
        <v>0</v>
      </c>
      <c r="AC28" s="131"/>
    </row>
    <row r="29" spans="1:29">
      <c r="A29" s="10" t="s">
        <v>116</v>
      </c>
      <c r="B29" t="s">
        <v>365</v>
      </c>
      <c r="C29" s="132" t="s">
        <v>366</v>
      </c>
      <c r="D29" s="132" t="s">
        <v>346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t="s">
        <v>319</v>
      </c>
      <c r="K29" t="s">
        <v>319</v>
      </c>
      <c r="L29" s="70"/>
      <c r="M29" s="70"/>
      <c r="N29" s="70"/>
      <c r="O29" s="70"/>
      <c r="P29" s="70"/>
      <c r="Q29" s="74">
        <f t="shared" si="1"/>
        <v>17.2315</v>
      </c>
      <c r="R29" s="128"/>
      <c r="S29" s="128"/>
      <c r="T29" s="128"/>
      <c r="U29" s="128"/>
      <c r="V29" s="128"/>
      <c r="W2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2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2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2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2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29" s="8">
        <f>SUM(T_MAIN_DC192021[[#This Row],[(Y)
TOTAL Excluding VAT - Y1
((A*J)*Q)+((A*R)*12))]:[(AC)
TOTAL Excluding VAT - Y5
((E*N*Q)+((E*V)*12))]])</f>
        <v>0</v>
      </c>
      <c r="AC29" s="131"/>
    </row>
    <row r="30" spans="1:29">
      <c r="A30" s="10" t="s">
        <v>102</v>
      </c>
      <c r="B30" t="s">
        <v>367</v>
      </c>
      <c r="C30" s="132" t="s">
        <v>368</v>
      </c>
      <c r="D30" s="132" t="s">
        <v>346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t="s">
        <v>319</v>
      </c>
      <c r="K30" t="s">
        <v>319</v>
      </c>
      <c r="L30" s="70"/>
      <c r="M30" s="70"/>
      <c r="N30" s="70"/>
      <c r="O30" s="70"/>
      <c r="P30" s="70"/>
      <c r="Q30" s="74">
        <f t="shared" si="1"/>
        <v>17.2315</v>
      </c>
      <c r="R30" s="128"/>
      <c r="S30" s="128"/>
      <c r="T30" s="128"/>
      <c r="U30" s="128"/>
      <c r="V30" s="128"/>
      <c r="W3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0" s="8">
        <f>SUM(T_MAIN_DC192021[[#This Row],[(Y)
TOTAL Excluding VAT - Y1
((A*J)*Q)+((A*R)*12))]:[(AC)
TOTAL Excluding VAT - Y5
((E*N*Q)+((E*V)*12))]])</f>
        <v>0</v>
      </c>
      <c r="AC30" s="131"/>
    </row>
    <row r="31" spans="1:29">
      <c r="A31" s="10" t="s">
        <v>112</v>
      </c>
      <c r="B31" t="s">
        <v>369</v>
      </c>
      <c r="C31" s="132" t="s">
        <v>370</v>
      </c>
      <c r="D31" s="132" t="s">
        <v>346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t="s">
        <v>319</v>
      </c>
      <c r="K31" t="s">
        <v>319</v>
      </c>
      <c r="L31" s="70"/>
      <c r="M31" s="70"/>
      <c r="N31" s="70"/>
      <c r="O31" s="70"/>
      <c r="P31" s="70"/>
      <c r="Q31" s="74">
        <f t="shared" si="1"/>
        <v>17.2315</v>
      </c>
      <c r="R31" s="128"/>
      <c r="S31" s="128"/>
      <c r="T31" s="128"/>
      <c r="U31" s="128"/>
      <c r="V31" s="128"/>
      <c r="W3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1" s="8">
        <f>SUM(T_MAIN_DC192021[[#This Row],[(Y)
TOTAL Excluding VAT - Y1
((A*J)*Q)+((A*R)*12))]:[(AC)
TOTAL Excluding VAT - Y5
((E*N*Q)+((E*V)*12))]])</f>
        <v>0</v>
      </c>
      <c r="AC31" s="131"/>
    </row>
    <row r="32" spans="1:29">
      <c r="A32" s="10" t="s">
        <v>118</v>
      </c>
      <c r="B32" t="s">
        <v>371</v>
      </c>
      <c r="C32" s="132" t="s">
        <v>372</v>
      </c>
      <c r="D32" s="132" t="s">
        <v>346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t="s">
        <v>319</v>
      </c>
      <c r="K32" t="s">
        <v>319</v>
      </c>
      <c r="L32" s="70"/>
      <c r="M32" s="70"/>
      <c r="N32" s="70"/>
      <c r="O32" s="70"/>
      <c r="P32" s="70"/>
      <c r="Q32" s="74">
        <f t="shared" si="1"/>
        <v>17.2315</v>
      </c>
      <c r="R32" s="128"/>
      <c r="S32" s="128"/>
      <c r="T32" s="128"/>
      <c r="U32" s="128"/>
      <c r="V32" s="128"/>
      <c r="W3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2" s="8">
        <f>SUM(T_MAIN_DC192021[[#This Row],[(Y)
TOTAL Excluding VAT - Y1
((A*J)*Q)+((A*R)*12))]:[(AC)
TOTAL Excluding VAT - Y5
((E*N*Q)+((E*V)*12))]])</f>
        <v>0</v>
      </c>
      <c r="AC32" s="131"/>
    </row>
    <row r="33" spans="1:29">
      <c r="A33" s="10" t="s">
        <v>104</v>
      </c>
      <c r="B33" t="s">
        <v>373</v>
      </c>
      <c r="C33" s="132" t="s">
        <v>374</v>
      </c>
      <c r="D33" s="132" t="s">
        <v>375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t="s">
        <v>319</v>
      </c>
      <c r="K33" t="s">
        <v>319</v>
      </c>
      <c r="L33" s="70"/>
      <c r="M33" s="70"/>
      <c r="N33" s="70"/>
      <c r="O33" s="70"/>
      <c r="P33" s="70"/>
      <c r="Q33" s="74">
        <f t="shared" si="1"/>
        <v>17.2315</v>
      </c>
      <c r="R33" s="128"/>
      <c r="S33" s="128"/>
      <c r="T33" s="128"/>
      <c r="U33" s="128"/>
      <c r="V33" s="128"/>
      <c r="W3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3" s="8">
        <f>SUM(T_MAIN_DC192021[[#This Row],[(Y)
TOTAL Excluding VAT - Y1
((A*J)*Q)+((A*R)*12))]:[(AC)
TOTAL Excluding VAT - Y5
((E*N*Q)+((E*V)*12))]])</f>
        <v>0</v>
      </c>
      <c r="AC33" s="131"/>
    </row>
    <row r="34" spans="1:29">
      <c r="A34" s="10" t="s">
        <v>104</v>
      </c>
      <c r="B34" t="s">
        <v>376</v>
      </c>
      <c r="C34" s="132" t="s">
        <v>377</v>
      </c>
      <c r="D34" s="132" t="s">
        <v>375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t="s">
        <v>319</v>
      </c>
      <c r="K34" t="s">
        <v>319</v>
      </c>
      <c r="L34" s="70"/>
      <c r="M34" s="70"/>
      <c r="N34" s="70"/>
      <c r="O34" s="70"/>
      <c r="P34" s="70"/>
      <c r="Q34" s="74">
        <f t="shared" si="1"/>
        <v>17.2315</v>
      </c>
      <c r="R34" s="128"/>
      <c r="S34" s="128"/>
      <c r="T34" s="128"/>
      <c r="U34" s="128"/>
      <c r="V34" s="128"/>
      <c r="W3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4" s="8">
        <f>SUM(T_MAIN_DC192021[[#This Row],[(Y)
TOTAL Excluding VAT - Y1
((A*J)*Q)+((A*R)*12))]:[(AC)
TOTAL Excluding VAT - Y5
((E*N*Q)+((E*V)*12))]])</f>
        <v>0</v>
      </c>
      <c r="AC34" s="131"/>
    </row>
    <row r="35" spans="1:29">
      <c r="A35" s="10" t="s">
        <v>104</v>
      </c>
      <c r="B35" t="s">
        <v>378</v>
      </c>
      <c r="C35" s="132" t="s">
        <v>379</v>
      </c>
      <c r="D35" s="132" t="s">
        <v>375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t="s">
        <v>319</v>
      </c>
      <c r="K35" t="s">
        <v>319</v>
      </c>
      <c r="L35" s="70"/>
      <c r="M35" s="70"/>
      <c r="N35" s="70"/>
      <c r="O35" s="70"/>
      <c r="P35" s="70"/>
      <c r="Q35" s="74">
        <f t="shared" si="1"/>
        <v>17.2315</v>
      </c>
      <c r="R35" s="128"/>
      <c r="S35" s="128"/>
      <c r="T35" s="128"/>
      <c r="U35" s="128"/>
      <c r="V35" s="128"/>
      <c r="W3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5" s="8">
        <f>SUM(T_MAIN_DC192021[[#This Row],[(Y)
TOTAL Excluding VAT - Y1
((A*J)*Q)+((A*R)*12))]:[(AC)
TOTAL Excluding VAT - Y5
((E*N*Q)+((E*V)*12))]])</f>
        <v>0</v>
      </c>
      <c r="AC35" s="131"/>
    </row>
    <row r="36" spans="1:29">
      <c r="A36" s="10" t="s">
        <v>104</v>
      </c>
      <c r="B36" t="s">
        <v>380</v>
      </c>
      <c r="C36" s="132" t="s">
        <v>381</v>
      </c>
      <c r="D36" s="132" t="s">
        <v>375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t="s">
        <v>319</v>
      </c>
      <c r="K36" t="s">
        <v>319</v>
      </c>
      <c r="L36" s="70"/>
      <c r="M36" s="70"/>
      <c r="N36" s="70"/>
      <c r="O36" s="70"/>
      <c r="P36" s="70"/>
      <c r="Q36" s="74">
        <f t="shared" si="1"/>
        <v>17.2315</v>
      </c>
      <c r="R36" s="128"/>
      <c r="S36" s="128"/>
      <c r="T36" s="128"/>
      <c r="U36" s="128"/>
      <c r="V36" s="128"/>
      <c r="W3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6" s="8">
        <f>SUM(T_MAIN_DC192021[[#This Row],[(Y)
TOTAL Excluding VAT - Y1
((A*J)*Q)+((A*R)*12))]:[(AC)
TOTAL Excluding VAT - Y5
((E*N*Q)+((E*V)*12))]])</f>
        <v>0</v>
      </c>
      <c r="AC36" s="131"/>
    </row>
    <row r="37" spans="1:29">
      <c r="A37" s="10" t="s">
        <v>104</v>
      </c>
      <c r="B37" t="s">
        <v>382</v>
      </c>
      <c r="C37" s="132" t="s">
        <v>383</v>
      </c>
      <c r="D37" s="132" t="s">
        <v>375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t="s">
        <v>319</v>
      </c>
      <c r="K37" t="s">
        <v>319</v>
      </c>
      <c r="L37" s="70"/>
      <c r="M37" s="70"/>
      <c r="N37" s="70"/>
      <c r="O37" s="70"/>
      <c r="P37" s="70"/>
      <c r="Q37" s="74">
        <f t="shared" si="1"/>
        <v>17.2315</v>
      </c>
      <c r="R37" s="128"/>
      <c r="S37" s="128"/>
      <c r="T37" s="128"/>
      <c r="U37" s="128"/>
      <c r="V37" s="128"/>
      <c r="W3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7" s="8">
        <f>SUM(T_MAIN_DC192021[[#This Row],[(Y)
TOTAL Excluding VAT - Y1
((A*J)*Q)+((A*R)*12))]:[(AC)
TOTAL Excluding VAT - Y5
((E*N*Q)+((E*V)*12))]])</f>
        <v>0</v>
      </c>
      <c r="AC37" s="131"/>
    </row>
    <row r="38" spans="1:29">
      <c r="A38" s="10" t="s">
        <v>104</v>
      </c>
      <c r="B38" t="s">
        <v>384</v>
      </c>
      <c r="C38" s="132" t="s">
        <v>385</v>
      </c>
      <c r="D38" s="132" t="s">
        <v>375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t="s">
        <v>319</v>
      </c>
      <c r="K38" t="s">
        <v>319</v>
      </c>
      <c r="L38" s="70"/>
      <c r="M38" s="70"/>
      <c r="N38" s="70"/>
      <c r="O38" s="70"/>
      <c r="P38" s="70"/>
      <c r="Q38" s="74">
        <f t="shared" si="1"/>
        <v>17.2315</v>
      </c>
      <c r="R38" s="128"/>
      <c r="S38" s="128"/>
      <c r="T38" s="128"/>
      <c r="U38" s="128"/>
      <c r="V38" s="128"/>
      <c r="W3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8" s="8">
        <f>SUM(T_MAIN_DC192021[[#This Row],[(Y)
TOTAL Excluding VAT - Y1
((A*J)*Q)+((A*R)*12))]:[(AC)
TOTAL Excluding VAT - Y5
((E*N*Q)+((E*V)*12))]])</f>
        <v>0</v>
      </c>
      <c r="AC38" s="131"/>
    </row>
    <row r="39" spans="1:29">
      <c r="A39" s="10" t="s">
        <v>104</v>
      </c>
      <c r="B39" t="s">
        <v>386</v>
      </c>
      <c r="C39" s="132" t="s">
        <v>387</v>
      </c>
      <c r="D39" s="132" t="s">
        <v>375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t="s">
        <v>319</v>
      </c>
      <c r="K39" t="s">
        <v>319</v>
      </c>
      <c r="L39" s="70"/>
      <c r="M39" s="70"/>
      <c r="N39" s="70"/>
      <c r="O39" s="70"/>
      <c r="P39" s="70"/>
      <c r="Q39" s="74">
        <f t="shared" si="1"/>
        <v>17.2315</v>
      </c>
      <c r="R39" s="128"/>
      <c r="S39" s="128"/>
      <c r="T39" s="128"/>
      <c r="U39" s="128"/>
      <c r="V39" s="128"/>
      <c r="W3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3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3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3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3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39" s="8">
        <f>SUM(T_MAIN_DC192021[[#This Row],[(Y)
TOTAL Excluding VAT - Y1
((A*J)*Q)+((A*R)*12))]:[(AC)
TOTAL Excluding VAT - Y5
((E*N*Q)+((E*V)*12))]])</f>
        <v>0</v>
      </c>
      <c r="AC39" s="131"/>
    </row>
    <row r="40" spans="1:29">
      <c r="A40" s="10" t="s">
        <v>104</v>
      </c>
      <c r="B40" t="s">
        <v>388</v>
      </c>
      <c r="C40" s="132" t="s">
        <v>389</v>
      </c>
      <c r="D40" s="132" t="s">
        <v>375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t="s">
        <v>319</v>
      </c>
      <c r="K40" t="s">
        <v>319</v>
      </c>
      <c r="L40" s="70"/>
      <c r="M40" s="70"/>
      <c r="N40" s="70"/>
      <c r="O40" s="70"/>
      <c r="P40" s="70"/>
      <c r="Q40" s="74">
        <f t="shared" si="1"/>
        <v>17.2315</v>
      </c>
      <c r="R40" s="128"/>
      <c r="S40" s="128"/>
      <c r="T40" s="128"/>
      <c r="U40" s="128"/>
      <c r="V40" s="128"/>
      <c r="W4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0" s="8">
        <f>SUM(T_MAIN_DC192021[[#This Row],[(Y)
TOTAL Excluding VAT - Y1
((A*J)*Q)+((A*R)*12))]:[(AC)
TOTAL Excluding VAT - Y5
((E*N*Q)+((E*V)*12))]])</f>
        <v>0</v>
      </c>
      <c r="AC40" s="131"/>
    </row>
    <row r="41" spans="1:29">
      <c r="A41" s="10" t="s">
        <v>104</v>
      </c>
      <c r="B41" t="s">
        <v>390</v>
      </c>
      <c r="C41" s="132" t="s">
        <v>391</v>
      </c>
      <c r="D41" s="132" t="s">
        <v>375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t="s">
        <v>319</v>
      </c>
      <c r="K41" t="s">
        <v>319</v>
      </c>
      <c r="L41" s="70"/>
      <c r="M41" s="70"/>
      <c r="N41" s="70"/>
      <c r="O41" s="70"/>
      <c r="P41" s="70"/>
      <c r="Q41" s="74">
        <f t="shared" si="1"/>
        <v>17.2315</v>
      </c>
      <c r="R41" s="128"/>
      <c r="S41" s="128"/>
      <c r="T41" s="128"/>
      <c r="U41" s="128"/>
      <c r="V41" s="128"/>
      <c r="W4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1" s="8">
        <f>SUM(T_MAIN_DC192021[[#This Row],[(Y)
TOTAL Excluding VAT - Y1
((A*J)*Q)+((A*R)*12))]:[(AC)
TOTAL Excluding VAT - Y5
((E*N*Q)+((E*V)*12))]])</f>
        <v>0</v>
      </c>
      <c r="AC41" s="131"/>
    </row>
    <row r="42" spans="1:29">
      <c r="A42" s="10" t="s">
        <v>116</v>
      </c>
      <c r="B42" t="s">
        <v>392</v>
      </c>
      <c r="C42" s="132" t="s">
        <v>393</v>
      </c>
      <c r="D42" s="132" t="s">
        <v>375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t="s">
        <v>319</v>
      </c>
      <c r="K42" t="s">
        <v>319</v>
      </c>
      <c r="L42" s="70"/>
      <c r="M42" s="70"/>
      <c r="N42" s="70"/>
      <c r="O42" s="70"/>
      <c r="P42" s="70"/>
      <c r="Q42" s="74">
        <f t="shared" si="1"/>
        <v>17.2315</v>
      </c>
      <c r="R42" s="128"/>
      <c r="S42" s="128"/>
      <c r="T42" s="128"/>
      <c r="U42" s="128"/>
      <c r="V42" s="128"/>
      <c r="W4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2" s="8">
        <f>SUM(T_MAIN_DC192021[[#This Row],[(Y)
TOTAL Excluding VAT - Y1
((A*J)*Q)+((A*R)*12))]:[(AC)
TOTAL Excluding VAT - Y5
((E*N*Q)+((E*V)*12))]])</f>
        <v>0</v>
      </c>
      <c r="AC42" s="131"/>
    </row>
    <row r="43" spans="1:29">
      <c r="A43" s="10" t="s">
        <v>102</v>
      </c>
      <c r="B43" t="s">
        <v>394</v>
      </c>
      <c r="C43" s="132" t="s">
        <v>395</v>
      </c>
      <c r="D43" s="132" t="s">
        <v>375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t="s">
        <v>319</v>
      </c>
      <c r="K43" t="s">
        <v>319</v>
      </c>
      <c r="L43" s="70"/>
      <c r="M43" s="70"/>
      <c r="N43" s="70"/>
      <c r="O43" s="70"/>
      <c r="P43" s="70"/>
      <c r="Q43" s="74">
        <f t="shared" si="1"/>
        <v>17.2315</v>
      </c>
      <c r="R43" s="128"/>
      <c r="S43" s="128"/>
      <c r="T43" s="128"/>
      <c r="U43" s="128"/>
      <c r="V43" s="128"/>
      <c r="W4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3" s="8">
        <f>SUM(T_MAIN_DC192021[[#This Row],[(Y)
TOTAL Excluding VAT - Y1
((A*J)*Q)+((A*R)*12))]:[(AC)
TOTAL Excluding VAT - Y5
((E*N*Q)+((E*V)*12))]])</f>
        <v>0</v>
      </c>
      <c r="AC43" s="131"/>
    </row>
    <row r="44" spans="1:29">
      <c r="A44" s="10" t="s">
        <v>106</v>
      </c>
      <c r="B44" t="s">
        <v>396</v>
      </c>
      <c r="C44" s="132" t="s">
        <v>397</v>
      </c>
      <c r="D44" s="132" t="s">
        <v>375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t="s">
        <v>319</v>
      </c>
      <c r="K44" t="s">
        <v>319</v>
      </c>
      <c r="L44" s="70"/>
      <c r="M44" s="70"/>
      <c r="N44" s="70"/>
      <c r="O44" s="70"/>
      <c r="P44" s="70"/>
      <c r="Q44" s="74">
        <f t="shared" si="1"/>
        <v>17.2315</v>
      </c>
      <c r="R44" s="128"/>
      <c r="S44" s="128"/>
      <c r="T44" s="128"/>
      <c r="U44" s="128"/>
      <c r="V44" s="128"/>
      <c r="W4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4" s="8">
        <f>SUM(T_MAIN_DC192021[[#This Row],[(Y)
TOTAL Excluding VAT - Y1
((A*J)*Q)+((A*R)*12))]:[(AC)
TOTAL Excluding VAT - Y5
((E*N*Q)+((E*V)*12))]])</f>
        <v>0</v>
      </c>
      <c r="AC44" s="131"/>
    </row>
    <row r="45" spans="1:29">
      <c r="A45" s="10" t="s">
        <v>106</v>
      </c>
      <c r="B45" t="s">
        <v>398</v>
      </c>
      <c r="C45" s="132" t="s">
        <v>399</v>
      </c>
      <c r="D45" s="132" t="s">
        <v>375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t="s">
        <v>319</v>
      </c>
      <c r="K45" t="s">
        <v>319</v>
      </c>
      <c r="L45" s="70"/>
      <c r="M45" s="70"/>
      <c r="N45" s="70"/>
      <c r="O45" s="70"/>
      <c r="P45" s="70"/>
      <c r="Q45" s="74">
        <f t="shared" si="1"/>
        <v>17.2315</v>
      </c>
      <c r="R45" s="128"/>
      <c r="S45" s="128"/>
      <c r="T45" s="128"/>
      <c r="U45" s="128"/>
      <c r="V45" s="128"/>
      <c r="W4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5" s="8">
        <f>SUM(T_MAIN_DC192021[[#This Row],[(Y)
TOTAL Excluding VAT - Y1
((A*J)*Q)+((A*R)*12))]:[(AC)
TOTAL Excluding VAT - Y5
((E*N*Q)+((E*V)*12))]])</f>
        <v>0</v>
      </c>
      <c r="AC45" s="131"/>
    </row>
    <row r="46" spans="1:29">
      <c r="A46" s="10" t="s">
        <v>106</v>
      </c>
      <c r="B46" t="s">
        <v>400</v>
      </c>
      <c r="C46" s="132" t="s">
        <v>401</v>
      </c>
      <c r="D46" s="132" t="s">
        <v>375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t="s">
        <v>319</v>
      </c>
      <c r="K46" t="s">
        <v>319</v>
      </c>
      <c r="L46" s="70"/>
      <c r="M46" s="70"/>
      <c r="N46" s="70"/>
      <c r="O46" s="70"/>
      <c r="P46" s="70"/>
      <c r="Q46" s="74">
        <f t="shared" ref="Q46:Q71" si="2">Exchange_Rate</f>
        <v>17.2315</v>
      </c>
      <c r="R46" s="128"/>
      <c r="S46" s="128"/>
      <c r="T46" s="128"/>
      <c r="U46" s="128"/>
      <c r="V46" s="128"/>
      <c r="W4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6" s="8">
        <f>SUM(T_MAIN_DC192021[[#This Row],[(Y)
TOTAL Excluding VAT - Y1
((A*J)*Q)+((A*R)*12))]:[(AC)
TOTAL Excluding VAT - Y5
((E*N*Q)+((E*V)*12))]])</f>
        <v>0</v>
      </c>
      <c r="AC46" s="131"/>
    </row>
    <row r="47" spans="1:29">
      <c r="A47" s="10" t="s">
        <v>106</v>
      </c>
      <c r="B47" t="s">
        <v>402</v>
      </c>
      <c r="C47" s="132" t="s">
        <v>403</v>
      </c>
      <c r="D47" s="132" t="s">
        <v>375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t="s">
        <v>319</v>
      </c>
      <c r="K47" t="s">
        <v>319</v>
      </c>
      <c r="L47" s="70"/>
      <c r="M47" s="70"/>
      <c r="N47" s="70"/>
      <c r="O47" s="70"/>
      <c r="P47" s="70"/>
      <c r="Q47" s="74">
        <f t="shared" si="2"/>
        <v>17.2315</v>
      </c>
      <c r="R47" s="128"/>
      <c r="S47" s="128"/>
      <c r="T47" s="128"/>
      <c r="U47" s="128"/>
      <c r="V47" s="128"/>
      <c r="W4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7" s="8">
        <f>SUM(T_MAIN_DC192021[[#This Row],[(Y)
TOTAL Excluding VAT - Y1
((A*J)*Q)+((A*R)*12))]:[(AC)
TOTAL Excluding VAT - Y5
((E*N*Q)+((E*V)*12))]])</f>
        <v>0</v>
      </c>
      <c r="AC47" s="131"/>
    </row>
    <row r="48" spans="1:29">
      <c r="A48" s="10" t="s">
        <v>106</v>
      </c>
      <c r="B48" t="s">
        <v>404</v>
      </c>
      <c r="C48" s="132" t="s">
        <v>405</v>
      </c>
      <c r="D48" s="132" t="s">
        <v>375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t="s">
        <v>319</v>
      </c>
      <c r="K48" t="s">
        <v>319</v>
      </c>
      <c r="L48" s="70"/>
      <c r="M48" s="70"/>
      <c r="N48" s="70"/>
      <c r="O48" s="70"/>
      <c r="P48" s="70"/>
      <c r="Q48" s="74">
        <f t="shared" si="2"/>
        <v>17.2315</v>
      </c>
      <c r="R48" s="128"/>
      <c r="S48" s="128"/>
      <c r="T48" s="128"/>
      <c r="U48" s="128"/>
      <c r="V48" s="128"/>
      <c r="W4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8" s="8">
        <f>SUM(T_MAIN_DC192021[[#This Row],[(Y)
TOTAL Excluding VAT - Y1
((A*J)*Q)+((A*R)*12))]:[(AC)
TOTAL Excluding VAT - Y5
((E*N*Q)+((E*V)*12))]])</f>
        <v>0</v>
      </c>
      <c r="AC48" s="131"/>
    </row>
    <row r="49" spans="1:29">
      <c r="A49" s="10" t="s">
        <v>114</v>
      </c>
      <c r="B49" t="s">
        <v>406</v>
      </c>
      <c r="C49" s="132" t="s">
        <v>407</v>
      </c>
      <c r="D49" s="132" t="s">
        <v>375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t="s">
        <v>319</v>
      </c>
      <c r="K49" t="s">
        <v>319</v>
      </c>
      <c r="L49" s="70"/>
      <c r="M49" s="70"/>
      <c r="N49" s="70"/>
      <c r="O49" s="70"/>
      <c r="P49" s="70"/>
      <c r="Q49" s="74">
        <f t="shared" si="2"/>
        <v>17.2315</v>
      </c>
      <c r="R49" s="128"/>
      <c r="S49" s="128"/>
      <c r="T49" s="128"/>
      <c r="U49" s="128"/>
      <c r="V49" s="128"/>
      <c r="W4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4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4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4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4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49" s="8">
        <f>SUM(T_MAIN_DC192021[[#This Row],[(Y)
TOTAL Excluding VAT - Y1
((A*J)*Q)+((A*R)*12))]:[(AC)
TOTAL Excluding VAT - Y5
((E*N*Q)+((E*V)*12))]])</f>
        <v>0</v>
      </c>
      <c r="AC49" s="131"/>
    </row>
    <row r="50" spans="1:29">
      <c r="A50" s="10" t="s">
        <v>114</v>
      </c>
      <c r="B50" t="s">
        <v>408</v>
      </c>
      <c r="C50" s="132" t="s">
        <v>409</v>
      </c>
      <c r="D50" s="132" t="s">
        <v>375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t="s">
        <v>319</v>
      </c>
      <c r="K50" t="s">
        <v>319</v>
      </c>
      <c r="L50" s="70"/>
      <c r="M50" s="70"/>
      <c r="N50" s="70"/>
      <c r="O50" s="70"/>
      <c r="P50" s="70"/>
      <c r="Q50" s="74">
        <f t="shared" si="2"/>
        <v>17.2315</v>
      </c>
      <c r="R50" s="128"/>
      <c r="S50" s="128"/>
      <c r="T50" s="128"/>
      <c r="U50" s="128"/>
      <c r="V50" s="128"/>
      <c r="W5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0" s="8">
        <f>SUM(T_MAIN_DC192021[[#This Row],[(Y)
TOTAL Excluding VAT - Y1
((A*J)*Q)+((A*R)*12))]:[(AC)
TOTAL Excluding VAT - Y5
((E*N*Q)+((E*V)*12))]])</f>
        <v>0</v>
      </c>
      <c r="AC50" s="131"/>
    </row>
    <row r="51" spans="1:29">
      <c r="A51" s="10" t="s">
        <v>102</v>
      </c>
      <c r="B51" t="s">
        <v>410</v>
      </c>
      <c r="C51" s="132" t="s">
        <v>411</v>
      </c>
      <c r="D51" s="132" t="s">
        <v>375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t="s">
        <v>319</v>
      </c>
      <c r="K51" t="s">
        <v>319</v>
      </c>
      <c r="L51" s="70"/>
      <c r="M51" s="70"/>
      <c r="N51" s="70"/>
      <c r="O51" s="70"/>
      <c r="P51" s="70"/>
      <c r="Q51" s="74">
        <f t="shared" si="2"/>
        <v>17.2315</v>
      </c>
      <c r="R51" s="128"/>
      <c r="S51" s="128"/>
      <c r="T51" s="128"/>
      <c r="U51" s="128"/>
      <c r="V51" s="128"/>
      <c r="W5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1" s="8">
        <f>SUM(T_MAIN_DC192021[[#This Row],[(Y)
TOTAL Excluding VAT - Y1
((A*J)*Q)+((A*R)*12))]:[(AC)
TOTAL Excluding VAT - Y5
((E*N*Q)+((E*V)*12))]])</f>
        <v>0</v>
      </c>
      <c r="AC51" s="131"/>
    </row>
    <row r="52" spans="1:29">
      <c r="A52" s="10" t="s">
        <v>102</v>
      </c>
      <c r="B52" t="s">
        <v>412</v>
      </c>
      <c r="C52" s="132" t="s">
        <v>413</v>
      </c>
      <c r="D52" s="132" t="s">
        <v>375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t="s">
        <v>319</v>
      </c>
      <c r="K52" t="s">
        <v>319</v>
      </c>
      <c r="L52" s="70"/>
      <c r="M52" s="70"/>
      <c r="N52" s="70"/>
      <c r="O52" s="70"/>
      <c r="P52" s="70"/>
      <c r="Q52" s="74">
        <f t="shared" si="2"/>
        <v>17.2315</v>
      </c>
      <c r="R52" s="128"/>
      <c r="S52" s="128"/>
      <c r="T52" s="128"/>
      <c r="U52" s="128"/>
      <c r="V52" s="128"/>
      <c r="W5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2" s="8">
        <f>SUM(T_MAIN_DC192021[[#This Row],[(Y)
TOTAL Excluding VAT - Y1
((A*J)*Q)+((A*R)*12))]:[(AC)
TOTAL Excluding VAT - Y5
((E*N*Q)+((E*V)*12))]])</f>
        <v>0</v>
      </c>
      <c r="AC52" s="131"/>
    </row>
    <row r="53" spans="1:29">
      <c r="A53" s="10" t="s">
        <v>102</v>
      </c>
      <c r="B53" t="s">
        <v>414</v>
      </c>
      <c r="C53" s="132" t="s">
        <v>415</v>
      </c>
      <c r="D53" s="132" t="s">
        <v>375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t="s">
        <v>319</v>
      </c>
      <c r="K53" t="s">
        <v>319</v>
      </c>
      <c r="L53" s="70"/>
      <c r="M53" s="70"/>
      <c r="N53" s="70"/>
      <c r="O53" s="70"/>
      <c r="P53" s="70"/>
      <c r="Q53" s="74">
        <f t="shared" si="2"/>
        <v>17.2315</v>
      </c>
      <c r="R53" s="128"/>
      <c r="S53" s="128"/>
      <c r="T53" s="128"/>
      <c r="U53" s="128"/>
      <c r="V53" s="128"/>
      <c r="W5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3" s="8">
        <f>SUM(T_MAIN_DC192021[[#This Row],[(Y)
TOTAL Excluding VAT - Y1
((A*J)*Q)+((A*R)*12))]:[(AC)
TOTAL Excluding VAT - Y5
((E*N*Q)+((E*V)*12))]])</f>
        <v>0</v>
      </c>
      <c r="AC53" s="131"/>
    </row>
    <row r="54" spans="1:29">
      <c r="A54" s="10" t="s">
        <v>102</v>
      </c>
      <c r="B54" t="s">
        <v>416</v>
      </c>
      <c r="C54" s="132" t="s">
        <v>417</v>
      </c>
      <c r="D54" s="132" t="s">
        <v>375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t="s">
        <v>319</v>
      </c>
      <c r="K54" t="s">
        <v>319</v>
      </c>
      <c r="L54" s="70"/>
      <c r="M54" s="70"/>
      <c r="N54" s="70"/>
      <c r="O54" s="70"/>
      <c r="P54" s="70"/>
      <c r="Q54" s="74">
        <f t="shared" si="2"/>
        <v>17.2315</v>
      </c>
      <c r="R54" s="128"/>
      <c r="S54" s="128"/>
      <c r="T54" s="128"/>
      <c r="U54" s="128"/>
      <c r="V54" s="128"/>
      <c r="W5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4" s="8">
        <f>SUM(T_MAIN_DC192021[[#This Row],[(Y)
TOTAL Excluding VAT - Y1
((A*J)*Q)+((A*R)*12))]:[(AC)
TOTAL Excluding VAT - Y5
((E*N*Q)+((E*V)*12))]])</f>
        <v>0</v>
      </c>
      <c r="AC54" s="131"/>
    </row>
    <row r="55" spans="1:29">
      <c r="A55" s="10" t="s">
        <v>102</v>
      </c>
      <c r="B55" t="s">
        <v>418</v>
      </c>
      <c r="C55" s="132" t="s">
        <v>419</v>
      </c>
      <c r="D55" s="132" t="s">
        <v>375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t="s">
        <v>319</v>
      </c>
      <c r="K55" t="s">
        <v>319</v>
      </c>
      <c r="L55" s="70"/>
      <c r="M55" s="70"/>
      <c r="N55" s="70"/>
      <c r="O55" s="70"/>
      <c r="P55" s="70"/>
      <c r="Q55" s="74">
        <f t="shared" si="2"/>
        <v>17.2315</v>
      </c>
      <c r="R55" s="128"/>
      <c r="S55" s="128"/>
      <c r="T55" s="128"/>
      <c r="U55" s="128"/>
      <c r="V55" s="128"/>
      <c r="W5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5" s="8">
        <f>SUM(T_MAIN_DC192021[[#This Row],[(Y)
TOTAL Excluding VAT - Y1
((A*J)*Q)+((A*R)*12))]:[(AC)
TOTAL Excluding VAT - Y5
((E*N*Q)+((E*V)*12))]])</f>
        <v>0</v>
      </c>
      <c r="AC55" s="131"/>
    </row>
    <row r="56" spans="1:29">
      <c r="A56" s="10" t="s">
        <v>102</v>
      </c>
      <c r="B56" t="s">
        <v>420</v>
      </c>
      <c r="C56" s="132" t="s">
        <v>421</v>
      </c>
      <c r="D56" s="132" t="s">
        <v>375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t="s">
        <v>319</v>
      </c>
      <c r="K56" t="s">
        <v>319</v>
      </c>
      <c r="L56" s="70"/>
      <c r="M56" s="70"/>
      <c r="N56" s="70"/>
      <c r="O56" s="70"/>
      <c r="P56" s="70"/>
      <c r="Q56" s="74">
        <f t="shared" si="2"/>
        <v>17.2315</v>
      </c>
      <c r="R56" s="128"/>
      <c r="S56" s="128"/>
      <c r="T56" s="128"/>
      <c r="U56" s="128"/>
      <c r="V56" s="128"/>
      <c r="W5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6" s="8">
        <f>SUM(T_MAIN_DC192021[[#This Row],[(Y)
TOTAL Excluding VAT - Y1
((A*J)*Q)+((A*R)*12))]:[(AC)
TOTAL Excluding VAT - Y5
((E*N*Q)+((E*V)*12))]])</f>
        <v>0</v>
      </c>
      <c r="AC56" s="131"/>
    </row>
    <row r="57" spans="1:29">
      <c r="A57" s="10" t="s">
        <v>102</v>
      </c>
      <c r="B57" t="s">
        <v>422</v>
      </c>
      <c r="C57" s="132" t="s">
        <v>423</v>
      </c>
      <c r="D57" s="132" t="s">
        <v>375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t="s">
        <v>319</v>
      </c>
      <c r="K57" t="s">
        <v>319</v>
      </c>
      <c r="L57" s="70"/>
      <c r="M57" s="70"/>
      <c r="N57" s="70"/>
      <c r="O57" s="70"/>
      <c r="P57" s="70"/>
      <c r="Q57" s="74">
        <f t="shared" si="2"/>
        <v>17.2315</v>
      </c>
      <c r="R57" s="128"/>
      <c r="S57" s="128"/>
      <c r="T57" s="128"/>
      <c r="U57" s="128"/>
      <c r="V57" s="128"/>
      <c r="W5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7" s="8">
        <f>SUM(T_MAIN_DC192021[[#This Row],[(Y)
TOTAL Excluding VAT - Y1
((A*J)*Q)+((A*R)*12))]:[(AC)
TOTAL Excluding VAT - Y5
((E*N*Q)+((E*V)*12))]])</f>
        <v>0</v>
      </c>
      <c r="AC57" s="131"/>
    </row>
    <row r="58" spans="1:29">
      <c r="A58" s="10" t="s">
        <v>102</v>
      </c>
      <c r="B58" t="s">
        <v>424</v>
      </c>
      <c r="C58" s="132" t="s">
        <v>425</v>
      </c>
      <c r="D58" s="132" t="s">
        <v>375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t="s">
        <v>319</v>
      </c>
      <c r="K58" t="s">
        <v>319</v>
      </c>
      <c r="L58" s="70"/>
      <c r="M58" s="70"/>
      <c r="N58" s="70"/>
      <c r="O58" s="70"/>
      <c r="P58" s="70"/>
      <c r="Q58" s="74">
        <f t="shared" si="2"/>
        <v>17.2315</v>
      </c>
      <c r="R58" s="128"/>
      <c r="S58" s="128"/>
      <c r="T58" s="128"/>
      <c r="U58" s="128"/>
      <c r="V58" s="128"/>
      <c r="W5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8" s="8">
        <f>SUM(T_MAIN_DC192021[[#This Row],[(Y)
TOTAL Excluding VAT - Y1
((A*J)*Q)+((A*R)*12))]:[(AC)
TOTAL Excluding VAT - Y5
((E*N*Q)+((E*V)*12))]])</f>
        <v>0</v>
      </c>
      <c r="AC58" s="131"/>
    </row>
    <row r="59" spans="1:29">
      <c r="A59" s="10" t="s">
        <v>102</v>
      </c>
      <c r="B59" t="s">
        <v>426</v>
      </c>
      <c r="C59" s="132" t="s">
        <v>427</v>
      </c>
      <c r="D59" s="132" t="s">
        <v>375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t="s">
        <v>319</v>
      </c>
      <c r="K59" t="s">
        <v>319</v>
      </c>
      <c r="L59" s="70"/>
      <c r="M59" s="70"/>
      <c r="N59" s="70"/>
      <c r="O59" s="70"/>
      <c r="P59" s="70"/>
      <c r="Q59" s="74">
        <f t="shared" si="2"/>
        <v>17.2315</v>
      </c>
      <c r="R59" s="128"/>
      <c r="S59" s="128"/>
      <c r="T59" s="128"/>
      <c r="U59" s="128"/>
      <c r="V59" s="128"/>
      <c r="W5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5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5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5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5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59" s="8">
        <f>SUM(T_MAIN_DC192021[[#This Row],[(Y)
TOTAL Excluding VAT - Y1
((A*J)*Q)+((A*R)*12))]:[(AC)
TOTAL Excluding VAT - Y5
((E*N*Q)+((E*V)*12))]])</f>
        <v>0</v>
      </c>
      <c r="AC59" s="131"/>
    </row>
    <row r="60" spans="1:29">
      <c r="A60" s="10" t="s">
        <v>102</v>
      </c>
      <c r="B60" t="s">
        <v>428</v>
      </c>
      <c r="C60" s="132" t="s">
        <v>429</v>
      </c>
      <c r="D60" s="132" t="s">
        <v>375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t="s">
        <v>319</v>
      </c>
      <c r="K60" t="s">
        <v>319</v>
      </c>
      <c r="L60" s="70"/>
      <c r="M60" s="70"/>
      <c r="N60" s="70"/>
      <c r="O60" s="70"/>
      <c r="P60" s="70"/>
      <c r="Q60" s="74">
        <f t="shared" si="2"/>
        <v>17.2315</v>
      </c>
      <c r="R60" s="128"/>
      <c r="S60" s="128"/>
      <c r="T60" s="128"/>
      <c r="U60" s="128"/>
      <c r="V60" s="128"/>
      <c r="W6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0" s="8">
        <f>SUM(T_MAIN_DC192021[[#This Row],[(Y)
TOTAL Excluding VAT - Y1
((A*J)*Q)+((A*R)*12))]:[(AC)
TOTAL Excluding VAT - Y5
((E*N*Q)+((E*V)*12))]])</f>
        <v>0</v>
      </c>
      <c r="AC60" s="131"/>
    </row>
    <row r="61" spans="1:29">
      <c r="A61" s="10" t="s">
        <v>102</v>
      </c>
      <c r="B61" t="s">
        <v>430</v>
      </c>
      <c r="C61" s="132" t="s">
        <v>431</v>
      </c>
      <c r="D61" s="132" t="s">
        <v>375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t="s">
        <v>319</v>
      </c>
      <c r="K61" t="s">
        <v>319</v>
      </c>
      <c r="L61" s="70"/>
      <c r="M61" s="70"/>
      <c r="N61" s="70"/>
      <c r="O61" s="70"/>
      <c r="P61" s="70"/>
      <c r="Q61" s="74">
        <f t="shared" si="2"/>
        <v>17.2315</v>
      </c>
      <c r="R61" s="128"/>
      <c r="S61" s="128"/>
      <c r="T61" s="128"/>
      <c r="U61" s="128"/>
      <c r="V61" s="128"/>
      <c r="W6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1" s="8">
        <f>SUM(T_MAIN_DC192021[[#This Row],[(Y)
TOTAL Excluding VAT - Y1
((A*J)*Q)+((A*R)*12))]:[(AC)
TOTAL Excluding VAT - Y5
((E*N*Q)+((E*V)*12))]])</f>
        <v>0</v>
      </c>
      <c r="AC61" s="131"/>
    </row>
    <row r="62" spans="1:29">
      <c r="A62" s="10" t="s">
        <v>102</v>
      </c>
      <c r="B62" t="s">
        <v>432</v>
      </c>
      <c r="C62" s="132" t="s">
        <v>433</v>
      </c>
      <c r="D62" s="132" t="s">
        <v>434</v>
      </c>
      <c r="E62" s="10">
        <v>1</v>
      </c>
      <c r="F62" s="10">
        <v>1</v>
      </c>
      <c r="G62" s="10">
        <v>1</v>
      </c>
      <c r="H62" s="10">
        <v>0</v>
      </c>
      <c r="I62" s="10">
        <v>0</v>
      </c>
      <c r="J62" t="s">
        <v>275</v>
      </c>
      <c r="K62" t="s">
        <v>275</v>
      </c>
      <c r="L62" s="70"/>
      <c r="M62" s="70"/>
      <c r="N62" s="70"/>
      <c r="O62" s="70"/>
      <c r="P62" s="70"/>
      <c r="Q62" s="74">
        <f t="shared" si="2"/>
        <v>17.2315</v>
      </c>
      <c r="R62" s="128"/>
      <c r="S62" s="128"/>
      <c r="T62" s="128"/>
      <c r="U62" s="128"/>
      <c r="V62" s="128"/>
      <c r="W6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2" s="8">
        <f>SUM(T_MAIN_DC192021[[#This Row],[(Y)
TOTAL Excluding VAT - Y1
((A*J)*Q)+((A*R)*12))]:[(AC)
TOTAL Excluding VAT - Y5
((E*N*Q)+((E*V)*12))]])</f>
        <v>0</v>
      </c>
      <c r="AC62" s="131"/>
    </row>
    <row r="63" spans="1:29">
      <c r="A63" s="10" t="s">
        <v>102</v>
      </c>
      <c r="B63" t="s">
        <v>435</v>
      </c>
      <c r="C63" s="132" t="s">
        <v>436</v>
      </c>
      <c r="D63" s="132" t="s">
        <v>434</v>
      </c>
      <c r="E63" s="10">
        <v>1</v>
      </c>
      <c r="F63" s="10">
        <v>1</v>
      </c>
      <c r="G63" s="10">
        <v>1</v>
      </c>
      <c r="H63" s="10">
        <v>0</v>
      </c>
      <c r="I63" s="10">
        <v>0</v>
      </c>
      <c r="J63" t="s">
        <v>275</v>
      </c>
      <c r="K63" t="s">
        <v>275</v>
      </c>
      <c r="L63" s="70"/>
      <c r="M63" s="70"/>
      <c r="N63" s="70"/>
      <c r="O63" s="70"/>
      <c r="P63" s="70"/>
      <c r="Q63" s="74">
        <f t="shared" si="2"/>
        <v>17.2315</v>
      </c>
      <c r="R63" s="128"/>
      <c r="S63" s="128"/>
      <c r="T63" s="128"/>
      <c r="U63" s="128"/>
      <c r="V63" s="128"/>
      <c r="W6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3" s="8">
        <f>SUM(T_MAIN_DC192021[[#This Row],[(Y)
TOTAL Excluding VAT - Y1
((A*J)*Q)+((A*R)*12))]:[(AC)
TOTAL Excluding VAT - Y5
((E*N*Q)+((E*V)*12))]])</f>
        <v>0</v>
      </c>
      <c r="AC63" s="131"/>
    </row>
    <row r="64" spans="1:29">
      <c r="A64" s="10" t="s">
        <v>104</v>
      </c>
      <c r="B64" t="s">
        <v>437</v>
      </c>
      <c r="C64" s="132" t="s">
        <v>438</v>
      </c>
      <c r="D64" s="132" t="s">
        <v>434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t="s">
        <v>275</v>
      </c>
      <c r="K64" t="s">
        <v>275</v>
      </c>
      <c r="L64" s="70"/>
      <c r="M64" s="70"/>
      <c r="N64" s="70"/>
      <c r="O64" s="70"/>
      <c r="P64" s="70"/>
      <c r="Q64" s="74">
        <f t="shared" si="2"/>
        <v>17.2315</v>
      </c>
      <c r="R64" s="128"/>
      <c r="S64" s="128"/>
      <c r="T64" s="128"/>
      <c r="U64" s="128"/>
      <c r="V64" s="128"/>
      <c r="W6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4" s="8">
        <f>SUM(T_MAIN_DC192021[[#This Row],[(Y)
TOTAL Excluding VAT - Y1
((A*J)*Q)+((A*R)*12))]:[(AC)
TOTAL Excluding VAT - Y5
((E*N*Q)+((E*V)*12))]])</f>
        <v>0</v>
      </c>
      <c r="AC64" s="131"/>
    </row>
    <row r="65" spans="1:29">
      <c r="A65" s="10" t="s">
        <v>104</v>
      </c>
      <c r="B65" t="s">
        <v>439</v>
      </c>
      <c r="C65" s="132" t="s">
        <v>440</v>
      </c>
      <c r="D65" s="132" t="s">
        <v>434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t="s">
        <v>275</v>
      </c>
      <c r="K65" t="s">
        <v>275</v>
      </c>
      <c r="L65" s="70"/>
      <c r="M65" s="70"/>
      <c r="N65" s="70"/>
      <c r="O65" s="70"/>
      <c r="P65" s="70"/>
      <c r="Q65" s="74">
        <f t="shared" si="2"/>
        <v>17.2315</v>
      </c>
      <c r="R65" s="128"/>
      <c r="S65" s="128"/>
      <c r="T65" s="128"/>
      <c r="U65" s="128"/>
      <c r="V65" s="128"/>
      <c r="W6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5" s="8">
        <f>SUM(T_MAIN_DC192021[[#This Row],[(Y)
TOTAL Excluding VAT - Y1
((A*J)*Q)+((A*R)*12))]:[(AC)
TOTAL Excluding VAT - Y5
((E*N*Q)+((E*V)*12))]])</f>
        <v>0</v>
      </c>
      <c r="AC65" s="131"/>
    </row>
    <row r="66" spans="1:29">
      <c r="A66" s="10" t="s">
        <v>106</v>
      </c>
      <c r="B66" t="s">
        <v>441</v>
      </c>
      <c r="C66" s="132" t="s">
        <v>442</v>
      </c>
      <c r="D66" s="132" t="s">
        <v>443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t="s">
        <v>275</v>
      </c>
      <c r="K66" t="s">
        <v>275</v>
      </c>
      <c r="L66" s="70"/>
      <c r="M66" s="70"/>
      <c r="N66" s="70"/>
      <c r="O66" s="70"/>
      <c r="P66" s="70"/>
      <c r="Q66" s="74">
        <f t="shared" si="2"/>
        <v>17.2315</v>
      </c>
      <c r="R66" s="128"/>
      <c r="S66" s="128"/>
      <c r="T66" s="128"/>
      <c r="U66" s="128"/>
      <c r="V66" s="128"/>
      <c r="W66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6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6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6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6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6" s="8">
        <f>SUM(T_MAIN_DC192021[[#This Row],[(Y)
TOTAL Excluding VAT - Y1
((A*J)*Q)+((A*R)*12))]:[(AC)
TOTAL Excluding VAT - Y5
((E*N*Q)+((E*V)*12))]])</f>
        <v>0</v>
      </c>
      <c r="AC66" s="131"/>
    </row>
    <row r="67" spans="1:29">
      <c r="A67" s="10" t="s">
        <v>106</v>
      </c>
      <c r="B67" t="s">
        <v>444</v>
      </c>
      <c r="C67" s="132" t="s">
        <v>445</v>
      </c>
      <c r="D67" s="132" t="s">
        <v>443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t="s">
        <v>275</v>
      </c>
      <c r="K67" t="s">
        <v>275</v>
      </c>
      <c r="L67" s="70"/>
      <c r="M67" s="70"/>
      <c r="N67" s="70"/>
      <c r="O67" s="70"/>
      <c r="P67" s="70"/>
      <c r="Q67" s="74">
        <f t="shared" si="2"/>
        <v>17.2315</v>
      </c>
      <c r="R67" s="128"/>
      <c r="S67" s="128"/>
      <c r="T67" s="128"/>
      <c r="U67" s="128"/>
      <c r="V67" s="128"/>
      <c r="W67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7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7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7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7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7" s="8">
        <f>SUM(T_MAIN_DC192021[[#This Row],[(Y)
TOTAL Excluding VAT - Y1
((A*J)*Q)+((A*R)*12))]:[(AC)
TOTAL Excluding VAT - Y5
((E*N*Q)+((E*V)*12))]])</f>
        <v>0</v>
      </c>
      <c r="AC67" s="131"/>
    </row>
    <row r="68" spans="1:29">
      <c r="A68" s="10" t="s">
        <v>102</v>
      </c>
      <c r="B68" t="s">
        <v>446</v>
      </c>
      <c r="C68" s="132" t="s">
        <v>447</v>
      </c>
      <c r="D68" s="132" t="s">
        <v>448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t="s">
        <v>275</v>
      </c>
      <c r="K68" t="s">
        <v>275</v>
      </c>
      <c r="L68" s="70"/>
      <c r="M68" s="70"/>
      <c r="N68" s="70"/>
      <c r="O68" s="70"/>
      <c r="P68" s="70"/>
      <c r="Q68" s="74">
        <f t="shared" si="2"/>
        <v>17.2315</v>
      </c>
      <c r="R68" s="128"/>
      <c r="S68" s="128"/>
      <c r="T68" s="128"/>
      <c r="U68" s="128"/>
      <c r="V68" s="128"/>
      <c r="W68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8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8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8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8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8" s="8">
        <f>SUM(T_MAIN_DC192021[[#This Row],[(Y)
TOTAL Excluding VAT - Y1
((A*J)*Q)+((A*R)*12))]:[(AC)
TOTAL Excluding VAT - Y5
((E*N*Q)+((E*V)*12))]])</f>
        <v>0</v>
      </c>
      <c r="AC68" s="131"/>
    </row>
    <row r="69" spans="1:29">
      <c r="A69" s="10" t="s">
        <v>102</v>
      </c>
      <c r="B69" t="s">
        <v>449</v>
      </c>
      <c r="C69" s="132" t="s">
        <v>450</v>
      </c>
      <c r="D69" s="132" t="s">
        <v>448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t="s">
        <v>275</v>
      </c>
      <c r="K69" t="s">
        <v>275</v>
      </c>
      <c r="L69" s="70"/>
      <c r="M69" s="70"/>
      <c r="N69" s="70"/>
      <c r="O69" s="70"/>
      <c r="P69" s="70"/>
      <c r="Q69" s="74">
        <f t="shared" si="2"/>
        <v>17.2315</v>
      </c>
      <c r="R69" s="128"/>
      <c r="S69" s="128"/>
      <c r="T69" s="128"/>
      <c r="U69" s="128"/>
      <c r="V69" s="128"/>
      <c r="W69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69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69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69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69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69" s="8">
        <f>SUM(T_MAIN_DC192021[[#This Row],[(Y)
TOTAL Excluding VAT - Y1
((A*J)*Q)+((A*R)*12))]:[(AC)
TOTAL Excluding VAT - Y5
((E*N*Q)+((E*V)*12))]])</f>
        <v>0</v>
      </c>
      <c r="AC69" s="131"/>
    </row>
    <row r="70" spans="1:29">
      <c r="A70" s="10" t="s">
        <v>102</v>
      </c>
      <c r="B70" t="s">
        <v>451</v>
      </c>
      <c r="C70" s="132" t="s">
        <v>452</v>
      </c>
      <c r="D70" s="132" t="s">
        <v>453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t="s">
        <v>275</v>
      </c>
      <c r="K70" t="s">
        <v>275</v>
      </c>
      <c r="L70" s="70"/>
      <c r="M70" s="70"/>
      <c r="N70" s="70"/>
      <c r="O70" s="70"/>
      <c r="P70" s="70"/>
      <c r="Q70" s="74">
        <f t="shared" si="2"/>
        <v>17.2315</v>
      </c>
      <c r="R70" s="128"/>
      <c r="S70" s="128"/>
      <c r="T70" s="128"/>
      <c r="U70" s="128"/>
      <c r="V70" s="128"/>
      <c r="W70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0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0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0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0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0" s="8">
        <f>SUM(T_MAIN_DC192021[[#This Row],[(Y)
TOTAL Excluding VAT - Y1
((A*J)*Q)+((A*R)*12))]:[(AC)
TOTAL Excluding VAT - Y5
((E*N*Q)+((E*V)*12))]])</f>
        <v>0</v>
      </c>
      <c r="AC70" s="131"/>
    </row>
    <row r="71" spans="1:29">
      <c r="A71" s="10" t="s">
        <v>104</v>
      </c>
      <c r="B71" t="s">
        <v>454</v>
      </c>
      <c r="C71" s="132" t="s">
        <v>455</v>
      </c>
      <c r="D71" s="132" t="s">
        <v>453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t="s">
        <v>275</v>
      </c>
      <c r="K71" t="s">
        <v>275</v>
      </c>
      <c r="L71" s="70"/>
      <c r="M71" s="70"/>
      <c r="N71" s="70"/>
      <c r="O71" s="70"/>
      <c r="P71" s="70"/>
      <c r="Q71" s="74">
        <f t="shared" si="2"/>
        <v>17.2315</v>
      </c>
      <c r="R71" s="128"/>
      <c r="S71" s="128"/>
      <c r="T71" s="128"/>
      <c r="U71" s="128"/>
      <c r="V71" s="128"/>
      <c r="W71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1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1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1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1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1" s="8">
        <f>SUM(T_MAIN_DC192021[[#This Row],[(Y)
TOTAL Excluding VAT - Y1
((A*J)*Q)+((A*R)*12))]:[(AC)
TOTAL Excluding VAT - Y5
((E*N*Q)+((E*V)*12))]])</f>
        <v>0</v>
      </c>
      <c r="AC71" s="131"/>
    </row>
    <row r="72" spans="1:29">
      <c r="A72" s="10" t="s">
        <v>104</v>
      </c>
      <c r="B72" t="s">
        <v>456</v>
      </c>
      <c r="C72" s="132" t="s">
        <v>457</v>
      </c>
      <c r="D72" s="132" t="s">
        <v>453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t="s">
        <v>275</v>
      </c>
      <c r="K72" t="s">
        <v>275</v>
      </c>
      <c r="L72" s="70"/>
      <c r="M72" s="70"/>
      <c r="N72" s="70"/>
      <c r="O72" s="70"/>
      <c r="P72" s="70"/>
      <c r="Q72" s="74">
        <f t="shared" si="0"/>
        <v>17.2315</v>
      </c>
      <c r="R72" s="128"/>
      <c r="S72" s="128"/>
      <c r="T72" s="128"/>
      <c r="U72" s="128"/>
      <c r="V72" s="128"/>
      <c r="W72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2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2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2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2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2" s="8">
        <f>SUM(T_MAIN_DC192021[[#This Row],[(Y)
TOTAL Excluding VAT - Y1
((A*J)*Q)+((A*R)*12))]:[(AC)
TOTAL Excluding VAT - Y5
((E*N*Q)+((E*V)*12))]])</f>
        <v>0</v>
      </c>
      <c r="AC72" s="73"/>
    </row>
    <row r="73" spans="1:29">
      <c r="A73" s="10" t="s">
        <v>104</v>
      </c>
      <c r="B73" t="s">
        <v>458</v>
      </c>
      <c r="C73" t="s">
        <v>459</v>
      </c>
      <c r="D73" t="s">
        <v>453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t="s">
        <v>275</v>
      </c>
      <c r="K73" t="s">
        <v>275</v>
      </c>
      <c r="L73" s="70"/>
      <c r="M73" s="70"/>
      <c r="N73" s="70"/>
      <c r="O73" s="70"/>
      <c r="P73" s="70"/>
      <c r="Q73" s="74">
        <f t="shared" si="0"/>
        <v>17.2315</v>
      </c>
      <c r="R73" s="128"/>
      <c r="S73" s="128"/>
      <c r="T73" s="128"/>
      <c r="U73" s="128"/>
      <c r="V73" s="128"/>
      <c r="W73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3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3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3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3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3" s="8">
        <f>SUM(T_MAIN_DC192021[[#This Row],[(Y)
TOTAL Excluding VAT - Y1
((A*J)*Q)+((A*R)*12))]:[(AC)
TOTAL Excluding VAT - Y5
((E*N*Q)+((E*V)*12))]])</f>
        <v>0</v>
      </c>
      <c r="AC73" s="73"/>
    </row>
    <row r="74" spans="1:29">
      <c r="A74" s="10" t="s">
        <v>106</v>
      </c>
      <c r="B74" t="s">
        <v>460</v>
      </c>
      <c r="C74" t="s">
        <v>461</v>
      </c>
      <c r="D74" t="s">
        <v>453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t="s">
        <v>275</v>
      </c>
      <c r="K74" t="s">
        <v>275</v>
      </c>
      <c r="L74" s="70"/>
      <c r="M74" s="70"/>
      <c r="N74" s="70"/>
      <c r="O74" s="70"/>
      <c r="P74" s="70"/>
      <c r="Q74" s="74">
        <f t="shared" si="0"/>
        <v>17.2315</v>
      </c>
      <c r="R74" s="128"/>
      <c r="S74" s="128"/>
      <c r="T74" s="128"/>
      <c r="U74" s="128"/>
      <c r="V74" s="128"/>
      <c r="W74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4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4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4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4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4" s="8">
        <f>SUM(T_MAIN_DC192021[[#This Row],[(Y)
TOTAL Excluding VAT - Y1
((A*J)*Q)+((A*R)*12))]:[(AC)
TOTAL Excluding VAT - Y5
((E*N*Q)+((E*V)*12))]])</f>
        <v>0</v>
      </c>
      <c r="AC74" s="73"/>
    </row>
    <row r="75" spans="1:29">
      <c r="A75" s="10" t="s">
        <v>106</v>
      </c>
      <c r="B75" t="s">
        <v>462</v>
      </c>
      <c r="C75" t="s">
        <v>463</v>
      </c>
      <c r="D75" t="s">
        <v>453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t="s">
        <v>275</v>
      </c>
      <c r="K75" t="s">
        <v>275</v>
      </c>
      <c r="L75" s="70"/>
      <c r="M75" s="70"/>
      <c r="N75" s="70"/>
      <c r="O75" s="70"/>
      <c r="P75" s="70"/>
      <c r="Q75" s="74">
        <f t="shared" si="0"/>
        <v>17.2315</v>
      </c>
      <c r="R75" s="128"/>
      <c r="S75" s="128"/>
      <c r="T75" s="128"/>
      <c r="U75" s="128"/>
      <c r="V75" s="128"/>
      <c r="W75" s="8">
        <f>((T_MAIN_DC192021[[#This Row],[(A)
Qty  - Y1]]*T_MAIN_DC192021[[#This Row],[(J)
USD PRICE
Annual Partner Support Service (1 Year)
Chassis Plus Modules
- according to HW service level (I)
Y1]])*T_MAIN_DC192021[[#This Row],[(Q)
Exchange Rate]])+((T_MAIN_DC192021[[#This Row],[(A)
Qty  - Y1]]*T_MAIN_DC192021[[#This Row],[(R)
Monthly Maintenance according to Service  Level (H) - Y1]])*12)</f>
        <v>0</v>
      </c>
      <c r="X75" s="8">
        <f>((T_MAIN_DC192021[[#This Row],[(B)
Qty  - Y2]]*T_MAIN_DC192021[[#This Row],[(K)
USD PRICE
Annual Partner Support Service (1 Year)
Chassis Plus Modules
- according to HW service level (I)
Y2]])*T_MAIN_DC192021[[#This Row],[(Q)
Exchange Rate]])+((T_MAIN_DC192021[[#This Row],[(B)
Qty  - Y2]]*T_MAIN_DC192021[[#This Row],[(S)
Monthly Maintenance according to Service  Level (H) - Y2]])*12)</f>
        <v>0</v>
      </c>
      <c r="Y75" s="8">
        <f>((T_MAIN_DC192021[[#This Row],[(C)
Qty  - Y3]]*T_MAIN_DC192021[[#This Row],[(L)
USD PRICE
Annual Partner Support Service (1 Year)
Chassis Plus Modules
- according to HW service level (I)
Y3]])*T_MAIN_DC192021[[#This Row],[(Q)
Exchange Rate]])+((T_MAIN_DC192021[[#This Row],[(C)
Qty  - Y3]]*T_MAIN_DC192021[[#This Row],[(T)
Monthly Maintenance according to Service  Level (H) - Y3]])*12)</f>
        <v>0</v>
      </c>
      <c r="Z75" s="8">
        <f>((T_MAIN_DC192021[[#This Row],[(D)
Qty  - Y4]]*T_MAIN_DC192021[[#This Row],[(M)
USD PRICE
Annual Partner Support Service (1 Year)
Chassis Plus Modules
- according to HW service level (I)
Y4]])*T_MAIN_DC192021[[#This Row],[(Q)
Exchange Rate]])+((T_MAIN_DC192021[[#This Row],[(D)
Qty  - Y4]]*T_MAIN_DC192021[[#This Row],[(U)
Monthly Maintenance according to Service  Level (H) - Y4]])*12)</f>
        <v>0</v>
      </c>
      <c r="AA75" s="8">
        <f>((T_MAIN_DC192021[[#This Row],[(E)
Qty  - Y5]]*T_MAIN_DC192021[[#This Row],[(N)
USD PRICE
Annual Partner Support Service (1 Year)
Chassis Plus Modules
- according to HW service level (I)
Y5]])*T_MAIN_DC192021[[#This Row],[(Q)
Exchange Rate]])+((T_MAIN_DC192021[[#This Row],[(E)
Qty  - Y5]]*T_MAIN_DC192021[[#This Row],[(V)
Monthly Maintenance according to Service  Level (H) - Y5]])*12)</f>
        <v>0</v>
      </c>
      <c r="AB75" s="8">
        <f>SUM(T_MAIN_DC192021[[#This Row],[(Y)
TOTAL Excluding VAT - Y1
((A*J)*Q)+((A*R)*12))]:[(AC)
TOTAL Excluding VAT - Y5
((E*N*Q)+((E*V)*12))]])</f>
        <v>0</v>
      </c>
      <c r="AC75" s="73"/>
    </row>
    <row r="76" spans="1:29">
      <c r="A76" t="s">
        <v>29</v>
      </c>
      <c r="C76" s="129"/>
      <c r="D76" s="129"/>
      <c r="H76" s="93"/>
      <c r="L76" s="70"/>
      <c r="M76" s="70"/>
      <c r="N76" s="70"/>
      <c r="O76" s="70"/>
      <c r="P76" s="70"/>
      <c r="Q76" s="74"/>
      <c r="R76" s="128"/>
      <c r="S76" s="128"/>
      <c r="T76" s="128"/>
      <c r="U76" s="128"/>
      <c r="V76" s="128"/>
      <c r="W76" s="8">
        <f>SUBTOTAL(109,T_MAIN_DC192021[(Y)
TOTAL Excluding VAT - Y1
((A*J)*Q)+((A*R)*12))])</f>
        <v>0</v>
      </c>
      <c r="X76" s="8">
        <f>SUBTOTAL(109,T_MAIN_DC192021[(Z)
TOTAL Excluding VAT - Y2
((B*K)*Q)+((B*S)*12))])</f>
        <v>0</v>
      </c>
      <c r="Y76" s="8">
        <f>SUBTOTAL(109,T_MAIN_DC192021[AA)
TOTAL Excluding VAT - Y3
((C*L)*Q)+((C*T)*12))])</f>
        <v>0</v>
      </c>
      <c r="Z76" s="8">
        <f>SUBTOTAL(109,T_MAIN_DC192021[(AB)
TOTAL Excluding VAT - Y4
((D*M)*Q)+((D*U)*12))])</f>
        <v>0</v>
      </c>
      <c r="AA76" s="8">
        <f>SUBTOTAL(109,T_MAIN_DC192021[(AC)
TOTAL Excluding VAT - Y5
((E*N*Q)+((E*V)*12))])</f>
        <v>0</v>
      </c>
      <c r="AB76" s="8">
        <f>SUBTOTAL(109,T_MAIN_DC192021[(AF)
TOTAL Excluding VAT])</f>
        <v>0</v>
      </c>
      <c r="AC76" s="131">
        <f>SUBTOTAL(103,T_MAIN_DC192021[Comments])</f>
        <v>0</v>
      </c>
    </row>
    <row r="77" spans="1:29">
      <c r="E77"/>
      <c r="F77"/>
      <c r="G77"/>
      <c r="H77"/>
      <c r="I77"/>
    </row>
    <row r="78" spans="1:29">
      <c r="E78"/>
    </row>
    <row r="79" spans="1:29">
      <c r="E79"/>
    </row>
    <row r="80" spans="1:29">
      <c r="G80"/>
    </row>
    <row r="81" spans="6:7">
      <c r="G81"/>
    </row>
    <row r="82" spans="6:7">
      <c r="F82"/>
    </row>
    <row r="83" spans="6:7">
      <c r="G83"/>
    </row>
  </sheetData>
  <mergeCells count="6">
    <mergeCell ref="A9:L9"/>
    <mergeCell ref="A1:AC4"/>
    <mergeCell ref="A5:D5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2D82-BD8E-4BED-BCD6-C27B49F76421}">
  <sheetPr>
    <tabColor rgb="FF92D050"/>
    <pageSetUpPr fitToPage="1"/>
  </sheetPr>
  <dimension ref="A1:AC33"/>
  <sheetViews>
    <sheetView showGridLines="0" tabSelected="1" zoomScaleNormal="100" workbookViewId="0">
      <selection activeCell="E25" sqref="E25"/>
    </sheetView>
  </sheetViews>
  <sheetFormatPr defaultColWidth="9.140625" defaultRowHeight="14.65"/>
  <cols>
    <col min="1" max="1" width="17.7109375" bestFit="1" customWidth="1"/>
    <col min="2" max="2" width="22.42578125" bestFit="1" customWidth="1"/>
    <col min="3" max="3" width="23.42578125" bestFit="1" customWidth="1"/>
    <col min="4" max="4" width="21.85546875" bestFit="1" customWidth="1"/>
    <col min="5" max="5" width="10.7109375" style="91" customWidth="1"/>
    <col min="6" max="6" width="10.7109375" style="10" customWidth="1"/>
    <col min="7" max="7" width="10.7109375" style="92" customWidth="1"/>
    <col min="8" max="8" width="10.7109375" style="94" customWidth="1"/>
    <col min="9" max="9" width="10.7109375" style="10" customWidth="1"/>
    <col min="10" max="10" width="10.28515625" customWidth="1"/>
    <col min="11" max="11" width="11" customWidth="1"/>
    <col min="12" max="16" width="19.28515625" customWidth="1"/>
    <col min="17" max="17" width="14.7109375" bestFit="1" customWidth="1"/>
    <col min="18" max="18" width="22.42578125" bestFit="1" customWidth="1"/>
    <col min="19" max="22" width="22.85546875" bestFit="1" customWidth="1"/>
    <col min="23" max="27" width="15.28515625" customWidth="1"/>
    <col min="28" max="28" width="15.5703125" bestFit="1" customWidth="1"/>
    <col min="29" max="29" width="57.5703125" customWidth="1"/>
  </cols>
  <sheetData>
    <row r="1" spans="1:29" s="4" customFormat="1" ht="15" customHeight="1">
      <c r="A1" s="191" t="s">
        <v>464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3"/>
    </row>
    <row r="2" spans="1:2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/>
    </row>
    <row r="3" spans="1:2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6"/>
    </row>
    <row r="4" spans="1:2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9"/>
    </row>
    <row r="5" spans="1:29" s="4" customFormat="1" ht="15.4">
      <c r="A5" s="216" t="s">
        <v>38</v>
      </c>
      <c r="B5" s="216"/>
      <c r="C5" s="216"/>
      <c r="D5" s="216"/>
      <c r="E5" s="76"/>
      <c r="F5" s="76"/>
      <c r="G5" s="77"/>
      <c r="H5" s="78"/>
      <c r="I5" s="78"/>
    </row>
    <row r="6" spans="1:29" s="4" customFormat="1" ht="15.4">
      <c r="A6" s="212" t="s">
        <v>242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9" s="4" customFormat="1" ht="15.4">
      <c r="A7" s="212" t="s">
        <v>213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29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29" s="4" customFormat="1" ht="15.4">
      <c r="A9" s="212" t="s">
        <v>243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</row>
    <row r="10" spans="1:29" ht="15.4">
      <c r="A10" s="42"/>
      <c r="B10" s="42"/>
      <c r="C10" s="42"/>
      <c r="D10" s="42"/>
      <c r="E10" s="79"/>
      <c r="F10" s="80"/>
      <c r="G10" s="81"/>
      <c r="H10" s="82"/>
      <c r="I10" s="81"/>
      <c r="J10" s="7"/>
      <c r="K10" s="7"/>
      <c r="L10" s="42"/>
    </row>
    <row r="11" spans="1:29" ht="15.4">
      <c r="A11" s="42"/>
      <c r="B11" s="42"/>
      <c r="C11" s="42"/>
      <c r="D11" s="42"/>
      <c r="E11" s="79"/>
      <c r="F11" s="80"/>
      <c r="G11" s="83"/>
      <c r="H11" s="84"/>
      <c r="I11" s="78"/>
      <c r="J11" s="4"/>
      <c r="K11" s="4"/>
      <c r="L11" s="4"/>
    </row>
    <row r="12" spans="1:29" ht="131.1">
      <c r="A12" s="85" t="s">
        <v>244</v>
      </c>
      <c r="B12" s="85" t="s">
        <v>245</v>
      </c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254</v>
      </c>
      <c r="L12" s="127" t="s">
        <v>255</v>
      </c>
      <c r="M12" s="127" t="s">
        <v>256</v>
      </c>
      <c r="N12" s="127" t="s">
        <v>257</v>
      </c>
      <c r="O12" s="127" t="s">
        <v>258</v>
      </c>
      <c r="P12" s="127" t="s">
        <v>259</v>
      </c>
      <c r="Q12" s="9" t="s">
        <v>260</v>
      </c>
      <c r="R12" s="87" t="s">
        <v>261</v>
      </c>
      <c r="S12" s="87" t="s">
        <v>262</v>
      </c>
      <c r="T12" s="87" t="s">
        <v>263</v>
      </c>
      <c r="U12" s="87" t="s">
        <v>264</v>
      </c>
      <c r="V12" s="87" t="s">
        <v>265</v>
      </c>
      <c r="W12" s="87" t="s">
        <v>266</v>
      </c>
      <c r="X12" s="87" t="s">
        <v>267</v>
      </c>
      <c r="Y12" s="87" t="s">
        <v>268</v>
      </c>
      <c r="Z12" s="87" t="s">
        <v>269</v>
      </c>
      <c r="AA12" s="87" t="s">
        <v>270</v>
      </c>
      <c r="AB12" s="87" t="s">
        <v>271</v>
      </c>
      <c r="AC12" s="9" t="s">
        <v>236</v>
      </c>
    </row>
    <row r="13" spans="1:29">
      <c r="A13" s="10" t="s">
        <v>102</v>
      </c>
      <c r="B13" t="s">
        <v>465</v>
      </c>
      <c r="C13" s="132" t="s">
        <v>466</v>
      </c>
      <c r="D13" s="132" t="s">
        <v>467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t="s">
        <v>275</v>
      </c>
      <c r="K13" t="s">
        <v>275</v>
      </c>
      <c r="L13" s="70"/>
      <c r="M13" s="70"/>
      <c r="N13" s="70"/>
      <c r="O13" s="70"/>
      <c r="P13" s="70"/>
      <c r="Q13" s="74">
        <f t="shared" ref="Q13:Q32" si="0">Exchange_Rate</f>
        <v>17.2315</v>
      </c>
      <c r="R13" s="128"/>
      <c r="S13" s="128"/>
      <c r="T13" s="128"/>
      <c r="U13" s="128"/>
      <c r="V13" s="128"/>
      <c r="W13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3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3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3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3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3" s="8">
        <f>SUM(T_MAIN_DC19202122[[#This Row],[(Y)
TOTAL Excluding VAT - Y1
((A*J)*Q)+((A*R)*12))]:[(AC)
TOTAL Excluding VAT - Y5
((E*N*Q)+((E*V)*12))]])</f>
        <v>0</v>
      </c>
      <c r="AC13" s="73"/>
    </row>
    <row r="14" spans="1:29">
      <c r="A14" s="10" t="s">
        <v>102</v>
      </c>
      <c r="B14" t="s">
        <v>468</v>
      </c>
      <c r="C14" s="132" t="s">
        <v>469</v>
      </c>
      <c r="D14" s="132" t="s">
        <v>467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t="s">
        <v>275</v>
      </c>
      <c r="K14" t="s">
        <v>275</v>
      </c>
      <c r="L14" s="70"/>
      <c r="M14" s="70"/>
      <c r="N14" s="70"/>
      <c r="O14" s="70"/>
      <c r="P14" s="70"/>
      <c r="Q14" s="74">
        <f t="shared" ref="Q14:Q27" si="1">Exchange_Rate</f>
        <v>17.2315</v>
      </c>
      <c r="R14" s="128"/>
      <c r="S14" s="128"/>
      <c r="T14" s="128"/>
      <c r="U14" s="128"/>
      <c r="V14" s="128"/>
      <c r="W14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4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4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4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4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4" s="8">
        <f>SUM(T_MAIN_DC19202122[[#This Row],[(Y)
TOTAL Excluding VAT - Y1
((A*J)*Q)+((A*R)*12))]:[(AC)
TOTAL Excluding VAT - Y5
((E*N*Q)+((E*V)*12))]])</f>
        <v>0</v>
      </c>
      <c r="AC14" s="131"/>
    </row>
    <row r="15" spans="1:29">
      <c r="A15" s="10" t="s">
        <v>102</v>
      </c>
      <c r="B15" t="s">
        <v>470</v>
      </c>
      <c r="C15" s="132" t="s">
        <v>471</v>
      </c>
      <c r="D15" s="132" t="s">
        <v>467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t="s">
        <v>275</v>
      </c>
      <c r="K15" t="s">
        <v>275</v>
      </c>
      <c r="L15" s="70"/>
      <c r="M15" s="70"/>
      <c r="N15" s="70"/>
      <c r="O15" s="70"/>
      <c r="P15" s="70"/>
      <c r="Q15" s="74">
        <f t="shared" si="1"/>
        <v>17.2315</v>
      </c>
      <c r="R15" s="128"/>
      <c r="S15" s="128"/>
      <c r="T15" s="128"/>
      <c r="U15" s="128"/>
      <c r="V15" s="128"/>
      <c r="W15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5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5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5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5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5" s="8">
        <f>SUM(T_MAIN_DC19202122[[#This Row],[(Y)
TOTAL Excluding VAT - Y1
((A*J)*Q)+((A*R)*12))]:[(AC)
TOTAL Excluding VAT - Y5
((E*N*Q)+((E*V)*12))]])</f>
        <v>0</v>
      </c>
      <c r="AC15" s="131"/>
    </row>
    <row r="16" spans="1:29">
      <c r="A16" s="10" t="s">
        <v>102</v>
      </c>
      <c r="B16" t="s">
        <v>472</v>
      </c>
      <c r="C16" s="132" t="s">
        <v>473</v>
      </c>
      <c r="D16" s="132" t="s">
        <v>467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t="s">
        <v>275</v>
      </c>
      <c r="K16" t="s">
        <v>275</v>
      </c>
      <c r="L16" s="70"/>
      <c r="M16" s="70"/>
      <c r="N16" s="70"/>
      <c r="O16" s="70"/>
      <c r="P16" s="70"/>
      <c r="Q16" s="74">
        <f t="shared" si="1"/>
        <v>17.2315</v>
      </c>
      <c r="R16" s="128"/>
      <c r="S16" s="128"/>
      <c r="T16" s="128"/>
      <c r="U16" s="128"/>
      <c r="V16" s="128"/>
      <c r="W16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6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6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6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6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6" s="8">
        <f>SUM(T_MAIN_DC19202122[[#This Row],[(Y)
TOTAL Excluding VAT - Y1
((A*J)*Q)+((A*R)*12))]:[(AC)
TOTAL Excluding VAT - Y5
((E*N*Q)+((E*V)*12))]])</f>
        <v>0</v>
      </c>
      <c r="AC16" s="131"/>
    </row>
    <row r="17" spans="1:29">
      <c r="A17" s="10" t="s">
        <v>102</v>
      </c>
      <c r="B17" t="s">
        <v>474</v>
      </c>
      <c r="C17" s="132" t="s">
        <v>475</v>
      </c>
      <c r="D17" s="132" t="s">
        <v>467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t="s">
        <v>275</v>
      </c>
      <c r="K17" t="s">
        <v>275</v>
      </c>
      <c r="L17" s="70"/>
      <c r="M17" s="70"/>
      <c r="N17" s="70"/>
      <c r="O17" s="70"/>
      <c r="P17" s="70"/>
      <c r="Q17" s="74">
        <f t="shared" si="1"/>
        <v>17.2315</v>
      </c>
      <c r="R17" s="128"/>
      <c r="S17" s="128"/>
      <c r="T17" s="128"/>
      <c r="U17" s="128"/>
      <c r="V17" s="128"/>
      <c r="W17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7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7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7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7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7" s="8">
        <f>SUM(T_MAIN_DC19202122[[#This Row],[(Y)
TOTAL Excluding VAT - Y1
((A*J)*Q)+((A*R)*12))]:[(AC)
TOTAL Excluding VAT - Y5
((E*N*Q)+((E*V)*12))]])</f>
        <v>0</v>
      </c>
      <c r="AC17" s="131"/>
    </row>
    <row r="18" spans="1:29">
      <c r="A18" s="10" t="s">
        <v>102</v>
      </c>
      <c r="B18" t="s">
        <v>476</v>
      </c>
      <c r="C18" s="132" t="s">
        <v>477</v>
      </c>
      <c r="D18" s="132" t="s">
        <v>467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t="s">
        <v>275</v>
      </c>
      <c r="K18" t="s">
        <v>275</v>
      </c>
      <c r="L18" s="70"/>
      <c r="M18" s="70"/>
      <c r="N18" s="70"/>
      <c r="O18" s="70"/>
      <c r="P18" s="70"/>
      <c r="Q18" s="74">
        <f t="shared" si="1"/>
        <v>17.2315</v>
      </c>
      <c r="R18" s="128"/>
      <c r="S18" s="128"/>
      <c r="T18" s="128"/>
      <c r="U18" s="128"/>
      <c r="V18" s="128"/>
      <c r="W18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8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8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8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8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8" s="8">
        <f>SUM(T_MAIN_DC19202122[[#This Row],[(Y)
TOTAL Excluding VAT - Y1
((A*J)*Q)+((A*R)*12))]:[(AC)
TOTAL Excluding VAT - Y5
((E*N*Q)+((E*V)*12))]])</f>
        <v>0</v>
      </c>
      <c r="AC18" s="131"/>
    </row>
    <row r="19" spans="1:29">
      <c r="A19" s="10" t="s">
        <v>102</v>
      </c>
      <c r="B19" t="s">
        <v>478</v>
      </c>
      <c r="C19" s="132" t="s">
        <v>479</v>
      </c>
      <c r="D19" s="132" t="s">
        <v>467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t="s">
        <v>275</v>
      </c>
      <c r="K19" t="s">
        <v>275</v>
      </c>
      <c r="L19" s="70"/>
      <c r="M19" s="70"/>
      <c r="N19" s="70"/>
      <c r="O19" s="70"/>
      <c r="P19" s="70"/>
      <c r="Q19" s="74">
        <f t="shared" si="1"/>
        <v>17.2315</v>
      </c>
      <c r="R19" s="128"/>
      <c r="S19" s="128"/>
      <c r="T19" s="128"/>
      <c r="U19" s="128"/>
      <c r="V19" s="128"/>
      <c r="W19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19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19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19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19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19" s="8">
        <f>SUM(T_MAIN_DC19202122[[#This Row],[(Y)
TOTAL Excluding VAT - Y1
((A*J)*Q)+((A*R)*12))]:[(AC)
TOTAL Excluding VAT - Y5
((E*N*Q)+((E*V)*12))]])</f>
        <v>0</v>
      </c>
      <c r="AC19" s="131"/>
    </row>
    <row r="20" spans="1:29">
      <c r="A20" s="10" t="s">
        <v>102</v>
      </c>
      <c r="B20" t="s">
        <v>480</v>
      </c>
      <c r="C20" s="132" t="s">
        <v>481</v>
      </c>
      <c r="D20" s="132" t="s">
        <v>467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t="s">
        <v>275</v>
      </c>
      <c r="K20" t="s">
        <v>275</v>
      </c>
      <c r="L20" s="70"/>
      <c r="M20" s="70"/>
      <c r="N20" s="70"/>
      <c r="O20" s="70"/>
      <c r="P20" s="70"/>
      <c r="Q20" s="74">
        <f t="shared" si="1"/>
        <v>17.2315</v>
      </c>
      <c r="R20" s="128"/>
      <c r="S20" s="128"/>
      <c r="T20" s="128"/>
      <c r="U20" s="128"/>
      <c r="V20" s="128"/>
      <c r="W20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0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0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0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0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0" s="8">
        <f>SUM(T_MAIN_DC19202122[[#This Row],[(Y)
TOTAL Excluding VAT - Y1
((A*J)*Q)+((A*R)*12))]:[(AC)
TOTAL Excluding VAT - Y5
((E*N*Q)+((E*V)*12))]])</f>
        <v>0</v>
      </c>
      <c r="AC20" s="131"/>
    </row>
    <row r="21" spans="1:29">
      <c r="A21" s="10" t="s">
        <v>102</v>
      </c>
      <c r="B21" t="s">
        <v>482</v>
      </c>
      <c r="C21" s="132" t="s">
        <v>483</v>
      </c>
      <c r="D21" s="132" t="s">
        <v>467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t="s">
        <v>275</v>
      </c>
      <c r="K21" t="s">
        <v>275</v>
      </c>
      <c r="L21" s="70"/>
      <c r="M21" s="70"/>
      <c r="N21" s="70"/>
      <c r="O21" s="70"/>
      <c r="P21" s="70"/>
      <c r="Q21" s="74">
        <f t="shared" si="1"/>
        <v>17.2315</v>
      </c>
      <c r="R21" s="128"/>
      <c r="S21" s="128"/>
      <c r="T21" s="128"/>
      <c r="U21" s="128"/>
      <c r="V21" s="128"/>
      <c r="W21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1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1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1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1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1" s="8">
        <f>SUM(T_MAIN_DC19202122[[#This Row],[(Y)
TOTAL Excluding VAT - Y1
((A*J)*Q)+((A*R)*12))]:[(AC)
TOTAL Excluding VAT - Y5
((E*N*Q)+((E*V)*12))]])</f>
        <v>0</v>
      </c>
      <c r="AC21" s="131"/>
    </row>
    <row r="22" spans="1:29">
      <c r="A22" s="10" t="s">
        <v>102</v>
      </c>
      <c r="B22" t="s">
        <v>484</v>
      </c>
      <c r="C22" s="132" t="s">
        <v>485</v>
      </c>
      <c r="D22" s="132" t="s">
        <v>467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t="s">
        <v>275</v>
      </c>
      <c r="K22" t="s">
        <v>275</v>
      </c>
      <c r="L22" s="70"/>
      <c r="M22" s="70"/>
      <c r="N22" s="70"/>
      <c r="O22" s="70"/>
      <c r="P22" s="70"/>
      <c r="Q22" s="74">
        <f t="shared" si="1"/>
        <v>17.2315</v>
      </c>
      <c r="R22" s="128"/>
      <c r="S22" s="128"/>
      <c r="T22" s="128"/>
      <c r="U22" s="128"/>
      <c r="V22" s="128"/>
      <c r="W22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2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2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2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2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2" s="8">
        <f>SUM(T_MAIN_DC19202122[[#This Row],[(Y)
TOTAL Excluding VAT - Y1
((A*J)*Q)+((A*R)*12))]:[(AC)
TOTAL Excluding VAT - Y5
((E*N*Q)+((E*V)*12))]])</f>
        <v>0</v>
      </c>
      <c r="AC22" s="131"/>
    </row>
    <row r="23" spans="1:29">
      <c r="A23" s="10" t="s">
        <v>104</v>
      </c>
      <c r="B23" t="s">
        <v>486</v>
      </c>
      <c r="C23" s="132" t="s">
        <v>487</v>
      </c>
      <c r="D23" s="132" t="s">
        <v>467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t="s">
        <v>275</v>
      </c>
      <c r="K23" t="s">
        <v>275</v>
      </c>
      <c r="L23" s="70"/>
      <c r="M23" s="70"/>
      <c r="N23" s="70"/>
      <c r="O23" s="70"/>
      <c r="P23" s="70"/>
      <c r="Q23" s="74">
        <f t="shared" si="1"/>
        <v>17.2315</v>
      </c>
      <c r="R23" s="128"/>
      <c r="S23" s="128"/>
      <c r="T23" s="128"/>
      <c r="U23" s="128"/>
      <c r="V23" s="128"/>
      <c r="W23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3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3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3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3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3" s="8">
        <f>SUM(T_MAIN_DC19202122[[#This Row],[(Y)
TOTAL Excluding VAT - Y1
((A*J)*Q)+((A*R)*12))]:[(AC)
TOTAL Excluding VAT - Y5
((E*N*Q)+((E*V)*12))]])</f>
        <v>0</v>
      </c>
      <c r="AC23" s="131"/>
    </row>
    <row r="24" spans="1:29">
      <c r="A24" s="10" t="s">
        <v>104</v>
      </c>
      <c r="B24" t="s">
        <v>488</v>
      </c>
      <c r="C24" s="132" t="s">
        <v>489</v>
      </c>
      <c r="D24" s="132" t="s">
        <v>467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t="s">
        <v>275</v>
      </c>
      <c r="K24" t="s">
        <v>275</v>
      </c>
      <c r="L24" s="70"/>
      <c r="M24" s="70"/>
      <c r="N24" s="70"/>
      <c r="O24" s="70"/>
      <c r="P24" s="70"/>
      <c r="Q24" s="74">
        <f t="shared" si="1"/>
        <v>17.2315</v>
      </c>
      <c r="R24" s="128"/>
      <c r="S24" s="128"/>
      <c r="T24" s="128"/>
      <c r="U24" s="128"/>
      <c r="V24" s="128"/>
      <c r="W24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4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4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4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4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4" s="8">
        <f>SUM(T_MAIN_DC19202122[[#This Row],[(Y)
TOTAL Excluding VAT - Y1
((A*J)*Q)+((A*R)*12))]:[(AC)
TOTAL Excluding VAT - Y5
((E*N*Q)+((E*V)*12))]])</f>
        <v>0</v>
      </c>
      <c r="AC24" s="131"/>
    </row>
    <row r="25" spans="1:29">
      <c r="A25" s="10" t="s">
        <v>104</v>
      </c>
      <c r="B25" t="s">
        <v>490</v>
      </c>
      <c r="C25" s="132" t="s">
        <v>491</v>
      </c>
      <c r="D25" s="132" t="s">
        <v>467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t="s">
        <v>275</v>
      </c>
      <c r="K25" t="s">
        <v>275</v>
      </c>
      <c r="L25" s="70"/>
      <c r="M25" s="70"/>
      <c r="N25" s="70"/>
      <c r="O25" s="70"/>
      <c r="P25" s="70"/>
      <c r="Q25" s="74">
        <f t="shared" si="1"/>
        <v>17.2315</v>
      </c>
      <c r="R25" s="128"/>
      <c r="S25" s="128"/>
      <c r="T25" s="128"/>
      <c r="U25" s="128"/>
      <c r="V25" s="128"/>
      <c r="W25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5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5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5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5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5" s="8">
        <f>SUM(T_MAIN_DC19202122[[#This Row],[(Y)
TOTAL Excluding VAT - Y1
((A*J)*Q)+((A*R)*12))]:[(AC)
TOTAL Excluding VAT - Y5
((E*N*Q)+((E*V)*12))]])</f>
        <v>0</v>
      </c>
      <c r="AC25" s="131"/>
    </row>
    <row r="26" spans="1:29">
      <c r="A26" s="10" t="s">
        <v>104</v>
      </c>
      <c r="B26" t="s">
        <v>492</v>
      </c>
      <c r="C26" s="132" t="s">
        <v>493</v>
      </c>
      <c r="D26" s="132" t="s">
        <v>467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t="s">
        <v>275</v>
      </c>
      <c r="K26" t="s">
        <v>275</v>
      </c>
      <c r="L26" s="70"/>
      <c r="M26" s="70"/>
      <c r="N26" s="70"/>
      <c r="O26" s="70"/>
      <c r="P26" s="70"/>
      <c r="Q26" s="74">
        <f t="shared" si="1"/>
        <v>17.2315</v>
      </c>
      <c r="R26" s="128"/>
      <c r="S26" s="128"/>
      <c r="T26" s="128"/>
      <c r="U26" s="128"/>
      <c r="V26" s="128"/>
      <c r="W26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6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6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6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6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6" s="8">
        <f>SUM(T_MAIN_DC19202122[[#This Row],[(Y)
TOTAL Excluding VAT - Y1
((A*J)*Q)+((A*R)*12))]:[(AC)
TOTAL Excluding VAT - Y5
((E*N*Q)+((E*V)*12))]])</f>
        <v>0</v>
      </c>
      <c r="AC26" s="131"/>
    </row>
    <row r="27" spans="1:29">
      <c r="A27" s="10" t="s">
        <v>104</v>
      </c>
      <c r="B27" t="s">
        <v>494</v>
      </c>
      <c r="C27" s="132" t="s">
        <v>495</v>
      </c>
      <c r="D27" s="132" t="s">
        <v>467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t="s">
        <v>275</v>
      </c>
      <c r="K27" t="s">
        <v>275</v>
      </c>
      <c r="L27" s="70"/>
      <c r="M27" s="70"/>
      <c r="N27" s="70"/>
      <c r="O27" s="70"/>
      <c r="P27" s="70"/>
      <c r="Q27" s="74">
        <f t="shared" si="1"/>
        <v>17.2315</v>
      </c>
      <c r="R27" s="128"/>
      <c r="S27" s="128"/>
      <c r="T27" s="128"/>
      <c r="U27" s="128"/>
      <c r="V27" s="128"/>
      <c r="W27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7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7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7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7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7" s="8">
        <f>SUM(T_MAIN_DC19202122[[#This Row],[(Y)
TOTAL Excluding VAT - Y1
((A*J)*Q)+((A*R)*12))]:[(AC)
TOTAL Excluding VAT - Y5
((E*N*Q)+((E*V)*12))]])</f>
        <v>0</v>
      </c>
      <c r="AC27" s="131"/>
    </row>
    <row r="28" spans="1:29">
      <c r="A28" s="10" t="s">
        <v>104</v>
      </c>
      <c r="B28" t="s">
        <v>496</v>
      </c>
      <c r="C28" s="132" t="s">
        <v>497</v>
      </c>
      <c r="D28" s="132" t="s">
        <v>467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t="s">
        <v>275</v>
      </c>
      <c r="K28" t="s">
        <v>275</v>
      </c>
      <c r="L28" s="70"/>
      <c r="M28" s="70"/>
      <c r="N28" s="70"/>
      <c r="O28" s="70"/>
      <c r="P28" s="70"/>
      <c r="Q28" s="74">
        <f t="shared" si="0"/>
        <v>17.2315</v>
      </c>
      <c r="R28" s="128"/>
      <c r="S28" s="128"/>
      <c r="T28" s="128"/>
      <c r="U28" s="128"/>
      <c r="V28" s="128"/>
      <c r="W28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8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8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8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8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8" s="8">
        <f>SUM(T_MAIN_DC19202122[[#This Row],[(Y)
TOTAL Excluding VAT - Y1
((A*J)*Q)+((A*R)*12))]:[(AC)
TOTAL Excluding VAT - Y5
((E*N*Q)+((E*V)*12))]])</f>
        <v>0</v>
      </c>
      <c r="AC28" s="73"/>
    </row>
    <row r="29" spans="1:29">
      <c r="A29" s="10" t="s">
        <v>106</v>
      </c>
      <c r="B29" t="s">
        <v>498</v>
      </c>
      <c r="C29" s="132" t="s">
        <v>499</v>
      </c>
      <c r="D29" s="132" t="s">
        <v>467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t="s">
        <v>275</v>
      </c>
      <c r="K29" t="s">
        <v>275</v>
      </c>
      <c r="L29" s="70"/>
      <c r="M29" s="70"/>
      <c r="N29" s="70"/>
      <c r="O29" s="70"/>
      <c r="P29" s="70"/>
      <c r="Q29" s="74">
        <f t="shared" si="0"/>
        <v>17.2315</v>
      </c>
      <c r="R29" s="128"/>
      <c r="S29" s="128"/>
      <c r="T29" s="128"/>
      <c r="U29" s="128"/>
      <c r="V29" s="128"/>
      <c r="W29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29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29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29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29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29" s="8">
        <f>SUM(T_MAIN_DC19202122[[#This Row],[(Y)
TOTAL Excluding VAT - Y1
((A*J)*Q)+((A*R)*12))]:[(AC)
TOTAL Excluding VAT - Y5
((E*N*Q)+((E*V)*12))]])</f>
        <v>0</v>
      </c>
      <c r="AC29" s="73"/>
    </row>
    <row r="30" spans="1:29">
      <c r="A30" s="10" t="s">
        <v>106</v>
      </c>
      <c r="B30" t="s">
        <v>500</v>
      </c>
      <c r="C30" t="s">
        <v>501</v>
      </c>
      <c r="D30" t="s">
        <v>467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t="s">
        <v>275</v>
      </c>
      <c r="K30" t="s">
        <v>275</v>
      </c>
      <c r="L30" s="70"/>
      <c r="M30" s="70"/>
      <c r="N30" s="70"/>
      <c r="O30" s="70"/>
      <c r="P30" s="70"/>
      <c r="Q30" s="74">
        <f t="shared" si="0"/>
        <v>17.2315</v>
      </c>
      <c r="R30" s="128"/>
      <c r="S30" s="128"/>
      <c r="T30" s="128"/>
      <c r="U30" s="128"/>
      <c r="V30" s="128"/>
      <c r="W30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30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30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30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30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30" s="8">
        <f>SUM(T_MAIN_DC19202122[[#This Row],[(Y)
TOTAL Excluding VAT - Y1
((A*J)*Q)+((A*R)*12))]:[(AC)
TOTAL Excluding VAT - Y5
((E*N*Q)+((E*V)*12))]])</f>
        <v>0</v>
      </c>
      <c r="AC30" s="73"/>
    </row>
    <row r="31" spans="1:29">
      <c r="A31" s="10" t="s">
        <v>106</v>
      </c>
      <c r="B31" t="s">
        <v>502</v>
      </c>
      <c r="C31" t="s">
        <v>503</v>
      </c>
      <c r="D31" t="s">
        <v>467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t="s">
        <v>275</v>
      </c>
      <c r="K31" t="s">
        <v>275</v>
      </c>
      <c r="L31" s="70"/>
      <c r="M31" s="70"/>
      <c r="N31" s="70"/>
      <c r="O31" s="70"/>
      <c r="P31" s="70"/>
      <c r="Q31" s="74">
        <f t="shared" si="0"/>
        <v>17.2315</v>
      </c>
      <c r="R31" s="128"/>
      <c r="S31" s="128"/>
      <c r="T31" s="128"/>
      <c r="U31" s="128"/>
      <c r="V31" s="128"/>
      <c r="W31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31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31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31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31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31" s="8">
        <f>SUM(T_MAIN_DC19202122[[#This Row],[(Y)
TOTAL Excluding VAT - Y1
((A*J)*Q)+((A*R)*12))]:[(AC)
TOTAL Excluding VAT - Y5
((E*N*Q)+((E*V)*12))]])</f>
        <v>0</v>
      </c>
      <c r="AC31" s="73"/>
    </row>
    <row r="32" spans="1:29">
      <c r="A32" s="10" t="s">
        <v>106</v>
      </c>
      <c r="B32" t="s">
        <v>504</v>
      </c>
      <c r="C32" t="s">
        <v>505</v>
      </c>
      <c r="D32" t="s">
        <v>467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t="s">
        <v>275</v>
      </c>
      <c r="K32" t="s">
        <v>275</v>
      </c>
      <c r="L32" s="70"/>
      <c r="M32" s="70"/>
      <c r="N32" s="70"/>
      <c r="O32" s="70"/>
      <c r="P32" s="70"/>
      <c r="Q32" s="74">
        <f t="shared" si="0"/>
        <v>17.2315</v>
      </c>
      <c r="R32" s="128"/>
      <c r="S32" s="128"/>
      <c r="T32" s="128"/>
      <c r="U32" s="128"/>
      <c r="V32" s="128"/>
      <c r="W32" s="8">
        <f>((T_MAIN_DC19202122[[#This Row],[(A)
Qty  - Y1]]*T_MAIN_DC19202122[[#This Row],[(J)
USD PRICE
Annual Partner Support Service (1 Year)
Chassis Plus Modules
- according to HW service level (I)
Y1]])*T_MAIN_DC19202122[[#This Row],[(Q)
Exchange Rate]])+((T_MAIN_DC19202122[[#This Row],[(A)
Qty  - Y1]]*T_MAIN_DC19202122[[#This Row],[(R)
Monthly Maintenance according to Service  Level (H) - Y1]])*12)</f>
        <v>0</v>
      </c>
      <c r="X32" s="8">
        <f>((T_MAIN_DC19202122[[#This Row],[(B)
Qty  - Y2]]*T_MAIN_DC19202122[[#This Row],[(K)
USD PRICE
Annual Partner Support Service (1 Year)
Chassis Plus Modules
- according to HW service level (I)
Y2]])*T_MAIN_DC19202122[[#This Row],[(Q)
Exchange Rate]])+((T_MAIN_DC19202122[[#This Row],[(B)
Qty  - Y2]]*T_MAIN_DC19202122[[#This Row],[(S)
Monthly Maintenance according to Service  Level (H) - Y2]])*12)</f>
        <v>0</v>
      </c>
      <c r="Y32" s="8">
        <f>((T_MAIN_DC19202122[[#This Row],[(C)
Qty  - Y3]]*T_MAIN_DC19202122[[#This Row],[(L)
USD PRICE
Annual Partner Support Service (1 Year)
Chassis Plus Modules
- according to HW service level (I)
Y3]])*T_MAIN_DC19202122[[#This Row],[(Q)
Exchange Rate]])+((T_MAIN_DC19202122[[#This Row],[(C)
Qty  - Y3]]*T_MAIN_DC19202122[[#This Row],[(T)
Monthly Maintenance according to Service  Level (H) - Y3]])*12)</f>
        <v>0</v>
      </c>
      <c r="Z32" s="8">
        <f>((T_MAIN_DC19202122[[#This Row],[(D)
Qty  - Y4]]*T_MAIN_DC19202122[[#This Row],[(M)
USD PRICE
Annual Partner Support Service (1 Year)
Chassis Plus Modules
- according to HW service level (I)
Y4]])*T_MAIN_DC19202122[[#This Row],[(Q)
Exchange Rate]])+((T_MAIN_DC19202122[[#This Row],[(D)
Qty  - Y4]]*T_MAIN_DC19202122[[#This Row],[(U)
Monthly Maintenance according to Service  Level (H) - Y4]])*12)</f>
        <v>0</v>
      </c>
      <c r="AA32" s="8">
        <f>((T_MAIN_DC19202122[[#This Row],[(E)
Qty  - Y5]]*T_MAIN_DC19202122[[#This Row],[(N)
USD PRICE
Annual Partner Support Service (1 Year)
Chassis Plus Modules
- according to HW service level (I)
Y5]])*T_MAIN_DC19202122[[#This Row],[(Q)
Exchange Rate]])+((T_MAIN_DC19202122[[#This Row],[(E)
Qty  - Y5]]*T_MAIN_DC19202122[[#This Row],[(V)
Monthly Maintenance according to Service  Level (H) - Y5]])*12)</f>
        <v>0</v>
      </c>
      <c r="AB32" s="8">
        <f>SUM(T_MAIN_DC19202122[[#This Row],[(Y)
TOTAL Excluding VAT - Y1
((A*J)*Q)+((A*R)*12))]:[(AC)
TOTAL Excluding VAT - Y5
((E*N*Q)+((E*V)*12))]])</f>
        <v>0</v>
      </c>
      <c r="AC32" s="73"/>
    </row>
    <row r="33" spans="1:29">
      <c r="A33" t="s">
        <v>29</v>
      </c>
      <c r="C33" s="129"/>
      <c r="D33" s="129"/>
      <c r="H33" s="93"/>
      <c r="L33" s="130"/>
      <c r="M33" s="70"/>
      <c r="N33" s="70"/>
      <c r="O33" s="70"/>
      <c r="P33" s="70"/>
      <c r="Q33" s="74"/>
      <c r="R33" s="128"/>
      <c r="S33" s="128"/>
      <c r="T33" s="128"/>
      <c r="U33" s="128"/>
      <c r="V33" s="128"/>
      <c r="W33" s="8">
        <f>SUBTOTAL(109,T_MAIN_DC19202122[(Y)
TOTAL Excluding VAT - Y1
((A*J)*Q)+((A*R)*12))])</f>
        <v>0</v>
      </c>
      <c r="X33" s="8">
        <f>SUBTOTAL(109,T_MAIN_DC19202122[(Z)
TOTAL Excluding VAT - Y2
((B*K)*Q)+((B*S)*12))])</f>
        <v>0</v>
      </c>
      <c r="Y33" s="8">
        <f>SUBTOTAL(109,T_MAIN_DC19202122[AA)
TOTAL Excluding VAT - Y3
((C*L)*Q)+((C*T)*12))])</f>
        <v>0</v>
      </c>
      <c r="Z33" s="8">
        <f>SUBTOTAL(109,T_MAIN_DC19202122[(AB)
TOTAL Excluding VAT - Y4
((D*M)*Q)+((D*U)*12))])</f>
        <v>0</v>
      </c>
      <c r="AA33" s="8">
        <f>SUBTOTAL(109,T_MAIN_DC19202122[(AC)
TOTAL Excluding VAT - Y5
((E*N*Q)+((E*V)*12))])</f>
        <v>0</v>
      </c>
      <c r="AB33" s="8">
        <f>SUBTOTAL(109,T_MAIN_DC19202122[(AF)
TOTAL Excluding VAT])</f>
        <v>0</v>
      </c>
      <c r="AC33" s="131">
        <f>SUBTOTAL(103,T_MAIN_DC19202122[Comments])</f>
        <v>0</v>
      </c>
    </row>
  </sheetData>
  <mergeCells count="6">
    <mergeCell ref="A9:L9"/>
    <mergeCell ref="A1:AC4"/>
    <mergeCell ref="A5:D5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4868-B2F4-4461-8119-B1AEA2069D6C}">
  <sheetPr>
    <tabColor rgb="FF92D050"/>
    <pageSetUpPr fitToPage="1"/>
  </sheetPr>
  <dimension ref="A1:S16"/>
  <sheetViews>
    <sheetView showGridLines="0" zoomScaleNormal="100" workbookViewId="0">
      <selection sqref="A1:M4"/>
    </sheetView>
  </sheetViews>
  <sheetFormatPr defaultColWidth="9.140625" defaultRowHeight="14.65"/>
  <cols>
    <col min="1" max="1" width="17.7109375" bestFit="1" customWidth="1"/>
    <col min="2" max="2" width="101.140625" bestFit="1" customWidth="1"/>
    <col min="3" max="3" width="10.7109375" style="91" customWidth="1"/>
    <col min="4" max="4" width="10.7109375" style="10" customWidth="1"/>
    <col min="5" max="5" width="10.7109375" style="92" customWidth="1"/>
    <col min="6" max="6" width="10.7109375" style="94" customWidth="1"/>
    <col min="7" max="7" width="10.7109375" style="10" customWidth="1"/>
    <col min="8" max="12" width="15.28515625" customWidth="1"/>
    <col min="13" max="18" width="24.85546875" customWidth="1"/>
    <col min="19" max="19" width="16.28515625" customWidth="1"/>
  </cols>
  <sheetData>
    <row r="1" spans="1:19" s="4" customFormat="1" ht="15" customHeight="1">
      <c r="A1" s="191" t="s">
        <v>506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</row>
    <row r="2" spans="1:1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6"/>
    </row>
    <row r="3" spans="1:1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6"/>
    </row>
    <row r="4" spans="1:1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9"/>
    </row>
    <row r="5" spans="1:19" s="4" customFormat="1" ht="15.4">
      <c r="A5" s="216"/>
      <c r="B5" s="216"/>
      <c r="C5" s="76"/>
      <c r="D5" s="76"/>
      <c r="E5" s="77"/>
      <c r="F5" s="78"/>
      <c r="G5" s="78"/>
    </row>
    <row r="6" spans="1:19" s="4" customFormat="1" ht="15.4">
      <c r="A6" s="212"/>
      <c r="B6" s="212"/>
      <c r="C6" s="212"/>
      <c r="D6" s="212"/>
      <c r="E6" s="212"/>
      <c r="F6" s="212"/>
      <c r="G6" s="212"/>
    </row>
    <row r="7" spans="1:19" s="4" customFormat="1" ht="15.4">
      <c r="A7" s="212"/>
      <c r="B7" s="212"/>
      <c r="C7" s="212"/>
      <c r="D7" s="212"/>
      <c r="E7" s="212"/>
      <c r="F7" s="212"/>
      <c r="G7" s="212"/>
    </row>
    <row r="8" spans="1:19" s="4" customFormat="1" ht="15.4">
      <c r="A8" s="212"/>
      <c r="B8" s="212"/>
      <c r="C8" s="212"/>
      <c r="D8" s="212"/>
      <c r="E8" s="212"/>
      <c r="F8" s="212"/>
      <c r="G8" s="212"/>
    </row>
    <row r="9" spans="1:19" s="4" customFormat="1" ht="15.4">
      <c r="A9" s="212"/>
      <c r="B9" s="212"/>
      <c r="C9" s="212"/>
      <c r="D9" s="212"/>
      <c r="E9" s="212"/>
      <c r="F9" s="212"/>
      <c r="G9" s="212"/>
    </row>
    <row r="10" spans="1:19" ht="15.4">
      <c r="A10" s="42"/>
      <c r="B10" s="58"/>
      <c r="C10" s="79"/>
      <c r="D10" s="80"/>
      <c r="E10" s="81"/>
      <c r="F10" s="82"/>
      <c r="G10" s="81"/>
    </row>
    <row r="11" spans="1:19" ht="15.4">
      <c r="A11" s="42"/>
      <c r="B11" s="58"/>
      <c r="C11" s="79"/>
      <c r="D11" s="80"/>
      <c r="E11" s="83"/>
      <c r="F11" s="84"/>
      <c r="G11" s="78"/>
    </row>
    <row r="12" spans="1:19" ht="141.6" customHeight="1">
      <c r="A12" s="85" t="s">
        <v>244</v>
      </c>
      <c r="B12" s="86" t="s">
        <v>507</v>
      </c>
      <c r="C12" s="9" t="s">
        <v>248</v>
      </c>
      <c r="D12" s="9" t="s">
        <v>249</v>
      </c>
      <c r="E12" s="9" t="s">
        <v>250</v>
      </c>
      <c r="F12" s="9" t="s">
        <v>251</v>
      </c>
      <c r="G12" s="9" t="s">
        <v>252</v>
      </c>
      <c r="H12" s="9" t="s">
        <v>508</v>
      </c>
      <c r="I12" s="9" t="s">
        <v>509</v>
      </c>
      <c r="J12" s="9" t="s">
        <v>510</v>
      </c>
      <c r="K12" s="9" t="s">
        <v>511</v>
      </c>
      <c r="L12" s="9" t="s">
        <v>512</v>
      </c>
      <c r="M12" s="87" t="s">
        <v>513</v>
      </c>
      <c r="N12" s="87" t="s">
        <v>514</v>
      </c>
      <c r="O12" s="87" t="s">
        <v>515</v>
      </c>
      <c r="P12" s="87" t="s">
        <v>516</v>
      </c>
      <c r="Q12" s="87" t="s">
        <v>517</v>
      </c>
      <c r="R12" s="87" t="s">
        <v>271</v>
      </c>
      <c r="S12" s="9" t="s">
        <v>236</v>
      </c>
    </row>
    <row r="13" spans="1:19" ht="58.35">
      <c r="A13" s="142" t="s">
        <v>518</v>
      </c>
      <c r="B13" s="141" t="s">
        <v>519</v>
      </c>
      <c r="C13" s="10">
        <v>30</v>
      </c>
      <c r="D13" s="10">
        <v>30</v>
      </c>
      <c r="E13" s="10">
        <v>30</v>
      </c>
      <c r="F13" s="10">
        <v>30</v>
      </c>
      <c r="G13" s="10">
        <v>30</v>
      </c>
      <c r="H13" s="88"/>
      <c r="I13" s="88"/>
      <c r="J13" s="88"/>
      <c r="K13" s="88"/>
      <c r="L13" s="88"/>
      <c r="M13" s="8">
        <f>T_MAIN_DC4[[#This Row],[(A)
Qty  - Y1]]*T_MAIN_DC4[[#This Row],[(F)
Y1 Cost]]</f>
        <v>0</v>
      </c>
      <c r="N13" s="8">
        <f>T_MAIN_DC4[[#This Row],[(B)
Qty  - Y2]]*T_MAIN_DC4[[#This Row],[(G)
Y2 Cost]]</f>
        <v>0</v>
      </c>
      <c r="O13" s="8">
        <f>T_MAIN_DC4[[#This Row],[(C)
Qty  - Y3]]*T_MAIN_DC4[[#This Row],[(H)
Y3 Cost]]</f>
        <v>0</v>
      </c>
      <c r="P13" s="8">
        <f>T_MAIN_DC4[[#This Row],[(D)
Qty  - Y4]]*T_MAIN_DC4[[#This Row],[(I)
Y4 Cost]]</f>
        <v>0</v>
      </c>
      <c r="Q13" s="8">
        <f>T_MAIN_DC4[[#This Row],[(E)
Qty  - Y5]]*T_MAIN_DC4[[#This Row],[(J)
Y5 Cost]]</f>
        <v>0</v>
      </c>
      <c r="R13" s="8">
        <f>T_MAIN_DC4[[#This Row],[(F)
Y1 Cost]]*T_MAIN_DC4[[#This Row],[(K)
TOTAL Excluding VAT - Y1
(A*F)]]</f>
        <v>0</v>
      </c>
      <c r="S13" s="89"/>
    </row>
    <row r="14" spans="1:19" ht="72.95">
      <c r="A14" s="142" t="s">
        <v>518</v>
      </c>
      <c r="B14" s="141" t="s">
        <v>520</v>
      </c>
      <c r="C14" s="10">
        <v>20</v>
      </c>
      <c r="D14" s="10">
        <v>20</v>
      </c>
      <c r="E14" s="10">
        <v>20</v>
      </c>
      <c r="F14" s="10">
        <v>20</v>
      </c>
      <c r="G14" s="10">
        <v>20</v>
      </c>
      <c r="H14" s="140"/>
      <c r="I14" s="140"/>
      <c r="J14" s="140"/>
      <c r="K14" s="140"/>
      <c r="L14" s="140"/>
      <c r="M14" s="8">
        <f>T_MAIN_DC4[[#This Row],[(A)
Qty  - Y1]]*T_MAIN_DC4[[#This Row],[(F)
Y1 Cost]]</f>
        <v>0</v>
      </c>
      <c r="N14" s="8">
        <f>T_MAIN_DC4[[#This Row],[(B)
Qty  - Y2]]*T_MAIN_DC4[[#This Row],[(G)
Y2 Cost]]</f>
        <v>0</v>
      </c>
      <c r="O14" s="8">
        <f>T_MAIN_DC4[[#This Row],[(C)
Qty  - Y3]]*T_MAIN_DC4[[#This Row],[(H)
Y3 Cost]]</f>
        <v>0</v>
      </c>
      <c r="P14" s="8">
        <f>T_MAIN_DC4[[#This Row],[(D)
Qty  - Y4]]*T_MAIN_DC4[[#This Row],[(I)
Y4 Cost]]</f>
        <v>0</v>
      </c>
      <c r="Q14" s="8">
        <f>T_MAIN_DC4[[#This Row],[(E)
Qty  - Y5]]*T_MAIN_DC4[[#This Row],[(J)
Y5 Cost]]</f>
        <v>0</v>
      </c>
      <c r="R14" s="8">
        <f>T_MAIN_DC4[[#This Row],[(F)
Y1 Cost]]*T_MAIN_DC4[[#This Row],[(K)
TOTAL Excluding VAT - Y1
(A*F)]]</f>
        <v>0</v>
      </c>
      <c r="S14" s="90"/>
    </row>
    <row r="15" spans="1:19" ht="29.1">
      <c r="A15" s="142" t="s">
        <v>518</v>
      </c>
      <c r="B15" s="141" t="s">
        <v>521</v>
      </c>
      <c r="C15" s="10">
        <v>10</v>
      </c>
      <c r="D15" s="10">
        <v>10</v>
      </c>
      <c r="E15" s="10">
        <v>10</v>
      </c>
      <c r="F15" s="10">
        <v>10</v>
      </c>
      <c r="G15" s="10">
        <v>10</v>
      </c>
      <c r="H15" s="140"/>
      <c r="I15" s="140"/>
      <c r="J15" s="140"/>
      <c r="K15" s="140"/>
      <c r="L15" s="140"/>
      <c r="M15" s="8">
        <f>T_MAIN_DC4[[#This Row],[(A)
Qty  - Y1]]*T_MAIN_DC4[[#This Row],[(F)
Y1 Cost]]</f>
        <v>0</v>
      </c>
      <c r="N15" s="8">
        <f>T_MAIN_DC4[[#This Row],[(B)
Qty  - Y2]]*T_MAIN_DC4[[#This Row],[(G)
Y2 Cost]]</f>
        <v>0</v>
      </c>
      <c r="O15" s="8">
        <f>T_MAIN_DC4[[#This Row],[(C)
Qty  - Y3]]*T_MAIN_DC4[[#This Row],[(H)
Y3 Cost]]</f>
        <v>0</v>
      </c>
      <c r="P15" s="8">
        <f>T_MAIN_DC4[[#This Row],[(D)
Qty  - Y4]]*T_MAIN_DC4[[#This Row],[(I)
Y4 Cost]]</f>
        <v>0</v>
      </c>
      <c r="Q15" s="8">
        <f>T_MAIN_DC4[[#This Row],[(E)
Qty  - Y5]]*T_MAIN_DC4[[#This Row],[(J)
Y5 Cost]]</f>
        <v>0</v>
      </c>
      <c r="R15" s="8">
        <f>T_MAIN_DC4[[#This Row],[(F)
Y1 Cost]]*T_MAIN_DC4[[#This Row],[(K)
TOTAL Excluding VAT - Y1
(A*F)]]</f>
        <v>0</v>
      </c>
      <c r="S15" s="90"/>
    </row>
    <row r="16" spans="1:19">
      <c r="A16" t="s">
        <v>29</v>
      </c>
      <c r="F16" s="93"/>
      <c r="H16" s="10"/>
      <c r="I16" s="10"/>
      <c r="J16" s="10"/>
      <c r="K16" s="10"/>
      <c r="L16" s="10"/>
      <c r="M16" s="8">
        <f>SUBTOTAL(109,T_MAIN_DC4[(K)
TOTAL Excluding VAT - Y1
(A*F)])</f>
        <v>0</v>
      </c>
      <c r="N16" s="8">
        <f>SUBTOTAL(109,T_MAIN_DC4[(L)
TOTAL Excluding VAT - Y2
(B*G)])</f>
        <v>0</v>
      </c>
      <c r="O16" s="8">
        <f>SUBTOTAL(109,T_MAIN_DC4[(M)
TOTAL Excluding VAT - Y3
(C*H)])</f>
        <v>0</v>
      </c>
      <c r="P16" s="8">
        <f>SUBTOTAL(109,T_MAIN_DC4[(N)
TOTAL Excluding VAT - Y4
(D*I)])</f>
        <v>0</v>
      </c>
      <c r="Q16" s="8">
        <f>SUBTOTAL(109,T_MAIN_DC4[(O)
TOTAL Excluding VAT - Y5
(E*J)])</f>
        <v>0</v>
      </c>
      <c r="R16" s="8">
        <f>SUBTOTAL(109,T_MAIN_DC4[(AF)
TOTAL Excluding VAT])</f>
        <v>0</v>
      </c>
      <c r="S16" s="90">
        <f>SUBTOTAL(103,T_MAIN_DC4[Comments])</f>
        <v>0</v>
      </c>
    </row>
  </sheetData>
  <mergeCells count="6">
    <mergeCell ref="A9:G9"/>
    <mergeCell ref="A1:M4"/>
    <mergeCell ref="A5:B5"/>
    <mergeCell ref="A6:G6"/>
    <mergeCell ref="A7:G7"/>
    <mergeCell ref="A8:G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AF78-3DB7-403B-AFF4-B4E9F6340D6A}">
  <sheetPr>
    <tabColor rgb="FF92D050"/>
    <pageSetUpPr fitToPage="1"/>
  </sheetPr>
  <dimension ref="A2:Q19"/>
  <sheetViews>
    <sheetView showGridLines="0" topLeftCell="A3" zoomScaleNormal="100" zoomScaleSheetLayoutView="55" workbookViewId="0">
      <selection activeCell="B34" sqref="B34"/>
    </sheetView>
  </sheetViews>
  <sheetFormatPr defaultColWidth="9.140625" defaultRowHeight="12.95"/>
  <cols>
    <col min="1" max="1" width="87.7109375" style="12" bestFit="1" customWidth="1"/>
    <col min="2" max="2" width="13.7109375" style="12" customWidth="1"/>
    <col min="3" max="3" width="22.5703125" style="12" bestFit="1" customWidth="1"/>
    <col min="4" max="4" width="23.5703125" style="12" bestFit="1" customWidth="1"/>
    <col min="5" max="6" width="22.5703125" style="12" bestFit="1" customWidth="1"/>
    <col min="7" max="7" width="23.5703125" style="12" bestFit="1" customWidth="1"/>
    <col min="8" max="9" width="22.5703125" style="12" bestFit="1" customWidth="1"/>
    <col min="10" max="10" width="23.5703125" style="12" bestFit="1" customWidth="1"/>
    <col min="11" max="12" width="22.5703125" style="12" bestFit="1" customWidth="1"/>
    <col min="13" max="13" width="23.5703125" style="12" bestFit="1" customWidth="1"/>
    <col min="14" max="15" width="22.5703125" style="12" bestFit="1" customWidth="1"/>
    <col min="16" max="16" width="23.5703125" style="12" bestFit="1" customWidth="1"/>
    <col min="17" max="17" width="22.5703125" style="12" bestFit="1" customWidth="1"/>
    <col min="18" max="16384" width="9.140625" style="12"/>
  </cols>
  <sheetData>
    <row r="2" spans="1:17" ht="13.35" thickBot="1"/>
    <row r="3" spans="1:17" s="16" customFormat="1" ht="14.25" customHeight="1">
      <c r="A3" s="191" t="s">
        <v>522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3"/>
    </row>
    <row r="4" spans="1:17" s="16" customFormat="1" ht="14.25" customHeight="1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6"/>
    </row>
    <row r="5" spans="1:17" s="16" customFormat="1" ht="40.5" customHeight="1" thickBot="1">
      <c r="A5" s="197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9"/>
    </row>
    <row r="6" spans="1:17" s="16" customFormat="1" ht="14.25" customHeight="1">
      <c r="A6" s="126"/>
      <c r="B6" s="2"/>
      <c r="C6" s="2"/>
      <c r="D6" s="2"/>
      <c r="E6" s="2"/>
      <c r="F6" s="2"/>
      <c r="G6" s="2"/>
      <c r="H6" s="133"/>
      <c r="I6" s="133"/>
    </row>
    <row r="7" spans="1:17" s="16" customFormat="1" ht="14.25" customHeight="1">
      <c r="A7" s="217" t="s">
        <v>38</v>
      </c>
      <c r="B7" s="218"/>
      <c r="C7" s="218"/>
      <c r="D7" s="218"/>
      <c r="E7" s="218"/>
      <c r="F7" s="218"/>
      <c r="G7" s="218"/>
      <c r="H7" s="52"/>
      <c r="I7" s="52"/>
    </row>
    <row r="8" spans="1:17" s="16" customFormat="1" ht="14.25" customHeight="1">
      <c r="A8" s="217" t="s">
        <v>8</v>
      </c>
      <c r="B8" s="218"/>
      <c r="C8" s="218"/>
      <c r="D8" s="218"/>
      <c r="E8" s="218"/>
      <c r="F8" s="218"/>
      <c r="G8" s="218"/>
      <c r="H8" s="52"/>
      <c r="I8" s="52"/>
    </row>
    <row r="9" spans="1:17" ht="13.35" thickBot="1"/>
    <row r="10" spans="1:17" ht="13.35" thickBot="1">
      <c r="C10" s="219" t="s">
        <v>523</v>
      </c>
      <c r="D10" s="220"/>
      <c r="E10" s="221"/>
      <c r="F10" s="222" t="s">
        <v>524</v>
      </c>
      <c r="G10" s="223"/>
      <c r="H10" s="224"/>
      <c r="I10" s="225" t="s">
        <v>525</v>
      </c>
      <c r="J10" s="226"/>
      <c r="K10" s="227"/>
      <c r="L10" s="228" t="s">
        <v>526</v>
      </c>
      <c r="M10" s="229"/>
      <c r="N10" s="230"/>
      <c r="O10" s="231" t="s">
        <v>527</v>
      </c>
      <c r="P10" s="232"/>
      <c r="Q10" s="233"/>
    </row>
    <row r="11" spans="1:17" ht="26.1" thickBot="1">
      <c r="A11" s="134" t="s">
        <v>528</v>
      </c>
      <c r="B11" s="135" t="s">
        <v>215</v>
      </c>
      <c r="C11" s="28" t="s">
        <v>529</v>
      </c>
      <c r="D11" s="29" t="s">
        <v>530</v>
      </c>
      <c r="E11" s="30" t="s">
        <v>531</v>
      </c>
      <c r="F11" s="28" t="s">
        <v>532</v>
      </c>
      <c r="G11" s="29" t="s">
        <v>533</v>
      </c>
      <c r="H11" s="30" t="s">
        <v>534</v>
      </c>
      <c r="I11" s="28" t="s">
        <v>535</v>
      </c>
      <c r="J11" s="29" t="s">
        <v>536</v>
      </c>
      <c r="K11" s="30" t="s">
        <v>537</v>
      </c>
      <c r="L11" s="28" t="s">
        <v>538</v>
      </c>
      <c r="M11" s="29" t="s">
        <v>539</v>
      </c>
      <c r="N11" s="30" t="s">
        <v>540</v>
      </c>
      <c r="O11" s="28" t="s">
        <v>541</v>
      </c>
      <c r="P11" s="29" t="s">
        <v>542</v>
      </c>
      <c r="Q11" s="30" t="s">
        <v>543</v>
      </c>
    </row>
    <row r="12" spans="1:17" ht="25.7">
      <c r="A12" s="143" t="s">
        <v>544</v>
      </c>
      <c r="B12" s="144" t="s">
        <v>545</v>
      </c>
      <c r="C12" s="136">
        <v>0</v>
      </c>
      <c r="D12" s="137">
        <v>0</v>
      </c>
      <c r="E12" s="138">
        <v>0</v>
      </c>
      <c r="F12" s="136">
        <v>0</v>
      </c>
      <c r="G12" s="137">
        <v>0</v>
      </c>
      <c r="H12" s="138">
        <v>0</v>
      </c>
      <c r="I12" s="136">
        <v>0</v>
      </c>
      <c r="J12" s="137">
        <v>0</v>
      </c>
      <c r="K12" s="138">
        <v>0</v>
      </c>
      <c r="L12" s="136">
        <v>0</v>
      </c>
      <c r="M12" s="137">
        <v>0</v>
      </c>
      <c r="N12" s="138">
        <v>0</v>
      </c>
      <c r="O12" s="136">
        <v>0</v>
      </c>
      <c r="P12" s="137">
        <v>0</v>
      </c>
      <c r="Q12" s="138">
        <v>0</v>
      </c>
    </row>
    <row r="13" spans="1:17" ht="25.7">
      <c r="A13" s="145" t="s">
        <v>546</v>
      </c>
      <c r="B13" s="146" t="s">
        <v>545</v>
      </c>
      <c r="C13" s="26">
        <v>0</v>
      </c>
      <c r="D13" s="13">
        <v>0</v>
      </c>
      <c r="E13" s="27">
        <v>0</v>
      </c>
      <c r="F13" s="26">
        <v>0</v>
      </c>
      <c r="G13" s="13">
        <v>0</v>
      </c>
      <c r="H13" s="27">
        <v>0</v>
      </c>
      <c r="I13" s="26">
        <v>0</v>
      </c>
      <c r="J13" s="13">
        <v>0</v>
      </c>
      <c r="K13" s="27">
        <v>0</v>
      </c>
      <c r="L13" s="26">
        <v>0</v>
      </c>
      <c r="M13" s="13">
        <v>0</v>
      </c>
      <c r="N13" s="27">
        <v>0</v>
      </c>
      <c r="O13" s="26">
        <v>0</v>
      </c>
      <c r="P13" s="13">
        <v>0</v>
      </c>
      <c r="Q13" s="27">
        <v>0</v>
      </c>
    </row>
    <row r="14" spans="1:17" ht="25.7">
      <c r="A14" s="145" t="s">
        <v>547</v>
      </c>
      <c r="B14" s="146" t="s">
        <v>545</v>
      </c>
      <c r="C14" s="26">
        <v>0</v>
      </c>
      <c r="D14" s="13">
        <v>0</v>
      </c>
      <c r="E14" s="27">
        <v>0</v>
      </c>
      <c r="F14" s="26">
        <v>0</v>
      </c>
      <c r="G14" s="13">
        <v>0</v>
      </c>
      <c r="H14" s="27">
        <v>0</v>
      </c>
      <c r="I14" s="26">
        <v>0</v>
      </c>
      <c r="J14" s="13">
        <v>0</v>
      </c>
      <c r="K14" s="27">
        <v>0</v>
      </c>
      <c r="L14" s="26">
        <v>0</v>
      </c>
      <c r="M14" s="13">
        <v>0</v>
      </c>
      <c r="N14" s="27">
        <v>0</v>
      </c>
      <c r="O14" s="26">
        <v>0</v>
      </c>
      <c r="P14" s="13">
        <v>0</v>
      </c>
      <c r="Q14" s="27">
        <v>0</v>
      </c>
    </row>
    <row r="15" spans="1:17">
      <c r="A15" s="145" t="s">
        <v>548</v>
      </c>
      <c r="B15" s="146" t="s">
        <v>545</v>
      </c>
      <c r="C15" s="26">
        <v>0</v>
      </c>
      <c r="D15" s="13">
        <v>0</v>
      </c>
      <c r="E15" s="27">
        <v>0</v>
      </c>
      <c r="F15" s="26">
        <v>0</v>
      </c>
      <c r="G15" s="13">
        <v>0</v>
      </c>
      <c r="H15" s="27">
        <v>0</v>
      </c>
      <c r="I15" s="26">
        <v>0</v>
      </c>
      <c r="J15" s="13">
        <v>0</v>
      </c>
      <c r="K15" s="27">
        <v>0</v>
      </c>
      <c r="L15" s="26">
        <v>0</v>
      </c>
      <c r="M15" s="13">
        <v>0</v>
      </c>
      <c r="N15" s="27">
        <v>0</v>
      </c>
      <c r="O15" s="26">
        <v>0</v>
      </c>
      <c r="P15" s="13">
        <v>0</v>
      </c>
      <c r="Q15" s="27">
        <v>0</v>
      </c>
    </row>
    <row r="16" spans="1:17">
      <c r="A16" s="145" t="s">
        <v>549</v>
      </c>
      <c r="B16" s="146" t="s">
        <v>545</v>
      </c>
      <c r="C16" s="26">
        <v>0</v>
      </c>
      <c r="D16" s="13">
        <v>0</v>
      </c>
      <c r="E16" s="27">
        <v>0</v>
      </c>
      <c r="F16" s="26">
        <v>0</v>
      </c>
      <c r="G16" s="13">
        <v>0</v>
      </c>
      <c r="H16" s="27">
        <v>0</v>
      </c>
      <c r="I16" s="26">
        <v>0</v>
      </c>
      <c r="J16" s="13">
        <v>0</v>
      </c>
      <c r="K16" s="27">
        <v>0</v>
      </c>
      <c r="L16" s="26">
        <v>0</v>
      </c>
      <c r="M16" s="13">
        <v>0</v>
      </c>
      <c r="N16" s="27">
        <v>0</v>
      </c>
      <c r="O16" s="26">
        <v>0</v>
      </c>
      <c r="P16" s="13">
        <v>0</v>
      </c>
      <c r="Q16" s="27">
        <v>0</v>
      </c>
    </row>
    <row r="17" spans="1:17">
      <c r="A17" s="145" t="s">
        <v>550</v>
      </c>
      <c r="B17" s="146" t="s">
        <v>545</v>
      </c>
      <c r="C17" s="26">
        <v>0</v>
      </c>
      <c r="D17" s="13">
        <v>0</v>
      </c>
      <c r="E17" s="27">
        <v>0</v>
      </c>
      <c r="F17" s="26">
        <v>0</v>
      </c>
      <c r="G17" s="13">
        <v>0</v>
      </c>
      <c r="H17" s="27">
        <v>0</v>
      </c>
      <c r="I17" s="26">
        <v>0</v>
      </c>
      <c r="J17" s="13">
        <v>0</v>
      </c>
      <c r="K17" s="27">
        <v>0</v>
      </c>
      <c r="L17" s="26">
        <v>0</v>
      </c>
      <c r="M17" s="13">
        <v>0</v>
      </c>
      <c r="N17" s="27">
        <v>0</v>
      </c>
      <c r="O17" s="26">
        <v>0</v>
      </c>
      <c r="P17" s="13">
        <v>0</v>
      </c>
      <c r="Q17" s="27">
        <v>0</v>
      </c>
    </row>
    <row r="18" spans="1:17">
      <c r="A18" s="145" t="s">
        <v>551</v>
      </c>
      <c r="B18" s="146" t="s">
        <v>545</v>
      </c>
      <c r="C18" s="26">
        <v>0</v>
      </c>
      <c r="D18" s="13">
        <v>0</v>
      </c>
      <c r="E18" s="27">
        <v>0</v>
      </c>
      <c r="F18" s="26">
        <v>0</v>
      </c>
      <c r="G18" s="13">
        <v>0</v>
      </c>
      <c r="H18" s="27">
        <v>0</v>
      </c>
      <c r="I18" s="26">
        <v>0</v>
      </c>
      <c r="J18" s="13">
        <v>0</v>
      </c>
      <c r="K18" s="27">
        <v>0</v>
      </c>
      <c r="L18" s="26">
        <v>0</v>
      </c>
      <c r="M18" s="13">
        <v>0</v>
      </c>
      <c r="N18" s="27">
        <v>0</v>
      </c>
      <c r="O18" s="26">
        <v>0</v>
      </c>
      <c r="P18" s="13">
        <v>0</v>
      </c>
      <c r="Q18" s="27">
        <v>0</v>
      </c>
    </row>
    <row r="19" spans="1:17">
      <c r="A19" s="147" t="s">
        <v>552</v>
      </c>
      <c r="B19" s="146" t="s">
        <v>545</v>
      </c>
      <c r="C19" s="26">
        <v>0</v>
      </c>
      <c r="D19" s="13">
        <v>0</v>
      </c>
      <c r="E19" s="27">
        <v>0</v>
      </c>
      <c r="F19" s="26">
        <v>0</v>
      </c>
      <c r="G19" s="13">
        <v>0</v>
      </c>
      <c r="H19" s="27">
        <v>0</v>
      </c>
      <c r="I19" s="26">
        <v>0</v>
      </c>
      <c r="J19" s="13">
        <v>0</v>
      </c>
      <c r="K19" s="27">
        <v>0</v>
      </c>
      <c r="L19" s="26">
        <v>0</v>
      </c>
      <c r="M19" s="13">
        <v>0</v>
      </c>
      <c r="N19" s="27">
        <v>0</v>
      </c>
      <c r="O19" s="26">
        <v>0</v>
      </c>
      <c r="P19" s="13">
        <v>0</v>
      </c>
      <c r="Q19" s="27">
        <v>0</v>
      </c>
    </row>
  </sheetData>
  <mergeCells count="8">
    <mergeCell ref="A3:Q5"/>
    <mergeCell ref="A7:G7"/>
    <mergeCell ref="A8:G8"/>
    <mergeCell ref="C10:E10"/>
    <mergeCell ref="F10:H10"/>
    <mergeCell ref="I10:K10"/>
    <mergeCell ref="L10:N10"/>
    <mergeCell ref="O10:Q10"/>
  </mergeCells>
  <pageMargins left="0.7" right="0.7" top="0.75" bottom="0.75" header="0.3" footer="0.3"/>
  <pageSetup paperSize="9" scale="31" fitToHeight="0" orientation="landscape" horizontalDpi="4294967292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B1:I22"/>
  <sheetViews>
    <sheetView showGridLines="0" zoomScale="160" zoomScaleNormal="160" zoomScaleSheetLayoutView="100" zoomScalePageLayoutView="110" workbookViewId="0">
      <selection activeCell="B12" sqref="B12"/>
    </sheetView>
  </sheetViews>
  <sheetFormatPr defaultRowHeight="14.65"/>
  <cols>
    <col min="1" max="1" width="2.7109375" customWidth="1"/>
    <col min="2" max="2" width="58.85546875" customWidth="1"/>
    <col min="3" max="3" width="25.7109375" bestFit="1" customWidth="1"/>
    <col min="4" max="9" width="24.5703125" customWidth="1"/>
    <col min="12" max="12" width="39.5703125" bestFit="1" customWidth="1"/>
    <col min="13" max="18" width="18.28515625" bestFit="1" customWidth="1"/>
    <col min="19" max="19" width="18" bestFit="1" customWidth="1"/>
    <col min="22" max="22" width="39.5703125" bestFit="1" customWidth="1"/>
    <col min="23" max="23" width="13.7109375" bestFit="1" customWidth="1"/>
    <col min="24" max="24" width="13.5703125" bestFit="1" customWidth="1"/>
  </cols>
  <sheetData>
    <row r="1" spans="2:9" ht="15" thickBot="1">
      <c r="B1" s="22" t="s">
        <v>11</v>
      </c>
      <c r="C1" s="23">
        <v>17.2315</v>
      </c>
    </row>
    <row r="2" spans="2:9">
      <c r="B2" s="161" t="s">
        <v>12</v>
      </c>
      <c r="C2" s="183"/>
      <c r="D2" s="183"/>
      <c r="E2" s="183"/>
      <c r="F2" s="183"/>
      <c r="G2" s="183"/>
      <c r="H2" s="183"/>
      <c r="I2" s="184"/>
    </row>
    <row r="3" spans="2:9">
      <c r="B3" s="185"/>
      <c r="C3" s="186"/>
      <c r="D3" s="186"/>
      <c r="E3" s="186"/>
      <c r="F3" s="186"/>
      <c r="G3" s="186"/>
      <c r="H3" s="186"/>
      <c r="I3" s="187"/>
    </row>
    <row r="4" spans="2:9" ht="45" customHeight="1" thickBot="1">
      <c r="B4" s="188"/>
      <c r="C4" s="189"/>
      <c r="D4" s="189"/>
      <c r="E4" s="189"/>
      <c r="F4" s="189"/>
      <c r="G4" s="189"/>
      <c r="H4" s="189"/>
      <c r="I4" s="190"/>
    </row>
    <row r="5" spans="2:9">
      <c r="B5" s="47"/>
      <c r="C5" s="48"/>
      <c r="D5" s="48"/>
      <c r="E5" s="48"/>
      <c r="F5" s="48"/>
      <c r="G5" s="48"/>
      <c r="H5" s="48"/>
      <c r="I5" s="49"/>
    </row>
    <row r="6" spans="2:9" ht="18.399999999999999">
      <c r="B6" s="34"/>
      <c r="C6" s="50"/>
      <c r="D6" s="50"/>
      <c r="E6" s="50"/>
      <c r="F6" s="50"/>
      <c r="G6" s="50"/>
      <c r="H6" s="50"/>
      <c r="I6" s="51"/>
    </row>
    <row r="7" spans="2:9">
      <c r="B7" s="35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36" t="s">
        <v>20</v>
      </c>
    </row>
    <row r="8" spans="2:9">
      <c r="B8" s="33" t="s">
        <v>21</v>
      </c>
      <c r="C8" s="11">
        <f>SUM(T_MAIN_DC[(Y)
TOTAL Excluding VAT - Y1
((A*J)*Q)+((A*R)*12))])</f>
        <v>0</v>
      </c>
      <c r="D8" s="11">
        <f>SUM(T_MAIN_DC[(Z)
TOTAL Excluding VAT - Y2
((B*K)*Q)+((B*S)*12))])</f>
        <v>0</v>
      </c>
      <c r="E8" s="11">
        <f>SUM(T_MAIN_DC[AA)
TOTAL Excluding VAT - Y3
((C*L)*Q)+((C*T)*12))])</f>
        <v>0</v>
      </c>
      <c r="F8" s="11">
        <f>SUM(T_MAIN_DC[(AB)
TOTAL Excluding VAT - Y4
((D*M)*Q)+((D*U)*12))])</f>
        <v>0</v>
      </c>
      <c r="G8" s="11">
        <f>SUM(T_MAIN_DC[(AC)
TOTAL Excluding VAT - Y5
((E*N*Q)+((E*V)*12))])</f>
        <v>0</v>
      </c>
      <c r="H8" s="11">
        <f>SUM(Table13[[#This Row],[Total Excluding VAT Y1]:[Total Excluding VAT Y5]])</f>
        <v>0</v>
      </c>
      <c r="I8" s="37">
        <f>Table13[[#This Row],[Total Excluding VAT]]*1.15</f>
        <v>0</v>
      </c>
    </row>
    <row r="9" spans="2:9">
      <c r="B9" s="33" t="s">
        <v>22</v>
      </c>
      <c r="C9" s="11">
        <f>SUM(T_MAIN_DC19[(Y)
TOTAL Excluding VAT - Y1
((A*J)*Q)+((A*R)*12))])</f>
        <v>0</v>
      </c>
      <c r="D9" s="11">
        <f>SUM(T_MAIN_DC19[(Z)
TOTAL Excluding VAT - Y2
((B*K)*Q)+((B*S)*12))])</f>
        <v>0</v>
      </c>
      <c r="E9" s="11">
        <f>SUM(T_MAIN_DC19[AA)
TOTAL Excluding VAT - Y3
((C*L)*Q)+((C*T)*12))])</f>
        <v>0</v>
      </c>
      <c r="F9" s="11">
        <f>SUM(T_MAIN_DC19[(AB)
TOTAL Excluding VAT - Y4
((D*M)*Q)+((D*U)*12))])</f>
        <v>0</v>
      </c>
      <c r="G9" s="11">
        <f>SUM(T_MAIN_DC19[(AC)
TOTAL Excluding VAT - Y5
((E*N*Q)+((E*V)*12))])</f>
        <v>0</v>
      </c>
      <c r="H9" s="11">
        <f>SUM(Table13[[#This Row],[Total Excluding VAT Y1]:[Total Excluding VAT Y5]])</f>
        <v>0</v>
      </c>
      <c r="I9" s="37">
        <f>Table13[[#This Row],[Total Excluding VAT]]*1.15</f>
        <v>0</v>
      </c>
    </row>
    <row r="10" spans="2:9">
      <c r="B10" s="33" t="s">
        <v>23</v>
      </c>
      <c r="C10" s="11">
        <f>SUM(T_MAIN_DC1920[(Y)
TOTAL Excluding VAT - Y1
((A*J)*Q)+((A*R)*12))])</f>
        <v>0</v>
      </c>
      <c r="D10" s="11">
        <f>SUM(T_MAIN_DC1920[(Z)
TOTAL Excluding VAT - Y2
((B*K)*Q)+((B*S)*12))])</f>
        <v>0</v>
      </c>
      <c r="E10" s="11">
        <f>SUM(T_MAIN_DC1920[AA)
TOTAL Excluding VAT - Y3
((C*L)*Q)+((C*T)*12))])</f>
        <v>0</v>
      </c>
      <c r="F10" s="11">
        <f>SUM(T_MAIN_DC1920[(AB)
TOTAL Excluding VAT - Y4
((D*M)*Q)+((D*U)*12))])</f>
        <v>0</v>
      </c>
      <c r="G10" s="11">
        <f>SUM(T_MAIN_DC1920[(AC)
TOTAL Excluding VAT - Y5
((E*N*Q)+((E*V)*12))])</f>
        <v>0</v>
      </c>
      <c r="H10" s="11">
        <f>SUM(Table13[[#This Row],[Total Excluding VAT Y1]:[Total Excluding VAT Y5]])</f>
        <v>0</v>
      </c>
      <c r="I10" s="37">
        <f>Table13[[#This Row],[Total Excluding VAT]]*1.15</f>
        <v>0</v>
      </c>
    </row>
    <row r="11" spans="2:9">
      <c r="B11" s="33" t="s">
        <v>24</v>
      </c>
      <c r="C11" s="11">
        <f>SUM(T_MAIN_DC192021[(Y)
TOTAL Excluding VAT - Y1
((A*J)*Q)+((A*R)*12))])</f>
        <v>0</v>
      </c>
      <c r="D11" s="11">
        <f>SUM(T_MAIN_DC192021[(Z)
TOTAL Excluding VAT - Y2
((B*K)*Q)+((B*S)*12))])</f>
        <v>0</v>
      </c>
      <c r="E11" s="11">
        <f>SUM(T_MAIN_DC192021[AA)
TOTAL Excluding VAT - Y3
((C*L)*Q)+((C*T)*12))])</f>
        <v>0</v>
      </c>
      <c r="F11" s="11">
        <f>SUM(T_MAIN_DC192021[(AB)
TOTAL Excluding VAT - Y4
((D*M)*Q)+((D*U)*12))])</f>
        <v>0</v>
      </c>
      <c r="G11" s="11">
        <f>SUM(T_MAIN_DC192021[(AC)
TOTAL Excluding VAT - Y5
((E*N*Q)+((E*V)*12))])</f>
        <v>0</v>
      </c>
      <c r="H11" s="11">
        <f>SUM(Table13[[#This Row],[Total Excluding VAT Y1]:[Total Excluding VAT Y5]])</f>
        <v>0</v>
      </c>
      <c r="I11" s="37">
        <f>Table13[[#This Row],[Total Excluding VAT]]*1.15</f>
        <v>0</v>
      </c>
    </row>
    <row r="12" spans="2:9">
      <c r="B12" s="33" t="s">
        <v>25</v>
      </c>
      <c r="C12" s="11">
        <f>SUM(T_MAIN_DC19202122[(Y)
TOTAL Excluding VAT - Y1
((A*J)*Q)+((A*R)*12))])</f>
        <v>0</v>
      </c>
      <c r="D12" s="11">
        <f>SUM(T_MAIN_DC19202122[(Z)
TOTAL Excluding VAT - Y2
((B*K)*Q)+((B*S)*12))])</f>
        <v>0</v>
      </c>
      <c r="E12" s="11">
        <f>SUM(T_MAIN_DC19202122[AA)
TOTAL Excluding VAT - Y3
((C*L)*Q)+((C*T)*12))])</f>
        <v>0</v>
      </c>
      <c r="F12" s="11">
        <f>SUM(T_MAIN_DC19202122[(AB)
TOTAL Excluding VAT - Y4
((D*M)*Q)+((D*U)*12))])</f>
        <v>0</v>
      </c>
      <c r="G12" s="11">
        <f>SUM(T_MAIN_DC19202122[(AC)
TOTAL Excluding VAT - Y5
((E*N*Q)+((E*V)*12))])</f>
        <v>0</v>
      </c>
      <c r="H12" s="11">
        <f>SUM(Table13[[#This Row],[Total Excluding VAT Y1]:[Total Excluding VAT Y5]])</f>
        <v>0</v>
      </c>
      <c r="I12" s="37">
        <f>Table13[[#This Row],[Total Excluding VAT]]*1.15</f>
        <v>0</v>
      </c>
    </row>
    <row r="13" spans="2:9">
      <c r="B13" s="33" t="s">
        <v>26</v>
      </c>
      <c r="C13" s="11">
        <f>SUM(T_SLA6[(O)
Total Cost Excluding Vat - Y1 
(A*H)])</f>
        <v>0</v>
      </c>
      <c r="D13" s="11">
        <f>SUM(T_SLA6[(P)
Total Cost Excluding Vat - Y2 
(B*I)])</f>
        <v>0</v>
      </c>
      <c r="E13" s="11">
        <f>SUM(T_SLA6[(Q)
Total Cost Excluding Vat - Y3 
(C*J)])</f>
        <v>0</v>
      </c>
      <c r="F13" s="11">
        <f>SUM(T_SLA6[(R)
Total Cost Excluding Vat - Y4 
(D*K)])</f>
        <v>0</v>
      </c>
      <c r="G13" s="11">
        <f>SUM(T_SLA6[(S)
Total Cost Excluding Vat - Y5 
(E*L)])</f>
        <v>0</v>
      </c>
      <c r="H13" s="11">
        <f>SUM(Table13[[#This Row],[Total Excluding VAT Y1]:[Total Excluding VAT Y5]])</f>
        <v>0</v>
      </c>
      <c r="I13" s="37">
        <f>Table13[[#This Row],[Total Excluding VAT]]*1.15</f>
        <v>0</v>
      </c>
    </row>
    <row r="14" spans="2:9">
      <c r="B14" s="33" t="s">
        <v>27</v>
      </c>
      <c r="C14" s="11"/>
      <c r="D14" s="11"/>
      <c r="E14" s="11"/>
      <c r="F14" s="11"/>
      <c r="G14" s="11"/>
      <c r="H14" s="11">
        <f>SUM(T_SUP_SUM_OP1[Total Excluding VAT])</f>
        <v>0</v>
      </c>
      <c r="I14" s="37">
        <f>Table13[[#This Row],[Total Excluding VAT]]*1.15</f>
        <v>0</v>
      </c>
    </row>
    <row r="15" spans="2:9">
      <c r="B15" s="33" t="s">
        <v>28</v>
      </c>
      <c r="C15" s="11">
        <f>SUM(T_MAIN_DC4[(K)
TOTAL Excluding VAT - Y1
(A*F)])</f>
        <v>0</v>
      </c>
      <c r="D15" s="11">
        <f>SUM(T_MAIN_DC4[(L)
TOTAL Excluding VAT - Y2
(B*G)])</f>
        <v>0</v>
      </c>
      <c r="E15" s="11">
        <f>SUM(T_MAIN_DC4[(M)
TOTAL Excluding VAT - Y3
(C*H)])</f>
        <v>0</v>
      </c>
      <c r="F15" s="11">
        <f>SUM(T_MAIN_DC4[(N)
TOTAL Excluding VAT - Y4
(D*I)])</f>
        <v>0</v>
      </c>
      <c r="G15" s="11">
        <f>SUM(T_MAIN_DC4[(O)
TOTAL Excluding VAT - Y5
(E*J)])</f>
        <v>0</v>
      </c>
      <c r="H15" s="11">
        <f>SUM(Table13[[#This Row],[Total Excluding VAT Y1]:[Total Excluding VAT Y5]])</f>
        <v>0</v>
      </c>
      <c r="I15" s="37">
        <f>Table13[[#This Row],[Total Excluding VAT]]*1.15</f>
        <v>0</v>
      </c>
    </row>
    <row r="16" spans="2:9" ht="15" thickBot="1">
      <c r="B16" s="38" t="s">
        <v>29</v>
      </c>
      <c r="C16" s="39"/>
      <c r="D16" s="39"/>
      <c r="E16" s="39"/>
      <c r="F16" s="39"/>
      <c r="G16" s="39"/>
      <c r="H16" s="39">
        <f>SUBTOTAL(109,Table13[Total Excluding VAT])</f>
        <v>0</v>
      </c>
      <c r="I16" s="40">
        <f>SUBTOTAL(109,Table13[Total Including VAT])</f>
        <v>0</v>
      </c>
    </row>
    <row r="20" spans="2:4" ht="23.1">
      <c r="B20" s="95" t="s">
        <v>30</v>
      </c>
      <c r="C20" s="95" t="s">
        <v>31</v>
      </c>
      <c r="D20" s="95" t="s">
        <v>32</v>
      </c>
    </row>
    <row r="21" spans="2:4" ht="23.1">
      <c r="B21" s="96" t="s">
        <v>33</v>
      </c>
      <c r="C21" s="97">
        <f t="shared" ref="C21:D21" si="0">SUM(H14)</f>
        <v>0</v>
      </c>
      <c r="D21" s="97">
        <f t="shared" si="0"/>
        <v>0</v>
      </c>
    </row>
    <row r="22" spans="2:4" ht="23.1">
      <c r="B22" s="96" t="s">
        <v>34</v>
      </c>
      <c r="C22" s="97">
        <f t="shared" ref="C22:D22" si="1">SUM(H8:H13,H15)</f>
        <v>0</v>
      </c>
      <c r="D22" s="97">
        <f t="shared" si="1"/>
        <v>0</v>
      </c>
    </row>
  </sheetData>
  <mergeCells count="1">
    <mergeCell ref="B2:I4"/>
  </mergeCells>
  <phoneticPr fontId="40" type="noConversion"/>
  <pageMargins left="0.7" right="0.7" top="0.75" bottom="0.75" header="0.3" footer="0.3"/>
  <pageSetup paperSize="9" scale="74" fitToHeight="0" orientation="portrait" horizontalDpi="4294967292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B1:AE49"/>
  <sheetViews>
    <sheetView showGridLines="0" workbookViewId="0">
      <selection activeCell="C12" sqref="C12"/>
    </sheetView>
  </sheetViews>
  <sheetFormatPr defaultColWidth="8.7109375" defaultRowHeight="14.65"/>
  <cols>
    <col min="1" max="1" width="2.7109375" customWidth="1"/>
    <col min="2" max="2" width="86.28515625" customWidth="1"/>
    <col min="3" max="3" width="17.7109375" bestFit="1" customWidth="1"/>
    <col min="4" max="4" width="18.5703125" bestFit="1" customWidth="1"/>
    <col min="31" max="31" width="3.85546875" bestFit="1" customWidth="1"/>
  </cols>
  <sheetData>
    <row r="1" spans="2:31" ht="15" thickBot="1"/>
    <row r="2" spans="2:31" s="4" customFormat="1" ht="25.35">
      <c r="B2" s="191" t="s">
        <v>35</v>
      </c>
      <c r="C2" s="192"/>
      <c r="D2" s="193"/>
      <c r="E2" s="6"/>
      <c r="AE2" s="4" t="s">
        <v>36</v>
      </c>
    </row>
    <row r="3" spans="2:31" s="4" customFormat="1" ht="25.35">
      <c r="B3" s="194"/>
      <c r="C3" s="195"/>
      <c r="D3" s="196"/>
      <c r="E3" s="6"/>
      <c r="AE3" s="4" t="s">
        <v>37</v>
      </c>
    </row>
    <row r="4" spans="2:31" s="4" customFormat="1" ht="25.7" thickBot="1">
      <c r="B4" s="197"/>
      <c r="C4" s="198"/>
      <c r="D4" s="199"/>
      <c r="E4" s="6"/>
    </row>
    <row r="5" spans="2:31" s="4" customFormat="1" ht="15.4">
      <c r="B5" s="200"/>
      <c r="C5" s="201"/>
      <c r="D5" s="202"/>
      <c r="E5" s="2"/>
    </row>
    <row r="6" spans="2:31" s="4" customFormat="1" ht="15.4">
      <c r="B6" s="53" t="s">
        <v>38</v>
      </c>
      <c r="C6" s="54"/>
      <c r="D6" s="55"/>
      <c r="E6" s="2"/>
    </row>
    <row r="7" spans="2:31" ht="15.4">
      <c r="B7" s="200" t="s">
        <v>39</v>
      </c>
      <c r="C7" s="201"/>
      <c r="D7" s="202"/>
    </row>
    <row r="8" spans="2:31" ht="15.4">
      <c r="B8" s="200" t="s">
        <v>40</v>
      </c>
      <c r="C8" s="201"/>
      <c r="D8" s="202"/>
    </row>
    <row r="9" spans="2:31" ht="15.4">
      <c r="B9" s="200" t="s">
        <v>41</v>
      </c>
      <c r="C9" s="201"/>
      <c r="D9" s="202"/>
    </row>
    <row r="10" spans="2:31" ht="15" thickBot="1">
      <c r="B10" s="38"/>
      <c r="C10" s="56"/>
      <c r="D10" s="57"/>
    </row>
    <row r="11" spans="2:31" ht="29.1">
      <c r="B11" s="9" t="s">
        <v>42</v>
      </c>
      <c r="C11" s="9" t="s">
        <v>19</v>
      </c>
      <c r="D11" s="9" t="s">
        <v>43</v>
      </c>
    </row>
    <row r="12" spans="2:31" s="4" customFormat="1">
      <c r="B12" s="41" t="s">
        <v>44</v>
      </c>
      <c r="C12" s="234">
        <f>SUMIF(T_SUP_OP115[WORK PACKAGE NAME],T_SUP_SUM_OP1[[#This Row],[WORK PACKAGE DESCRIPTION]],T_SUP_OP115[(Y)
Total Cost Excluding VAT
(S+T+U+V+W)*(1+X)])</f>
        <v>0</v>
      </c>
      <c r="D12" s="234">
        <f>C12*1.15</f>
        <v>0</v>
      </c>
    </row>
    <row r="13" spans="2:31" s="4" customFormat="1">
      <c r="B13" s="41" t="s">
        <v>45</v>
      </c>
      <c r="C13" s="234">
        <f>SUMIF(T_SUP_OP115[WORK PACKAGE NAME],T_SUP_SUM_OP1[[#This Row],[WORK PACKAGE DESCRIPTION]],T_SUP_OP115[(Y)
Total Cost Excluding VAT
(S+T+U+V+W)*(1+X)])</f>
        <v>0</v>
      </c>
      <c r="D13" s="234">
        <f t="shared" ref="D13:D29" si="0">C13*1.15</f>
        <v>0</v>
      </c>
    </row>
    <row r="14" spans="2:31" s="4" customFormat="1">
      <c r="B14" s="41" t="s">
        <v>46</v>
      </c>
      <c r="C14" s="234">
        <f>SUMIF(T_SUP_OP115[WORK PACKAGE NAME],T_SUP_SUM_OP1[[#This Row],[WORK PACKAGE DESCRIPTION]],T_SUP_OP115[(Y)
Total Cost Excluding VAT
(S+T+U+V+W)*(1+X)])</f>
        <v>0</v>
      </c>
      <c r="D14" s="234">
        <f t="shared" si="0"/>
        <v>0</v>
      </c>
    </row>
    <row r="15" spans="2:31" s="4" customFormat="1">
      <c r="B15" s="41" t="s">
        <v>47</v>
      </c>
      <c r="C15" s="234">
        <f>SUMIF(T_SUP_OP115[WORK PACKAGE NAME],T_SUP_SUM_OP1[[#This Row],[WORK PACKAGE DESCRIPTION]],T_SUP_OP115[(Y)
Total Cost Excluding VAT
(S+T+U+V+W)*(1+X)])</f>
        <v>0</v>
      </c>
      <c r="D15" s="234">
        <f t="shared" si="0"/>
        <v>0</v>
      </c>
    </row>
    <row r="16" spans="2:31" s="4" customFormat="1">
      <c r="B16" s="41" t="s">
        <v>48</v>
      </c>
      <c r="C16" s="234">
        <f>SUMIF(T_SUP_OP115[WORK PACKAGE NAME],T_SUP_SUM_OP1[[#This Row],[WORK PACKAGE DESCRIPTION]],T_SUP_OP115[(Y)
Total Cost Excluding VAT
(S+T+U+V+W)*(1+X)])</f>
        <v>0</v>
      </c>
      <c r="D16" s="25">
        <f>C16*1.15</f>
        <v>0</v>
      </c>
    </row>
    <row r="17" spans="2:4" s="4" customFormat="1">
      <c r="B17" s="41" t="s">
        <v>49</v>
      </c>
      <c r="C17" s="234">
        <f>SUMIF(T_SUP_OP115[WORK PACKAGE NAME],T_SUP_SUM_OP1[[#This Row],[WORK PACKAGE DESCRIPTION]],T_SUP_OP115[(Y)
Total Cost Excluding VAT
(S+T+U+V+W)*(1+X)])</f>
        <v>0</v>
      </c>
      <c r="D17" s="234">
        <f t="shared" si="0"/>
        <v>0</v>
      </c>
    </row>
    <row r="18" spans="2:4" s="4" customFormat="1">
      <c r="B18" s="41" t="s">
        <v>50</v>
      </c>
      <c r="C18" s="234">
        <f>SUMIF(T_SUP_OP115[WORK PACKAGE NAME],T_SUP_SUM_OP1[[#This Row],[WORK PACKAGE DESCRIPTION]],T_SUP_OP115[(Y)
Total Cost Excluding VAT
(S+T+U+V+W)*(1+X)])</f>
        <v>0</v>
      </c>
      <c r="D18" s="25">
        <f t="shared" ref="D18:D28" si="1">C18*1.15</f>
        <v>0</v>
      </c>
    </row>
    <row r="19" spans="2:4" s="4" customFormat="1">
      <c r="B19" s="110" t="s">
        <v>51</v>
      </c>
      <c r="C19" s="234">
        <f>SUMIF(T_SUP_OP115[WORK PACKAGE NAME],T_SUP_SUM_OP1[[#This Row],[WORK PACKAGE DESCRIPTION]],T_SUP_OP115[(Y)
Total Cost Excluding VAT
(S+T+U+V+W)*(1+X)])</f>
        <v>0</v>
      </c>
      <c r="D19" s="25">
        <f t="shared" ref="D19:D25" si="2">C19*1.15</f>
        <v>0</v>
      </c>
    </row>
    <row r="20" spans="2:4" s="4" customFormat="1">
      <c r="B20" s="110" t="s">
        <v>52</v>
      </c>
      <c r="C20" s="234">
        <f>SUMIF(T_SUP_OP115[WORK PACKAGE NAME],T_SUP_SUM_OP1[[#This Row],[WORK PACKAGE DESCRIPTION]],T_SUP_OP115[(Y)
Total Cost Excluding VAT
(S+T+U+V+W)*(1+X)])</f>
        <v>0</v>
      </c>
      <c r="D20" s="25">
        <f t="shared" si="2"/>
        <v>0</v>
      </c>
    </row>
    <row r="21" spans="2:4" s="4" customFormat="1">
      <c r="B21" s="110" t="s">
        <v>53</v>
      </c>
      <c r="C21" s="234">
        <f>SUMIF(T_SUP_OP115[WORK PACKAGE NAME],T_SUP_SUM_OP1[[#This Row],[WORK PACKAGE DESCRIPTION]],T_SUP_OP115[(Y)
Total Cost Excluding VAT
(S+T+U+V+W)*(1+X)])</f>
        <v>0</v>
      </c>
      <c r="D21" s="25">
        <f t="shared" si="2"/>
        <v>0</v>
      </c>
    </row>
    <row r="22" spans="2:4" s="4" customFormat="1">
      <c r="B22" s="110" t="s">
        <v>54</v>
      </c>
      <c r="C22" s="234">
        <f>SUMIF(T_SUP_OP115[WORK PACKAGE NAME],T_SUP_SUM_OP1[[#This Row],[WORK PACKAGE DESCRIPTION]],T_SUP_OP115[(Y)
Total Cost Excluding VAT
(S+T+U+V+W)*(1+X)])</f>
        <v>0</v>
      </c>
      <c r="D22" s="25">
        <f t="shared" si="2"/>
        <v>0</v>
      </c>
    </row>
    <row r="23" spans="2:4" s="4" customFormat="1">
      <c r="B23" s="110" t="s">
        <v>55</v>
      </c>
      <c r="C23" s="234">
        <f>SUMIF(T_SUP_OP115[WORK PACKAGE NAME],T_SUP_SUM_OP1[[#This Row],[WORK PACKAGE DESCRIPTION]],T_SUP_OP115[(Y)
Total Cost Excluding VAT
(S+T+U+V+W)*(1+X)])</f>
        <v>0</v>
      </c>
      <c r="D23" s="25">
        <f t="shared" si="2"/>
        <v>0</v>
      </c>
    </row>
    <row r="24" spans="2:4" s="4" customFormat="1">
      <c r="B24" s="110" t="s">
        <v>56</v>
      </c>
      <c r="C24" s="234">
        <f>SUMIF(T_SUP_OP115[WORK PACKAGE NAME],T_SUP_SUM_OP1[[#This Row],[WORK PACKAGE DESCRIPTION]],T_SUP_OP115[(Y)
Total Cost Excluding VAT
(S+T+U+V+W)*(1+X)])</f>
        <v>0</v>
      </c>
      <c r="D24" s="25">
        <f t="shared" si="2"/>
        <v>0</v>
      </c>
    </row>
    <row r="25" spans="2:4" s="4" customFormat="1">
      <c r="B25" s="110" t="s">
        <v>57</v>
      </c>
      <c r="C25" s="234">
        <f>SUMIF(T_SUP_OP115[WORK PACKAGE NAME],T_SUP_SUM_OP1[[#This Row],[WORK PACKAGE DESCRIPTION]],T_SUP_OP115[(Y)
Total Cost Excluding VAT
(S+T+U+V+W)*(1+X)])</f>
        <v>0</v>
      </c>
      <c r="D25" s="25">
        <f t="shared" si="2"/>
        <v>0</v>
      </c>
    </row>
    <row r="26" spans="2:4" s="4" customFormat="1">
      <c r="B26" s="41" t="s">
        <v>58</v>
      </c>
      <c r="C26" s="234">
        <f>SUMIF(T_SUP_OP115[WORK PACKAGE NAME],T_SUP_SUM_OP1[[#This Row],[WORK PACKAGE DESCRIPTION]],T_SUP_OP115[(Y)
Total Cost Excluding VAT
(S+T+U+V+W)*(1+X)])</f>
        <v>0</v>
      </c>
      <c r="D26" s="25">
        <f t="shared" si="1"/>
        <v>0</v>
      </c>
    </row>
    <row r="27" spans="2:4" s="4" customFormat="1">
      <c r="B27" s="41" t="s">
        <v>59</v>
      </c>
      <c r="C27" s="234">
        <f>SUMIF(T_SUP_OP115[WORK PACKAGE NAME],T_SUP_SUM_OP1[[#This Row],[WORK PACKAGE DESCRIPTION]],T_SUP_OP115[(Y)
Total Cost Excluding VAT
(S+T+U+V+W)*(1+X)])</f>
        <v>0</v>
      </c>
      <c r="D27" s="25">
        <f t="shared" si="1"/>
        <v>0</v>
      </c>
    </row>
    <row r="28" spans="2:4" s="4" customFormat="1">
      <c r="B28" s="41" t="s">
        <v>60</v>
      </c>
      <c r="C28" s="234">
        <f>SUMIF(T_SUP_OP115[WORK PACKAGE NAME],T_SUP_SUM_OP1[[#This Row],[WORK PACKAGE DESCRIPTION]],T_SUP_OP115[(Y)
Total Cost Excluding VAT
(S+T+U+V+W)*(1+X)])</f>
        <v>0</v>
      </c>
      <c r="D28" s="25">
        <f t="shared" si="1"/>
        <v>0</v>
      </c>
    </row>
    <row r="29" spans="2:4" s="4" customFormat="1">
      <c r="B29" s="41" t="s">
        <v>61</v>
      </c>
      <c r="C29" s="234">
        <f>SUMIF(T_SUP_OP115[WORK PACKAGE NAME],T_SUP_SUM_OP1[[#This Row],[WORK PACKAGE DESCRIPTION]],T_SUP_OP115[(Y)
Total Cost Excluding VAT
(S+T+U+V+W)*(1+X)])</f>
        <v>0</v>
      </c>
      <c r="D29" s="234">
        <f t="shared" si="0"/>
        <v>0</v>
      </c>
    </row>
    <row r="30" spans="2:4" s="4" customFormat="1">
      <c r="B30" s="110" t="s">
        <v>62</v>
      </c>
      <c r="C30" s="234">
        <f>SUMIF(T_SUP_OP115[WORK PACKAGE NAME],T_SUP_SUM_OP1[[#This Row],[WORK PACKAGE DESCRIPTION]],T_SUP_OP115[(Y)
Total Cost Excluding VAT
(S+T+U+V+W)*(1+X)])</f>
        <v>0</v>
      </c>
      <c r="D30" s="25">
        <f t="shared" ref="D30:D40" si="3">C30*1.15</f>
        <v>0</v>
      </c>
    </row>
    <row r="31" spans="2:4" s="4" customFormat="1">
      <c r="B31" s="110" t="s">
        <v>63</v>
      </c>
      <c r="C31" s="234">
        <f>SUMIF(T_SUP_OP115[WORK PACKAGE NAME],T_SUP_SUM_OP1[[#This Row],[WORK PACKAGE DESCRIPTION]],T_SUP_OP115[(Y)
Total Cost Excluding VAT
(S+T+U+V+W)*(1+X)])</f>
        <v>0</v>
      </c>
      <c r="D31" s="25">
        <f t="shared" si="3"/>
        <v>0</v>
      </c>
    </row>
    <row r="32" spans="2:4" s="4" customFormat="1">
      <c r="B32" s="110" t="s">
        <v>64</v>
      </c>
      <c r="C32" s="234">
        <f>SUMIF(T_SUP_OP115[WORK PACKAGE NAME],T_SUP_SUM_OP1[[#This Row],[WORK PACKAGE DESCRIPTION]],T_SUP_OP115[(Y)
Total Cost Excluding VAT
(S+T+U+V+W)*(1+X)])</f>
        <v>0</v>
      </c>
      <c r="D32" s="25">
        <f t="shared" si="3"/>
        <v>0</v>
      </c>
    </row>
    <row r="33" spans="2:4" s="4" customFormat="1">
      <c r="B33" s="110" t="s">
        <v>65</v>
      </c>
      <c r="C33" s="234">
        <f>SUMIF(T_SUP_OP115[WORK PACKAGE NAME],T_SUP_SUM_OP1[[#This Row],[WORK PACKAGE DESCRIPTION]],T_SUP_OP115[(Y)
Total Cost Excluding VAT
(S+T+U+V+W)*(1+X)])</f>
        <v>0</v>
      </c>
      <c r="D33" s="25">
        <f t="shared" si="3"/>
        <v>0</v>
      </c>
    </row>
    <row r="34" spans="2:4" s="4" customFormat="1">
      <c r="B34" s="110" t="s">
        <v>66</v>
      </c>
      <c r="C34" s="234">
        <f>SUMIF(T_SUP_OP115[WORK PACKAGE NAME],T_SUP_SUM_OP1[[#This Row],[WORK PACKAGE DESCRIPTION]],T_SUP_OP115[(Y)
Total Cost Excluding VAT
(S+T+U+V+W)*(1+X)])</f>
        <v>0</v>
      </c>
      <c r="D34" s="25">
        <f t="shared" si="3"/>
        <v>0</v>
      </c>
    </row>
    <row r="35" spans="2:4" s="4" customFormat="1">
      <c r="B35" s="110" t="s">
        <v>67</v>
      </c>
      <c r="C35" s="234">
        <f>SUMIF(T_SUP_OP115[WORK PACKAGE NAME],T_SUP_SUM_OP1[[#This Row],[WORK PACKAGE DESCRIPTION]],T_SUP_OP115[(Y)
Total Cost Excluding VAT
(S+T+U+V+W)*(1+X)])</f>
        <v>0</v>
      </c>
      <c r="D35" s="25">
        <f t="shared" si="3"/>
        <v>0</v>
      </c>
    </row>
    <row r="36" spans="2:4" s="4" customFormat="1">
      <c r="B36" s="110" t="s">
        <v>68</v>
      </c>
      <c r="C36" s="25">
        <f>SUMIF(T_SUP_OP115[WORK PACKAGE NAME],T_SUP_SUM_OP1[[#This Row],[WORK PACKAGE DESCRIPTION]],T_SUP_OP115[(Y)
Total Cost Excluding VAT
(S+T+U+V+W)*(1+X)])</f>
        <v>0</v>
      </c>
      <c r="D36" s="25">
        <f>C36*1.15</f>
        <v>0</v>
      </c>
    </row>
    <row r="37" spans="2:4" s="4" customFormat="1">
      <c r="B37" s="110" t="s">
        <v>69</v>
      </c>
      <c r="C37" s="234">
        <f>SUMIF(T_SUP_OP115[WORK PACKAGE NAME],T_SUP_SUM_OP1[[#This Row],[WORK PACKAGE DESCRIPTION]],T_SUP_OP115[(Y)
Total Cost Excluding VAT
(S+T+U+V+W)*(1+X)])</f>
        <v>0</v>
      </c>
      <c r="D37" s="25">
        <f t="shared" si="3"/>
        <v>0</v>
      </c>
    </row>
    <row r="38" spans="2:4" s="4" customFormat="1">
      <c r="B38" s="110" t="s">
        <v>70</v>
      </c>
      <c r="C38" s="234">
        <f>SUMIF(T_SUP_OP115[WORK PACKAGE NAME],T_SUP_SUM_OP1[[#This Row],[WORK PACKAGE DESCRIPTION]],T_SUP_OP115[(Y)
Total Cost Excluding VAT
(S+T+U+V+W)*(1+X)])</f>
        <v>0</v>
      </c>
      <c r="D38" s="25">
        <f t="shared" si="3"/>
        <v>0</v>
      </c>
    </row>
    <row r="39" spans="2:4" s="4" customFormat="1">
      <c r="B39" s="110" t="s">
        <v>71</v>
      </c>
      <c r="C39" s="234">
        <f>SUMIF(T_SUP_OP115[WORK PACKAGE NAME],T_SUP_SUM_OP1[[#This Row],[WORK PACKAGE DESCRIPTION]],T_SUP_OP115[(Y)
Total Cost Excluding VAT
(S+T+U+V+W)*(1+X)])</f>
        <v>0</v>
      </c>
      <c r="D39" s="25">
        <f t="shared" si="3"/>
        <v>0</v>
      </c>
    </row>
    <row r="40" spans="2:4" s="4" customFormat="1">
      <c r="B40" s="110" t="s">
        <v>72</v>
      </c>
      <c r="C40" s="234">
        <f>SUMIF(T_SUP_OP115[WORK PACKAGE NAME],T_SUP_SUM_OP1[[#This Row],[WORK PACKAGE DESCRIPTION]],T_SUP_OP115[(Y)
Total Cost Excluding VAT
(S+T+U+V+W)*(1+X)])</f>
        <v>0</v>
      </c>
      <c r="D40" s="25">
        <f t="shared" si="3"/>
        <v>0</v>
      </c>
    </row>
    <row r="41" spans="2:4" s="4" customFormat="1">
      <c r="B41" s="24" t="s">
        <v>29</v>
      </c>
      <c r="C41" s="25">
        <f>SUBTOTAL(109,T_SUP_SUM_OP1[Total Excluding VAT])</f>
        <v>0</v>
      </c>
      <c r="D41" s="25">
        <f>SUBTOTAL(109,T_SUP_SUM_OP1[TOTAL Including VAT])</f>
        <v>0</v>
      </c>
    </row>
    <row r="42" spans="2:4" s="4" customFormat="1">
      <c r="B42"/>
      <c r="C42"/>
      <c r="D42"/>
    </row>
    <row r="43" spans="2:4" s="4" customFormat="1">
      <c r="B43"/>
      <c r="C43"/>
      <c r="D43"/>
    </row>
    <row r="44" spans="2:4" s="4" customFormat="1">
      <c r="B44"/>
      <c r="C44"/>
      <c r="D44"/>
    </row>
    <row r="45" spans="2:4" s="4" customFormat="1">
      <c r="B45"/>
      <c r="C45"/>
      <c r="D45"/>
    </row>
    <row r="46" spans="2:4" s="4" customFormat="1">
      <c r="B46"/>
      <c r="C46"/>
      <c r="D46"/>
    </row>
    <row r="47" spans="2:4" s="4" customFormat="1">
      <c r="B47"/>
      <c r="C47"/>
      <c r="D47"/>
    </row>
    <row r="48" spans="2:4" s="4" customFormat="1">
      <c r="B48"/>
      <c r="C48"/>
      <c r="D48"/>
    </row>
    <row r="49" spans="2:4" s="4" customFormat="1">
      <c r="B49"/>
      <c r="C49"/>
      <c r="D49"/>
    </row>
  </sheetData>
  <mergeCells count="5">
    <mergeCell ref="B2:D4"/>
    <mergeCell ref="B5:D5"/>
    <mergeCell ref="B7:D7"/>
    <mergeCell ref="B8:D8"/>
    <mergeCell ref="B9:D9"/>
  </mergeCells>
  <pageMargins left="0.7" right="0.7" top="0.75" bottom="0.75" header="0.3" footer="0.3"/>
  <pageSetup paperSize="8" scale="91" orientation="portrait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B4AB-1744-4BAB-8039-B91254243BCF}">
  <sheetPr>
    <tabColor rgb="FF92D050"/>
    <pageSetUpPr fitToPage="1"/>
  </sheetPr>
  <dimension ref="A1:AD90"/>
  <sheetViews>
    <sheetView showGridLines="0" zoomScale="130" zoomScaleNormal="130" workbookViewId="0">
      <pane ySplit="3" topLeftCell="A4" activePane="bottomLeft" state="frozen"/>
      <selection pane="bottomLeft" activeCell="A4" sqref="A4"/>
      <selection activeCell="C1" sqref="C1"/>
    </sheetView>
  </sheetViews>
  <sheetFormatPr defaultColWidth="73" defaultRowHeight="14.65"/>
  <cols>
    <col min="1" max="1" width="56" style="17" bestFit="1" customWidth="1"/>
    <col min="2" max="2" width="8.42578125" style="17" bestFit="1" customWidth="1"/>
    <col min="3" max="3" width="69.5703125" style="17" customWidth="1"/>
    <col min="4" max="5" width="7.7109375" style="100" bestFit="1" customWidth="1"/>
    <col min="6" max="6" width="7.5703125" style="100" bestFit="1" customWidth="1"/>
    <col min="7" max="7" width="7.7109375" style="100" bestFit="1" customWidth="1"/>
    <col min="8" max="8" width="7.5703125" style="100" bestFit="1" customWidth="1"/>
    <col min="9" max="9" width="21.140625" style="32" bestFit="1" customWidth="1"/>
    <col min="10" max="10" width="17.42578125" style="149" bestFit="1" customWidth="1"/>
    <col min="11" max="11" width="21" style="17" bestFit="1" customWidth="1"/>
    <col min="12" max="12" width="17.42578125" style="149" bestFit="1" customWidth="1"/>
    <col min="13" max="13" width="18.85546875" style="17" bestFit="1" customWidth="1"/>
    <col min="14" max="14" width="20" style="149" bestFit="1" customWidth="1"/>
    <col min="15" max="15" width="18.85546875" style="17" bestFit="1" customWidth="1"/>
    <col min="16" max="16" width="20" style="149" bestFit="1" customWidth="1"/>
    <col min="17" max="17" width="17.5703125" style="17" bestFit="1" customWidth="1"/>
    <col min="18" max="18" width="13.42578125" style="149" bestFit="1" customWidth="1"/>
    <col min="19" max="19" width="21" style="17" bestFit="1" customWidth="1"/>
    <col min="20" max="20" width="13.140625" style="17" bestFit="1" customWidth="1"/>
    <col min="21" max="25" width="16.140625" style="17" bestFit="1" customWidth="1"/>
    <col min="26" max="26" width="13.7109375" style="17" bestFit="1" customWidth="1"/>
    <col min="27" max="27" width="26" style="17" bestFit="1" customWidth="1"/>
    <col min="28" max="28" width="13.42578125" style="17" bestFit="1" customWidth="1"/>
    <col min="29" max="29" width="73" style="17"/>
    <col min="30" max="30" width="3.7109375" style="17" bestFit="1" customWidth="1"/>
    <col min="31" max="16384" width="73" style="17"/>
  </cols>
  <sheetData>
    <row r="1" spans="1:30" s="150" customFormat="1" ht="14.65" customHeight="1">
      <c r="A1" s="203" t="s">
        <v>73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5"/>
      <c r="AD1" s="150" t="s">
        <v>36</v>
      </c>
    </row>
    <row r="2" spans="1:30" s="150" customFormat="1" ht="14.65" customHeight="1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8"/>
      <c r="AD2" s="150" t="s">
        <v>37</v>
      </c>
    </row>
    <row r="3" spans="1:30" s="150" customFormat="1" ht="14.65" customHeight="1" thickBot="1">
      <c r="A3" s="20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1"/>
    </row>
    <row r="4" spans="1:30" s="150" customFormat="1" ht="25.35">
      <c r="A4" s="151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/>
      <c r="V4" s="153"/>
      <c r="W4" s="153"/>
      <c r="X4" s="153"/>
      <c r="Y4" s="153"/>
      <c r="Z4" s="153"/>
      <c r="AA4" s="153"/>
      <c r="AB4" s="154"/>
    </row>
    <row r="5" spans="1:30" ht="15" thickBot="1">
      <c r="A5" s="155"/>
      <c r="B5" s="156"/>
      <c r="C5" s="156"/>
      <c r="D5" s="157"/>
      <c r="E5" s="157"/>
      <c r="F5" s="157"/>
      <c r="G5" s="157"/>
      <c r="H5" s="157"/>
      <c r="I5" s="158"/>
      <c r="J5" s="159"/>
      <c r="K5" s="156"/>
      <c r="L5" s="159"/>
      <c r="M5" s="156"/>
      <c r="N5" s="159"/>
      <c r="O5" s="156"/>
      <c r="P5" s="159"/>
      <c r="Q5" s="156"/>
      <c r="R5" s="159"/>
      <c r="S5" s="156"/>
      <c r="T5" s="156"/>
      <c r="U5" s="156"/>
      <c r="V5" s="156"/>
      <c r="W5" s="156"/>
      <c r="X5" s="156"/>
      <c r="Y5" s="156"/>
      <c r="Z5" s="156"/>
      <c r="AA5" s="156"/>
      <c r="AB5" s="160"/>
    </row>
    <row r="6" spans="1:30" ht="72.95">
      <c r="A6" s="9" t="s">
        <v>74</v>
      </c>
      <c r="B6" s="9" t="s">
        <v>75</v>
      </c>
      <c r="C6" s="9" t="s">
        <v>76</v>
      </c>
      <c r="D6" s="9" t="s">
        <v>77</v>
      </c>
      <c r="E6" s="9" t="s">
        <v>78</v>
      </c>
      <c r="F6" s="9" t="s">
        <v>79</v>
      </c>
      <c r="G6" s="9" t="s">
        <v>80</v>
      </c>
      <c r="H6" s="9" t="s">
        <v>81</v>
      </c>
      <c r="I6" s="9" t="s">
        <v>82</v>
      </c>
      <c r="J6" s="127" t="s">
        <v>83</v>
      </c>
      <c r="K6" s="9" t="s">
        <v>84</v>
      </c>
      <c r="L6" s="127" t="s">
        <v>85</v>
      </c>
      <c r="M6" s="9" t="s">
        <v>86</v>
      </c>
      <c r="N6" s="127" t="s">
        <v>87</v>
      </c>
      <c r="O6" s="9" t="s">
        <v>88</v>
      </c>
      <c r="P6" s="127" t="s">
        <v>89</v>
      </c>
      <c r="Q6" s="9" t="s">
        <v>90</v>
      </c>
      <c r="R6" s="127" t="s">
        <v>91</v>
      </c>
      <c r="S6" s="9" t="s">
        <v>92</v>
      </c>
      <c r="T6" s="139" t="s">
        <v>93</v>
      </c>
      <c r="U6" s="139" t="s">
        <v>94</v>
      </c>
      <c r="V6" s="139" t="s">
        <v>95</v>
      </c>
      <c r="W6" s="139" t="s">
        <v>96</v>
      </c>
      <c r="X6" s="139" t="s">
        <v>97</v>
      </c>
      <c r="Y6" s="139" t="s">
        <v>98</v>
      </c>
      <c r="Z6" s="14" t="s">
        <v>99</v>
      </c>
      <c r="AA6" s="9" t="s">
        <v>100</v>
      </c>
      <c r="AB6" s="15" t="s">
        <v>101</v>
      </c>
    </row>
    <row r="7" spans="1:30" ht="14.65" customHeight="1">
      <c r="A7" s="98" t="s">
        <v>44</v>
      </c>
      <c r="B7" s="44" t="s">
        <v>102</v>
      </c>
      <c r="C7" s="99" t="s">
        <v>103</v>
      </c>
      <c r="D7" s="104">
        <v>0</v>
      </c>
      <c r="E7" s="104">
        <v>1</v>
      </c>
      <c r="F7" s="104">
        <v>0</v>
      </c>
      <c r="G7" s="104">
        <v>0</v>
      </c>
      <c r="H7" s="104">
        <v>0</v>
      </c>
      <c r="I7" s="101"/>
      <c r="J7" s="148"/>
      <c r="K7" s="20"/>
      <c r="L7" s="148"/>
      <c r="M7" s="20"/>
      <c r="N7" s="148"/>
      <c r="O7" s="20"/>
      <c r="P7" s="148"/>
      <c r="Q7" s="20"/>
      <c r="R7" s="148"/>
      <c r="S7" s="20"/>
      <c r="T7" s="18">
        <f t="shared" ref="T7:T54" si="0">Exchange_Rate</f>
        <v>17.2315</v>
      </c>
      <c r="U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" s="21"/>
      <c r="AA7" s="102">
        <f>SUM(T_SUP_OP115[[#This Row],[(S)
Total Cost Y1
((H*R)+I)*A]:[(W)
Total Cost Y5
((P*R)+Q)*E]])*(1+T_SUP_OP115[[#This Row],[(X)
Markup %]])</f>
        <v>0</v>
      </c>
      <c r="AB7" s="20"/>
    </row>
    <row r="8" spans="1:30">
      <c r="A8" s="98" t="s">
        <v>45</v>
      </c>
      <c r="B8" s="44" t="s">
        <v>104</v>
      </c>
      <c r="C8" s="99" t="s">
        <v>105</v>
      </c>
      <c r="D8" s="104">
        <v>0</v>
      </c>
      <c r="E8" s="104">
        <v>1</v>
      </c>
      <c r="F8" s="104">
        <v>0</v>
      </c>
      <c r="G8" s="104">
        <v>0</v>
      </c>
      <c r="H8" s="104">
        <v>0</v>
      </c>
      <c r="I8" s="101"/>
      <c r="J8" s="148"/>
      <c r="K8" s="20"/>
      <c r="L8" s="148"/>
      <c r="M8" s="20"/>
      <c r="N8" s="148"/>
      <c r="O8" s="20"/>
      <c r="P8" s="148"/>
      <c r="Q8" s="20"/>
      <c r="R8" s="148"/>
      <c r="S8" s="20"/>
      <c r="T8" s="18">
        <f t="shared" si="0"/>
        <v>17.2315</v>
      </c>
      <c r="U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" s="21"/>
      <c r="AA8" s="102">
        <f>SUM(T_SUP_OP115[[#This Row],[(S)
Total Cost Y1
((H*R)+I)*A]:[(W)
Total Cost Y5
((P*R)+Q)*E]])*(1+T_SUP_OP115[[#This Row],[(X)
Markup %]])</f>
        <v>0</v>
      </c>
      <c r="AB8" s="20"/>
    </row>
    <row r="9" spans="1:30">
      <c r="A9" s="98" t="s">
        <v>46</v>
      </c>
      <c r="B9" s="44" t="s">
        <v>106</v>
      </c>
      <c r="C9" s="99" t="s">
        <v>107</v>
      </c>
      <c r="D9" s="104">
        <v>0</v>
      </c>
      <c r="E9" s="104">
        <v>1</v>
      </c>
      <c r="F9" s="104">
        <v>0</v>
      </c>
      <c r="G9" s="104">
        <v>0</v>
      </c>
      <c r="H9" s="104">
        <v>0</v>
      </c>
      <c r="I9" s="101"/>
      <c r="J9" s="148"/>
      <c r="K9" s="20"/>
      <c r="L9" s="148"/>
      <c r="M9" s="20"/>
      <c r="N9" s="148"/>
      <c r="O9" s="20"/>
      <c r="P9" s="148"/>
      <c r="Q9" s="20"/>
      <c r="R9" s="148"/>
      <c r="S9" s="20"/>
      <c r="T9" s="18">
        <f t="shared" si="0"/>
        <v>17.2315</v>
      </c>
      <c r="U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9" s="21"/>
      <c r="AA9" s="102">
        <f>SUM(T_SUP_OP115[[#This Row],[(S)
Total Cost Y1
((H*R)+I)*A]:[(W)
Total Cost Y5
((P*R)+Q)*E]])*(1+T_SUP_OP115[[#This Row],[(X)
Markup %]])</f>
        <v>0</v>
      </c>
      <c r="AB9" s="20"/>
    </row>
    <row r="10" spans="1:30">
      <c r="A10" s="98" t="s">
        <v>47</v>
      </c>
      <c r="B10" s="44" t="s">
        <v>108</v>
      </c>
      <c r="C10" s="99" t="s">
        <v>109</v>
      </c>
      <c r="D10" s="104">
        <v>0</v>
      </c>
      <c r="E10" s="104">
        <v>0</v>
      </c>
      <c r="F10" s="104">
        <v>0</v>
      </c>
      <c r="G10" s="104">
        <v>0</v>
      </c>
      <c r="H10" s="104">
        <v>1</v>
      </c>
      <c r="I10" s="101"/>
      <c r="J10" s="148"/>
      <c r="K10" s="20"/>
      <c r="L10" s="148"/>
      <c r="M10" s="20"/>
      <c r="N10" s="148"/>
      <c r="O10" s="20"/>
      <c r="P10" s="148"/>
      <c r="Q10" s="20"/>
      <c r="R10" s="148"/>
      <c r="S10" s="20"/>
      <c r="T10" s="18">
        <f t="shared" si="0"/>
        <v>17.2315</v>
      </c>
      <c r="U1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0" s="21"/>
      <c r="AA10" s="102">
        <f>SUM(T_SUP_OP115[[#This Row],[(S)
Total Cost Y1
((H*R)+I)*A]:[(W)
Total Cost Y5
((P*R)+Q)*E]])*(1+T_SUP_OP115[[#This Row],[(X)
Markup %]])</f>
        <v>0</v>
      </c>
      <c r="AB10" s="20"/>
    </row>
    <row r="11" spans="1:30">
      <c r="A11" s="98" t="s">
        <v>48</v>
      </c>
      <c r="B11" s="44" t="s">
        <v>110</v>
      </c>
      <c r="C11" s="99" t="s">
        <v>111</v>
      </c>
      <c r="D11" s="104">
        <v>0</v>
      </c>
      <c r="E11" s="104">
        <v>0</v>
      </c>
      <c r="F11" s="104">
        <v>0</v>
      </c>
      <c r="G11" s="104">
        <v>0</v>
      </c>
      <c r="H11" s="104">
        <v>1</v>
      </c>
      <c r="I11" s="101"/>
      <c r="J11" s="148"/>
      <c r="K11" s="20"/>
      <c r="L11" s="148"/>
      <c r="M11" s="20"/>
      <c r="N11" s="148"/>
      <c r="O11" s="20"/>
      <c r="P11" s="148"/>
      <c r="Q11" s="20"/>
      <c r="R11" s="148"/>
      <c r="S11" s="20"/>
      <c r="T11" s="18">
        <f t="shared" si="0"/>
        <v>17.2315</v>
      </c>
      <c r="U1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1" s="21"/>
      <c r="AA11" s="102">
        <f>SUM(T_SUP_OP115[[#This Row],[(S)
Total Cost Y1
((H*R)+I)*A]:[(W)
Total Cost Y5
((P*R)+Q)*E]])*(1+T_SUP_OP115[[#This Row],[(X)
Markup %]])</f>
        <v>0</v>
      </c>
      <c r="AB11" s="20"/>
    </row>
    <row r="12" spans="1:30">
      <c r="A12" s="98" t="s">
        <v>48</v>
      </c>
      <c r="B12" s="44" t="s">
        <v>112</v>
      </c>
      <c r="C12" s="99" t="s">
        <v>113</v>
      </c>
      <c r="D12" s="104">
        <v>0</v>
      </c>
      <c r="E12" s="104">
        <v>0</v>
      </c>
      <c r="F12" s="104">
        <v>0</v>
      </c>
      <c r="G12" s="104">
        <v>0</v>
      </c>
      <c r="H12" s="104">
        <v>1</v>
      </c>
      <c r="I12" s="101"/>
      <c r="J12" s="148"/>
      <c r="K12" s="20"/>
      <c r="L12" s="148"/>
      <c r="M12" s="20"/>
      <c r="N12" s="148"/>
      <c r="O12" s="20"/>
      <c r="P12" s="148"/>
      <c r="Q12" s="20"/>
      <c r="R12" s="148"/>
      <c r="S12" s="20"/>
      <c r="T12" s="18">
        <f t="shared" si="0"/>
        <v>17.2315</v>
      </c>
      <c r="U1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2" s="21"/>
      <c r="AA12" s="102">
        <f>SUM(T_SUP_OP115[[#This Row],[(S)
Total Cost Y1
((H*R)+I)*A]:[(W)
Total Cost Y5
((P*R)+Q)*E]])*(1+T_SUP_OP115[[#This Row],[(X)
Markup %]])</f>
        <v>0</v>
      </c>
      <c r="AB12" s="20"/>
    </row>
    <row r="13" spans="1:30">
      <c r="A13" s="98" t="s">
        <v>48</v>
      </c>
      <c r="B13" s="44" t="s">
        <v>114</v>
      </c>
      <c r="C13" s="99" t="s">
        <v>115</v>
      </c>
      <c r="D13" s="104">
        <v>0</v>
      </c>
      <c r="E13" s="104">
        <v>0</v>
      </c>
      <c r="F13" s="104">
        <v>0</v>
      </c>
      <c r="G13" s="104">
        <v>0</v>
      </c>
      <c r="H13" s="104">
        <v>1</v>
      </c>
      <c r="I13" s="101"/>
      <c r="J13" s="148"/>
      <c r="K13" s="20"/>
      <c r="L13" s="148"/>
      <c r="M13" s="20"/>
      <c r="N13" s="148"/>
      <c r="O13" s="20"/>
      <c r="P13" s="148"/>
      <c r="Q13" s="20"/>
      <c r="R13" s="148"/>
      <c r="S13" s="20"/>
      <c r="T13" s="18">
        <f t="shared" si="0"/>
        <v>17.2315</v>
      </c>
      <c r="U1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3" s="21"/>
      <c r="AA13" s="102">
        <f>SUM(T_SUP_OP115[[#This Row],[(S)
Total Cost Y1
((H*R)+I)*A]:[(W)
Total Cost Y5
((P*R)+Q)*E]])*(1+T_SUP_OP115[[#This Row],[(X)
Markup %]])</f>
        <v>0</v>
      </c>
      <c r="AB13" s="20"/>
    </row>
    <row r="14" spans="1:30">
      <c r="A14" s="98" t="s">
        <v>48</v>
      </c>
      <c r="B14" s="44" t="s">
        <v>116</v>
      </c>
      <c r="C14" s="99" t="s">
        <v>117</v>
      </c>
      <c r="D14" s="104">
        <v>0</v>
      </c>
      <c r="E14" s="104">
        <v>0</v>
      </c>
      <c r="F14" s="104">
        <v>0</v>
      </c>
      <c r="G14" s="104">
        <v>0</v>
      </c>
      <c r="H14" s="104">
        <v>1</v>
      </c>
      <c r="I14" s="101"/>
      <c r="J14" s="148"/>
      <c r="K14" s="20"/>
      <c r="L14" s="148"/>
      <c r="M14" s="20"/>
      <c r="N14" s="148"/>
      <c r="O14" s="20"/>
      <c r="P14" s="148"/>
      <c r="Q14" s="20"/>
      <c r="R14" s="148"/>
      <c r="S14" s="20"/>
      <c r="T14" s="18">
        <f t="shared" ref="T14:T17" si="1">Exchange_Rate</f>
        <v>17.2315</v>
      </c>
      <c r="U1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4" s="21"/>
      <c r="AA14" s="102">
        <f>SUM(T_SUP_OP115[[#This Row],[(S)
Total Cost Y1
((H*R)+I)*A]:[(W)
Total Cost Y5
((P*R)+Q)*E]])*(1+T_SUP_OP115[[#This Row],[(X)
Markup %]])</f>
        <v>0</v>
      </c>
      <c r="AB14" s="20"/>
    </row>
    <row r="15" spans="1:30">
      <c r="A15" s="98" t="s">
        <v>48</v>
      </c>
      <c r="B15" s="44" t="s">
        <v>118</v>
      </c>
      <c r="C15" s="99" t="s">
        <v>119</v>
      </c>
      <c r="D15" s="104">
        <v>0</v>
      </c>
      <c r="E15" s="104">
        <v>0</v>
      </c>
      <c r="F15" s="104">
        <v>0</v>
      </c>
      <c r="G15" s="104">
        <v>0</v>
      </c>
      <c r="H15" s="104">
        <v>1</v>
      </c>
      <c r="I15" s="101"/>
      <c r="J15" s="148"/>
      <c r="K15" s="20"/>
      <c r="L15" s="148"/>
      <c r="M15" s="20"/>
      <c r="N15" s="148"/>
      <c r="O15" s="20"/>
      <c r="P15" s="148"/>
      <c r="Q15" s="20"/>
      <c r="R15" s="148"/>
      <c r="S15" s="20"/>
      <c r="T15" s="18">
        <f t="shared" si="1"/>
        <v>17.2315</v>
      </c>
      <c r="U1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5" s="21"/>
      <c r="AA15" s="102">
        <f>SUM(T_SUP_OP115[[#This Row],[(S)
Total Cost Y1
((H*R)+I)*A]:[(W)
Total Cost Y5
((P*R)+Q)*E]])*(1+T_SUP_OP115[[#This Row],[(X)
Markup %]])</f>
        <v>0</v>
      </c>
      <c r="AB15" s="20"/>
    </row>
    <row r="16" spans="1:30">
      <c r="A16" s="98" t="s">
        <v>49</v>
      </c>
      <c r="B16" s="44" t="s">
        <v>102</v>
      </c>
      <c r="C16" s="99" t="s">
        <v>120</v>
      </c>
      <c r="D16" s="104">
        <v>0</v>
      </c>
      <c r="E16" s="104">
        <v>1</v>
      </c>
      <c r="F16" s="104">
        <v>0</v>
      </c>
      <c r="G16" s="104">
        <v>0</v>
      </c>
      <c r="H16" s="104">
        <v>1</v>
      </c>
      <c r="I16" s="101"/>
      <c r="J16" s="148"/>
      <c r="K16" s="20"/>
      <c r="L16" s="148"/>
      <c r="M16" s="20"/>
      <c r="N16" s="148"/>
      <c r="O16" s="20"/>
      <c r="P16" s="148"/>
      <c r="Q16" s="20"/>
      <c r="R16" s="148"/>
      <c r="S16" s="20"/>
      <c r="T16" s="18">
        <f t="shared" si="1"/>
        <v>17.2315</v>
      </c>
      <c r="U1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6" s="21"/>
      <c r="AA16" s="102">
        <f>SUM(T_SUP_OP115[[#This Row],[(S)
Total Cost Y1
((H*R)+I)*A]:[(W)
Total Cost Y5
((P*R)+Q)*E]])*(1+T_SUP_OP115[[#This Row],[(X)
Markup %]])</f>
        <v>0</v>
      </c>
      <c r="AB16" s="20"/>
    </row>
    <row r="17" spans="1:28">
      <c r="A17" s="98" t="s">
        <v>50</v>
      </c>
      <c r="B17" s="44" t="s">
        <v>104</v>
      </c>
      <c r="C17" s="99" t="s">
        <v>121</v>
      </c>
      <c r="D17" s="104">
        <v>0</v>
      </c>
      <c r="E17" s="104">
        <v>1</v>
      </c>
      <c r="F17" s="104">
        <v>0</v>
      </c>
      <c r="G17" s="104">
        <v>0</v>
      </c>
      <c r="H17" s="104">
        <v>1</v>
      </c>
      <c r="I17" s="101"/>
      <c r="J17" s="148"/>
      <c r="K17" s="20"/>
      <c r="L17" s="148"/>
      <c r="M17" s="20"/>
      <c r="N17" s="148"/>
      <c r="O17" s="20"/>
      <c r="P17" s="148"/>
      <c r="Q17" s="20"/>
      <c r="R17" s="148"/>
      <c r="S17" s="20"/>
      <c r="T17" s="18">
        <f t="shared" si="1"/>
        <v>17.2315</v>
      </c>
      <c r="U1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7" s="21"/>
      <c r="AA17" s="102">
        <f>SUM(T_SUP_OP115[[#This Row],[(S)
Total Cost Y1
((H*R)+I)*A]:[(W)
Total Cost Y5
((P*R)+Q)*E]])*(1+T_SUP_OP115[[#This Row],[(X)
Markup %]])</f>
        <v>0</v>
      </c>
      <c r="AB17" s="20"/>
    </row>
    <row r="18" spans="1:28">
      <c r="A18" s="98" t="s">
        <v>51</v>
      </c>
      <c r="B18" s="44" t="s">
        <v>106</v>
      </c>
      <c r="C18" s="99" t="s">
        <v>122</v>
      </c>
      <c r="D18" s="104">
        <v>0</v>
      </c>
      <c r="E18" s="104">
        <v>1</v>
      </c>
      <c r="F18" s="104">
        <v>0</v>
      </c>
      <c r="G18" s="104">
        <v>0</v>
      </c>
      <c r="H18" s="104">
        <v>1</v>
      </c>
      <c r="I18" s="101"/>
      <c r="J18" s="148"/>
      <c r="K18" s="20"/>
      <c r="L18" s="148"/>
      <c r="M18" s="20"/>
      <c r="N18" s="148"/>
      <c r="O18" s="20"/>
      <c r="P18" s="148"/>
      <c r="Q18" s="20"/>
      <c r="R18" s="148"/>
      <c r="S18" s="20"/>
      <c r="T18" s="18">
        <f t="shared" ref="T18:T30" si="2">Exchange_Rate</f>
        <v>17.2315</v>
      </c>
      <c r="U1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8" s="21"/>
      <c r="AA18" s="102">
        <f>SUM(T_SUP_OP115[[#This Row],[(S)
Total Cost Y1
((H*R)+I)*A]:[(W)
Total Cost Y5
((P*R)+Q)*E]])*(1+T_SUP_OP115[[#This Row],[(X)
Markup %]])</f>
        <v>0</v>
      </c>
      <c r="AB18" s="20"/>
    </row>
    <row r="19" spans="1:28">
      <c r="A19" s="98" t="s">
        <v>52</v>
      </c>
      <c r="B19" s="44" t="s">
        <v>102</v>
      </c>
      <c r="C19" s="99" t="s">
        <v>123</v>
      </c>
      <c r="D19" s="104">
        <v>0</v>
      </c>
      <c r="E19" s="104">
        <v>0</v>
      </c>
      <c r="F19" s="104">
        <v>2</v>
      </c>
      <c r="G19" s="104">
        <v>0</v>
      </c>
      <c r="H19" s="104">
        <v>0</v>
      </c>
      <c r="I19" s="101"/>
      <c r="J19" s="148"/>
      <c r="K19" s="20"/>
      <c r="L19" s="148"/>
      <c r="M19" s="20"/>
      <c r="N19" s="148"/>
      <c r="O19" s="20"/>
      <c r="P19" s="148"/>
      <c r="Q19" s="20"/>
      <c r="R19" s="148"/>
      <c r="S19" s="20"/>
      <c r="T19" s="18">
        <f t="shared" si="2"/>
        <v>17.2315</v>
      </c>
      <c r="U1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1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1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1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1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19" s="21"/>
      <c r="AA19" s="102">
        <f>SUM(T_SUP_OP115[[#This Row],[(S)
Total Cost Y1
((H*R)+I)*A]:[(W)
Total Cost Y5
((P*R)+Q)*E]])*(1+T_SUP_OP115[[#This Row],[(X)
Markup %]])</f>
        <v>0</v>
      </c>
      <c r="AB19" s="20"/>
    </row>
    <row r="20" spans="1:28">
      <c r="A20" s="98" t="s">
        <v>53</v>
      </c>
      <c r="B20" s="44" t="s">
        <v>104</v>
      </c>
      <c r="C20" s="99" t="s">
        <v>124</v>
      </c>
      <c r="D20" s="104">
        <v>0</v>
      </c>
      <c r="E20" s="104">
        <v>0</v>
      </c>
      <c r="F20" s="104">
        <v>2</v>
      </c>
      <c r="G20" s="104">
        <v>0</v>
      </c>
      <c r="H20" s="104">
        <v>0</v>
      </c>
      <c r="I20" s="101"/>
      <c r="J20" s="148"/>
      <c r="K20" s="20"/>
      <c r="L20" s="148"/>
      <c r="M20" s="20"/>
      <c r="N20" s="148"/>
      <c r="O20" s="20"/>
      <c r="P20" s="148"/>
      <c r="Q20" s="20"/>
      <c r="R20" s="148"/>
      <c r="S20" s="20"/>
      <c r="T20" s="18">
        <f t="shared" si="2"/>
        <v>17.2315</v>
      </c>
      <c r="U2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0" s="21"/>
      <c r="AA20" s="102">
        <f>SUM(T_SUP_OP115[[#This Row],[(S)
Total Cost Y1
((H*R)+I)*A]:[(W)
Total Cost Y5
((P*R)+Q)*E]])*(1+T_SUP_OP115[[#This Row],[(X)
Markup %]])</f>
        <v>0</v>
      </c>
      <c r="AB20" s="20"/>
    </row>
    <row r="21" spans="1:28">
      <c r="A21" s="98" t="s">
        <v>53</v>
      </c>
      <c r="B21" s="44" t="s">
        <v>106</v>
      </c>
      <c r="C21" s="99" t="s">
        <v>125</v>
      </c>
      <c r="D21" s="104">
        <v>0</v>
      </c>
      <c r="E21" s="104">
        <v>0</v>
      </c>
      <c r="F21" s="104">
        <v>2</v>
      </c>
      <c r="G21" s="104">
        <v>0</v>
      </c>
      <c r="H21" s="104">
        <v>0</v>
      </c>
      <c r="I21" s="101"/>
      <c r="J21" s="148"/>
      <c r="K21" s="20"/>
      <c r="L21" s="148"/>
      <c r="M21" s="20"/>
      <c r="N21" s="148"/>
      <c r="O21" s="20"/>
      <c r="P21" s="148"/>
      <c r="Q21" s="20"/>
      <c r="R21" s="148"/>
      <c r="S21" s="20"/>
      <c r="T21" s="18">
        <f t="shared" si="2"/>
        <v>17.2315</v>
      </c>
      <c r="U2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1" s="21"/>
      <c r="AA21" s="102">
        <f>SUM(T_SUP_OP115[[#This Row],[(S)
Total Cost Y1
((H*R)+I)*A]:[(W)
Total Cost Y5
((P*R)+Q)*E]])*(1+T_SUP_OP115[[#This Row],[(X)
Markup %]])</f>
        <v>0</v>
      </c>
      <c r="AB21" s="20"/>
    </row>
    <row r="22" spans="1:28">
      <c r="A22" s="98" t="s">
        <v>53</v>
      </c>
      <c r="B22" s="44" t="s">
        <v>108</v>
      </c>
      <c r="C22" s="99" t="s">
        <v>126</v>
      </c>
      <c r="D22" s="104">
        <v>0</v>
      </c>
      <c r="E22" s="104">
        <v>0</v>
      </c>
      <c r="F22" s="104">
        <v>0</v>
      </c>
      <c r="G22" s="104">
        <v>0</v>
      </c>
      <c r="H22" s="104">
        <v>1</v>
      </c>
      <c r="I22" s="101"/>
      <c r="J22" s="148"/>
      <c r="K22" s="20"/>
      <c r="L22" s="148"/>
      <c r="M22" s="20"/>
      <c r="N22" s="148"/>
      <c r="O22" s="20"/>
      <c r="P22" s="148"/>
      <c r="Q22" s="20"/>
      <c r="R22" s="148"/>
      <c r="S22" s="20"/>
      <c r="T22" s="18">
        <f t="shared" si="2"/>
        <v>17.2315</v>
      </c>
      <c r="U2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2" s="21"/>
      <c r="AA22" s="102">
        <f>SUM(T_SUP_OP115[[#This Row],[(S)
Total Cost Y1
((H*R)+I)*A]:[(W)
Total Cost Y5
((P*R)+Q)*E]])*(1+T_SUP_OP115[[#This Row],[(X)
Markup %]])</f>
        <v>0</v>
      </c>
      <c r="AB22" s="20"/>
    </row>
    <row r="23" spans="1:28">
      <c r="A23" s="98" t="s">
        <v>54</v>
      </c>
      <c r="B23" s="44" t="s">
        <v>102</v>
      </c>
      <c r="C23" s="99" t="s">
        <v>127</v>
      </c>
      <c r="D23" s="104">
        <v>0</v>
      </c>
      <c r="E23" s="104">
        <v>0</v>
      </c>
      <c r="F23" s="104">
        <v>0</v>
      </c>
      <c r="G23" s="104">
        <v>0</v>
      </c>
      <c r="H23" s="104">
        <v>1</v>
      </c>
      <c r="I23" s="101"/>
      <c r="J23" s="148"/>
      <c r="K23" s="20"/>
      <c r="L23" s="148"/>
      <c r="M23" s="20"/>
      <c r="N23" s="148"/>
      <c r="O23" s="20"/>
      <c r="P23" s="148"/>
      <c r="Q23" s="20"/>
      <c r="R23" s="148"/>
      <c r="S23" s="20"/>
      <c r="T23" s="18">
        <f t="shared" si="2"/>
        <v>17.2315</v>
      </c>
      <c r="U2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3" s="21"/>
      <c r="AA23" s="102">
        <f>SUM(T_SUP_OP115[[#This Row],[(S)
Total Cost Y1
((H*R)+I)*A]:[(W)
Total Cost Y5
((P*R)+Q)*E]])*(1+T_SUP_OP115[[#This Row],[(X)
Markup %]])</f>
        <v>0</v>
      </c>
      <c r="AB23" s="20"/>
    </row>
    <row r="24" spans="1:28">
      <c r="A24" s="98" t="s">
        <v>54</v>
      </c>
      <c r="B24" s="44" t="s">
        <v>104</v>
      </c>
      <c r="C24" s="99" t="s">
        <v>128</v>
      </c>
      <c r="D24" s="104">
        <v>0</v>
      </c>
      <c r="E24" s="104">
        <v>0</v>
      </c>
      <c r="F24" s="104">
        <v>0</v>
      </c>
      <c r="G24" s="104">
        <v>0</v>
      </c>
      <c r="H24" s="104">
        <v>1</v>
      </c>
      <c r="I24" s="101"/>
      <c r="J24" s="148"/>
      <c r="K24" s="20"/>
      <c r="L24" s="148"/>
      <c r="M24" s="20"/>
      <c r="N24" s="148"/>
      <c r="O24" s="20"/>
      <c r="P24" s="148"/>
      <c r="Q24" s="20"/>
      <c r="R24" s="148"/>
      <c r="S24" s="20"/>
      <c r="T24" s="18">
        <f t="shared" si="2"/>
        <v>17.2315</v>
      </c>
      <c r="U2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4" s="21"/>
      <c r="AA24" s="102">
        <f>SUM(T_SUP_OP115[[#This Row],[(S)
Total Cost Y1
((H*R)+I)*A]:[(W)
Total Cost Y5
((P*R)+Q)*E]])*(1+T_SUP_OP115[[#This Row],[(X)
Markup %]])</f>
        <v>0</v>
      </c>
      <c r="AB24" s="20"/>
    </row>
    <row r="25" spans="1:28">
      <c r="A25" s="98" t="s">
        <v>54</v>
      </c>
      <c r="B25" s="44" t="s">
        <v>106</v>
      </c>
      <c r="C25" s="99" t="s">
        <v>129</v>
      </c>
      <c r="D25" s="104">
        <v>0</v>
      </c>
      <c r="E25" s="104">
        <v>0</v>
      </c>
      <c r="F25" s="104">
        <v>0</v>
      </c>
      <c r="G25" s="104">
        <v>0</v>
      </c>
      <c r="H25" s="104">
        <v>1</v>
      </c>
      <c r="I25" s="101"/>
      <c r="J25" s="148"/>
      <c r="K25" s="20"/>
      <c r="L25" s="148"/>
      <c r="M25" s="20"/>
      <c r="N25" s="148"/>
      <c r="O25" s="20"/>
      <c r="P25" s="148"/>
      <c r="Q25" s="20"/>
      <c r="R25" s="148"/>
      <c r="S25" s="20"/>
      <c r="T25" s="18">
        <f t="shared" si="2"/>
        <v>17.2315</v>
      </c>
      <c r="U2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5" s="21"/>
      <c r="AA25" s="102">
        <f>SUM(T_SUP_OP115[[#This Row],[(S)
Total Cost Y1
((H*R)+I)*A]:[(W)
Total Cost Y5
((P*R)+Q)*E]])*(1+T_SUP_OP115[[#This Row],[(X)
Markup %]])</f>
        <v>0</v>
      </c>
      <c r="AB25" s="20"/>
    </row>
    <row r="26" spans="1:28">
      <c r="A26" s="98" t="s">
        <v>54</v>
      </c>
      <c r="B26" s="44" t="s">
        <v>108</v>
      </c>
      <c r="C26" s="99" t="s">
        <v>126</v>
      </c>
      <c r="D26" s="104">
        <v>0</v>
      </c>
      <c r="E26" s="104">
        <v>0</v>
      </c>
      <c r="F26" s="104">
        <v>0</v>
      </c>
      <c r="G26" s="104">
        <v>0</v>
      </c>
      <c r="H26" s="104">
        <v>1</v>
      </c>
      <c r="I26" s="101"/>
      <c r="J26" s="148"/>
      <c r="K26" s="20"/>
      <c r="L26" s="148"/>
      <c r="M26" s="20"/>
      <c r="N26" s="148"/>
      <c r="O26" s="20"/>
      <c r="P26" s="148"/>
      <c r="Q26" s="20"/>
      <c r="R26" s="148"/>
      <c r="S26" s="20"/>
      <c r="T26" s="18">
        <f t="shared" si="2"/>
        <v>17.2315</v>
      </c>
      <c r="U2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6" s="21"/>
      <c r="AA26" s="102">
        <f>SUM(T_SUP_OP115[[#This Row],[(S)
Total Cost Y1
((H*R)+I)*A]:[(W)
Total Cost Y5
((P*R)+Q)*E]])*(1+T_SUP_OP115[[#This Row],[(X)
Markup %]])</f>
        <v>0</v>
      </c>
      <c r="AB26" s="20"/>
    </row>
    <row r="27" spans="1:28">
      <c r="A27" s="98" t="s">
        <v>54</v>
      </c>
      <c r="B27" s="44" t="s">
        <v>110</v>
      </c>
      <c r="C27" s="99" t="s">
        <v>130</v>
      </c>
      <c r="D27" s="104">
        <v>0</v>
      </c>
      <c r="E27" s="104">
        <v>0</v>
      </c>
      <c r="F27" s="104">
        <v>0</v>
      </c>
      <c r="G27" s="104">
        <v>0</v>
      </c>
      <c r="H27" s="104">
        <v>1</v>
      </c>
      <c r="I27" s="101"/>
      <c r="J27" s="148"/>
      <c r="K27" s="20"/>
      <c r="L27" s="148"/>
      <c r="M27" s="20"/>
      <c r="N27" s="148"/>
      <c r="O27" s="20"/>
      <c r="P27" s="148"/>
      <c r="Q27" s="20"/>
      <c r="R27" s="148"/>
      <c r="S27" s="20"/>
      <c r="T27" s="18">
        <f t="shared" si="2"/>
        <v>17.2315</v>
      </c>
      <c r="U2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7" s="21"/>
      <c r="AA27" s="102">
        <f>SUM(T_SUP_OP115[[#This Row],[(S)
Total Cost Y1
((H*R)+I)*A]:[(W)
Total Cost Y5
((P*R)+Q)*E]])*(1+T_SUP_OP115[[#This Row],[(X)
Markup %]])</f>
        <v>0</v>
      </c>
      <c r="AB27" s="20"/>
    </row>
    <row r="28" spans="1:28">
      <c r="A28" s="103" t="s">
        <v>54</v>
      </c>
      <c r="B28" s="44" t="s">
        <v>112</v>
      </c>
      <c r="C28" s="99" t="s">
        <v>131</v>
      </c>
      <c r="D28" s="104">
        <v>0</v>
      </c>
      <c r="E28" s="104">
        <v>0</v>
      </c>
      <c r="F28" s="104">
        <v>0</v>
      </c>
      <c r="G28" s="104">
        <v>0</v>
      </c>
      <c r="H28" s="104">
        <v>1</v>
      </c>
      <c r="I28" s="101"/>
      <c r="J28" s="148"/>
      <c r="K28" s="20"/>
      <c r="L28" s="148"/>
      <c r="M28" s="20"/>
      <c r="N28" s="148"/>
      <c r="O28" s="20"/>
      <c r="P28" s="148"/>
      <c r="Q28" s="20"/>
      <c r="R28" s="148"/>
      <c r="S28" s="20"/>
      <c r="T28" s="18">
        <f t="shared" si="2"/>
        <v>17.2315</v>
      </c>
      <c r="U2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8" s="21"/>
      <c r="AA28" s="102">
        <f>SUM(T_SUP_OP115[[#This Row],[(S)
Total Cost Y1
((H*R)+I)*A]:[(W)
Total Cost Y5
((P*R)+Q)*E]])*(1+T_SUP_OP115[[#This Row],[(X)
Markup %]])</f>
        <v>0</v>
      </c>
      <c r="AB28" s="20"/>
    </row>
    <row r="29" spans="1:28">
      <c r="A29" s="103" t="s">
        <v>54</v>
      </c>
      <c r="B29" s="44" t="s">
        <v>114</v>
      </c>
      <c r="C29" s="99" t="s">
        <v>132</v>
      </c>
      <c r="D29" s="104">
        <v>0</v>
      </c>
      <c r="E29" s="104">
        <v>0</v>
      </c>
      <c r="F29" s="104">
        <v>0</v>
      </c>
      <c r="G29" s="104">
        <v>0</v>
      </c>
      <c r="H29" s="104">
        <v>1</v>
      </c>
      <c r="I29" s="101"/>
      <c r="J29" s="148"/>
      <c r="K29" s="20"/>
      <c r="L29" s="148"/>
      <c r="M29" s="20"/>
      <c r="N29" s="148"/>
      <c r="O29" s="20"/>
      <c r="P29" s="148"/>
      <c r="Q29" s="20"/>
      <c r="R29" s="148"/>
      <c r="S29" s="20"/>
      <c r="T29" s="18">
        <f t="shared" si="2"/>
        <v>17.2315</v>
      </c>
      <c r="U2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2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2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2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2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29" s="21"/>
      <c r="AA29" s="102">
        <f>SUM(T_SUP_OP115[[#This Row],[(S)
Total Cost Y1
((H*R)+I)*A]:[(W)
Total Cost Y5
((P*R)+Q)*E]])*(1+T_SUP_OP115[[#This Row],[(X)
Markup %]])</f>
        <v>0</v>
      </c>
      <c r="AB29" s="20"/>
    </row>
    <row r="30" spans="1:28">
      <c r="A30" s="103" t="s">
        <v>54</v>
      </c>
      <c r="B30" s="44" t="s">
        <v>116</v>
      </c>
      <c r="C30" s="99" t="s">
        <v>133</v>
      </c>
      <c r="D30" s="104">
        <v>0</v>
      </c>
      <c r="E30" s="104">
        <v>0</v>
      </c>
      <c r="F30" s="104">
        <v>0</v>
      </c>
      <c r="G30" s="104">
        <v>0</v>
      </c>
      <c r="H30" s="104">
        <v>1</v>
      </c>
      <c r="I30" s="101"/>
      <c r="J30" s="148"/>
      <c r="K30" s="20"/>
      <c r="L30" s="148"/>
      <c r="M30" s="20"/>
      <c r="N30" s="148"/>
      <c r="O30" s="20"/>
      <c r="P30" s="148"/>
      <c r="Q30" s="20"/>
      <c r="R30" s="148"/>
      <c r="S30" s="20"/>
      <c r="T30" s="18">
        <f t="shared" si="2"/>
        <v>17.2315</v>
      </c>
      <c r="U3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0" s="21"/>
      <c r="AA30" s="102">
        <f>SUM(T_SUP_OP115[[#This Row],[(S)
Total Cost Y1
((H*R)+I)*A]:[(W)
Total Cost Y5
((P*R)+Q)*E]])*(1+T_SUP_OP115[[#This Row],[(X)
Markup %]])</f>
        <v>0</v>
      </c>
      <c r="AB30" s="20"/>
    </row>
    <row r="31" spans="1:28">
      <c r="A31" s="103" t="s">
        <v>54</v>
      </c>
      <c r="B31" s="44" t="s">
        <v>118</v>
      </c>
      <c r="C31" s="99" t="s">
        <v>134</v>
      </c>
      <c r="D31" s="104">
        <v>0</v>
      </c>
      <c r="E31" s="104">
        <v>0</v>
      </c>
      <c r="F31" s="104">
        <v>0</v>
      </c>
      <c r="G31" s="104">
        <v>0</v>
      </c>
      <c r="H31" s="104">
        <v>1</v>
      </c>
      <c r="I31" s="101"/>
      <c r="J31" s="148"/>
      <c r="K31" s="20"/>
      <c r="L31" s="148"/>
      <c r="M31" s="20"/>
      <c r="N31" s="148"/>
      <c r="O31" s="20"/>
      <c r="P31" s="148"/>
      <c r="Q31" s="20"/>
      <c r="R31" s="148"/>
      <c r="S31" s="20"/>
      <c r="T31" s="18">
        <f t="shared" si="0"/>
        <v>17.2315</v>
      </c>
      <c r="U3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1" s="21"/>
      <c r="AA31" s="102">
        <f>SUM(T_SUP_OP115[[#This Row],[(S)
Total Cost Y1
((H*R)+I)*A]:[(W)
Total Cost Y5
((P*R)+Q)*E]])*(1+T_SUP_OP115[[#This Row],[(X)
Markup %]])</f>
        <v>0</v>
      </c>
      <c r="AB31" s="20"/>
    </row>
    <row r="32" spans="1:28">
      <c r="A32" s="103" t="s">
        <v>55</v>
      </c>
      <c r="B32" s="44" t="s">
        <v>102</v>
      </c>
      <c r="C32" s="99" t="s">
        <v>135</v>
      </c>
      <c r="D32" s="104">
        <v>2</v>
      </c>
      <c r="E32" s="104">
        <v>0</v>
      </c>
      <c r="F32" s="104">
        <v>0</v>
      </c>
      <c r="G32" s="104">
        <v>0</v>
      </c>
      <c r="H32" s="104">
        <v>0</v>
      </c>
      <c r="I32" s="101"/>
      <c r="J32" s="148"/>
      <c r="K32" s="20"/>
      <c r="L32" s="148"/>
      <c r="M32" s="20"/>
      <c r="N32" s="148"/>
      <c r="O32" s="20"/>
      <c r="P32" s="148"/>
      <c r="Q32" s="20"/>
      <c r="R32" s="148"/>
      <c r="S32" s="20"/>
      <c r="T32" s="18">
        <f t="shared" si="0"/>
        <v>17.2315</v>
      </c>
      <c r="U3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2" s="21"/>
      <c r="AA32" s="102">
        <f>SUM(T_SUP_OP115[[#This Row],[(S)
Total Cost Y1
((H*R)+I)*A]:[(W)
Total Cost Y5
((P*R)+Q)*E]])*(1+T_SUP_OP115[[#This Row],[(X)
Markup %]])</f>
        <v>0</v>
      </c>
      <c r="AB32" s="20"/>
    </row>
    <row r="33" spans="1:28">
      <c r="A33" s="103" t="s">
        <v>56</v>
      </c>
      <c r="B33" s="44" t="s">
        <v>104</v>
      </c>
      <c r="C33" s="99" t="s">
        <v>136</v>
      </c>
      <c r="D33" s="104">
        <v>2</v>
      </c>
      <c r="E33" s="104">
        <v>0</v>
      </c>
      <c r="F33" s="104">
        <v>0</v>
      </c>
      <c r="G33" s="104">
        <v>0</v>
      </c>
      <c r="H33" s="104">
        <v>0</v>
      </c>
      <c r="I33" s="101"/>
      <c r="J33" s="148"/>
      <c r="K33" s="20"/>
      <c r="L33" s="148"/>
      <c r="M33" s="20"/>
      <c r="N33" s="148"/>
      <c r="O33" s="20"/>
      <c r="P33" s="148"/>
      <c r="Q33" s="20"/>
      <c r="R33" s="148"/>
      <c r="S33" s="20"/>
      <c r="T33" s="18">
        <f t="shared" si="0"/>
        <v>17.2315</v>
      </c>
      <c r="U3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3" s="21"/>
      <c r="AA33" s="102">
        <f>SUM(T_SUP_OP115[[#This Row],[(S)
Total Cost Y1
((H*R)+I)*A]:[(W)
Total Cost Y5
((P*R)+Q)*E]])*(1+T_SUP_OP115[[#This Row],[(X)
Markup %]])</f>
        <v>0</v>
      </c>
      <c r="AB33" s="20"/>
    </row>
    <row r="34" spans="1:28">
      <c r="A34" s="103" t="s">
        <v>57</v>
      </c>
      <c r="B34" s="44" t="s">
        <v>106</v>
      </c>
      <c r="C34" s="99" t="s">
        <v>137</v>
      </c>
      <c r="D34" s="104">
        <v>2</v>
      </c>
      <c r="E34" s="104">
        <v>0</v>
      </c>
      <c r="F34" s="104">
        <v>0</v>
      </c>
      <c r="G34" s="104">
        <v>0</v>
      </c>
      <c r="H34" s="104">
        <v>0</v>
      </c>
      <c r="I34" s="101"/>
      <c r="J34" s="148"/>
      <c r="K34" s="20"/>
      <c r="L34" s="148"/>
      <c r="M34" s="20"/>
      <c r="N34" s="148"/>
      <c r="O34" s="20"/>
      <c r="P34" s="148"/>
      <c r="Q34" s="20"/>
      <c r="R34" s="148"/>
      <c r="S34" s="20"/>
      <c r="T34" s="18">
        <f t="shared" ref="T34:T41" si="3">Exchange_Rate</f>
        <v>17.2315</v>
      </c>
      <c r="U3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4" s="21"/>
      <c r="AA34" s="102">
        <f>SUM(T_SUP_OP115[[#This Row],[(S)
Total Cost Y1
((H*R)+I)*A]:[(W)
Total Cost Y5
((P*R)+Q)*E]])*(1+T_SUP_OP115[[#This Row],[(X)
Markup %]])</f>
        <v>0</v>
      </c>
      <c r="AB34" s="20"/>
    </row>
    <row r="35" spans="1:28" ht="20.65">
      <c r="A35" s="103" t="s">
        <v>58</v>
      </c>
      <c r="B35" s="44" t="s">
        <v>102</v>
      </c>
      <c r="C35" s="99" t="s">
        <v>138</v>
      </c>
      <c r="D35" s="104">
        <v>0</v>
      </c>
      <c r="E35" s="104">
        <v>1</v>
      </c>
      <c r="F35" s="104">
        <v>1</v>
      </c>
      <c r="G35" s="104">
        <v>1</v>
      </c>
      <c r="H35" s="104">
        <v>1</v>
      </c>
      <c r="I35" s="101"/>
      <c r="J35" s="148"/>
      <c r="K35" s="20"/>
      <c r="L35" s="148"/>
      <c r="M35" s="20"/>
      <c r="N35" s="148"/>
      <c r="O35" s="20"/>
      <c r="P35" s="148"/>
      <c r="Q35" s="20"/>
      <c r="R35" s="148"/>
      <c r="S35" s="20"/>
      <c r="T35" s="18">
        <f t="shared" si="3"/>
        <v>17.2315</v>
      </c>
      <c r="U3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5" s="21"/>
      <c r="AA35" s="102">
        <f>SUM(T_SUP_OP115[[#This Row],[(S)
Total Cost Y1
((H*R)+I)*A]:[(W)
Total Cost Y5
((P*R)+Q)*E]])*(1+T_SUP_OP115[[#This Row],[(X)
Markup %]])</f>
        <v>0</v>
      </c>
      <c r="AB35" s="20"/>
    </row>
    <row r="36" spans="1:28" ht="20.65">
      <c r="A36" s="103" t="s">
        <v>58</v>
      </c>
      <c r="B36" s="44" t="s">
        <v>104</v>
      </c>
      <c r="C36" s="99" t="s">
        <v>139</v>
      </c>
      <c r="D36" s="104">
        <v>0</v>
      </c>
      <c r="E36" s="104">
        <v>1</v>
      </c>
      <c r="F36" s="104">
        <v>1</v>
      </c>
      <c r="G36" s="104">
        <v>1</v>
      </c>
      <c r="H36" s="104">
        <v>1</v>
      </c>
      <c r="I36" s="101"/>
      <c r="J36" s="148"/>
      <c r="K36" s="20"/>
      <c r="L36" s="148"/>
      <c r="M36" s="20"/>
      <c r="N36" s="148"/>
      <c r="O36" s="20"/>
      <c r="P36" s="148"/>
      <c r="Q36" s="20"/>
      <c r="R36" s="148"/>
      <c r="S36" s="20"/>
      <c r="T36" s="18">
        <f t="shared" si="3"/>
        <v>17.2315</v>
      </c>
      <c r="U3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6" s="21"/>
      <c r="AA36" s="102">
        <f>SUM(T_SUP_OP115[[#This Row],[(S)
Total Cost Y1
((H*R)+I)*A]:[(W)
Total Cost Y5
((P*R)+Q)*E]])*(1+T_SUP_OP115[[#This Row],[(X)
Markup %]])</f>
        <v>0</v>
      </c>
      <c r="AB36" s="20"/>
    </row>
    <row r="37" spans="1:28" ht="20.65">
      <c r="A37" s="103" t="s">
        <v>58</v>
      </c>
      <c r="B37" s="44" t="s">
        <v>106</v>
      </c>
      <c r="C37" s="99" t="s">
        <v>140</v>
      </c>
      <c r="D37" s="104">
        <v>0</v>
      </c>
      <c r="E37" s="104">
        <v>1</v>
      </c>
      <c r="F37" s="104">
        <v>1</v>
      </c>
      <c r="G37" s="104">
        <v>1</v>
      </c>
      <c r="H37" s="104">
        <v>1</v>
      </c>
      <c r="I37" s="101"/>
      <c r="J37" s="148"/>
      <c r="K37" s="20"/>
      <c r="L37" s="148"/>
      <c r="M37" s="20"/>
      <c r="N37" s="148"/>
      <c r="O37" s="20"/>
      <c r="P37" s="148"/>
      <c r="Q37" s="20"/>
      <c r="R37" s="148"/>
      <c r="S37" s="20"/>
      <c r="T37" s="18">
        <f t="shared" si="3"/>
        <v>17.2315</v>
      </c>
      <c r="U3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7" s="21"/>
      <c r="AA37" s="102">
        <f>SUM(T_SUP_OP115[[#This Row],[(S)
Total Cost Y1
((H*R)+I)*A]:[(W)
Total Cost Y5
((P*R)+Q)*E]])*(1+T_SUP_OP115[[#This Row],[(X)
Markup %]])</f>
        <v>0</v>
      </c>
      <c r="AB37" s="20"/>
    </row>
    <row r="38" spans="1:28" ht="20.65">
      <c r="A38" s="103" t="s">
        <v>59</v>
      </c>
      <c r="B38" s="44" t="s">
        <v>102</v>
      </c>
      <c r="C38" s="99" t="s">
        <v>138</v>
      </c>
      <c r="D38" s="104">
        <v>0</v>
      </c>
      <c r="E38" s="104">
        <v>1</v>
      </c>
      <c r="F38" s="104">
        <v>1</v>
      </c>
      <c r="G38" s="104">
        <v>1</v>
      </c>
      <c r="H38" s="104">
        <v>1</v>
      </c>
      <c r="I38" s="101"/>
      <c r="J38" s="148"/>
      <c r="K38" s="20"/>
      <c r="L38" s="148"/>
      <c r="M38" s="20"/>
      <c r="N38" s="148"/>
      <c r="O38" s="20"/>
      <c r="P38" s="148"/>
      <c r="Q38" s="20"/>
      <c r="R38" s="148"/>
      <c r="S38" s="20"/>
      <c r="T38" s="18">
        <f t="shared" si="3"/>
        <v>17.2315</v>
      </c>
      <c r="U3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8" s="21"/>
      <c r="AA38" s="102">
        <f>SUM(T_SUP_OP115[[#This Row],[(S)
Total Cost Y1
((H*R)+I)*A]:[(W)
Total Cost Y5
((P*R)+Q)*E]])*(1+T_SUP_OP115[[#This Row],[(X)
Markup %]])</f>
        <v>0</v>
      </c>
      <c r="AB38" s="20"/>
    </row>
    <row r="39" spans="1:28" ht="20.65">
      <c r="A39" s="103" t="s">
        <v>59</v>
      </c>
      <c r="B39" s="44" t="s">
        <v>104</v>
      </c>
      <c r="C39" s="99" t="s">
        <v>139</v>
      </c>
      <c r="D39" s="104">
        <v>0</v>
      </c>
      <c r="E39" s="104">
        <v>1</v>
      </c>
      <c r="F39" s="104">
        <v>1</v>
      </c>
      <c r="G39" s="104">
        <v>1</v>
      </c>
      <c r="H39" s="104">
        <v>1</v>
      </c>
      <c r="I39" s="101"/>
      <c r="J39" s="148"/>
      <c r="K39" s="20"/>
      <c r="L39" s="148"/>
      <c r="M39" s="20"/>
      <c r="N39" s="148"/>
      <c r="O39" s="20"/>
      <c r="P39" s="148"/>
      <c r="Q39" s="20"/>
      <c r="R39" s="148"/>
      <c r="S39" s="20"/>
      <c r="T39" s="18">
        <f t="shared" si="3"/>
        <v>17.2315</v>
      </c>
      <c r="U3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3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3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3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3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39" s="21"/>
      <c r="AA39" s="102">
        <f>SUM(T_SUP_OP115[[#This Row],[(S)
Total Cost Y1
((H*R)+I)*A]:[(W)
Total Cost Y5
((P*R)+Q)*E]])*(1+T_SUP_OP115[[#This Row],[(X)
Markup %]])</f>
        <v>0</v>
      </c>
      <c r="AB39" s="20"/>
    </row>
    <row r="40" spans="1:28" ht="20.65">
      <c r="A40" s="103" t="s">
        <v>59</v>
      </c>
      <c r="B40" s="44" t="s">
        <v>106</v>
      </c>
      <c r="C40" s="99" t="s">
        <v>140</v>
      </c>
      <c r="D40" s="104">
        <v>0</v>
      </c>
      <c r="E40" s="104">
        <v>1</v>
      </c>
      <c r="F40" s="104">
        <v>1</v>
      </c>
      <c r="G40" s="104">
        <v>1</v>
      </c>
      <c r="H40" s="104">
        <v>1</v>
      </c>
      <c r="I40" s="101"/>
      <c r="J40" s="148"/>
      <c r="K40" s="20"/>
      <c r="L40" s="148"/>
      <c r="M40" s="20"/>
      <c r="N40" s="148"/>
      <c r="O40" s="20"/>
      <c r="P40" s="148"/>
      <c r="Q40" s="20"/>
      <c r="R40" s="148"/>
      <c r="S40" s="20"/>
      <c r="T40" s="18">
        <f t="shared" si="3"/>
        <v>17.2315</v>
      </c>
      <c r="U4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0" s="21"/>
      <c r="AA40" s="102">
        <f>SUM(T_SUP_OP115[[#This Row],[(S)
Total Cost Y1
((H*R)+I)*A]:[(W)
Total Cost Y5
((P*R)+Q)*E]])*(1+T_SUP_OP115[[#This Row],[(X)
Markup %]])</f>
        <v>0</v>
      </c>
      <c r="AB40" s="20"/>
    </row>
    <row r="41" spans="1:28">
      <c r="A41" s="98" t="s">
        <v>59</v>
      </c>
      <c r="B41" s="44" t="s">
        <v>108</v>
      </c>
      <c r="C41" s="99" t="s">
        <v>141</v>
      </c>
      <c r="D41" s="104">
        <v>0</v>
      </c>
      <c r="E41" s="104">
        <v>1</v>
      </c>
      <c r="F41" s="104">
        <v>1</v>
      </c>
      <c r="G41" s="104">
        <v>1</v>
      </c>
      <c r="H41" s="104">
        <v>1</v>
      </c>
      <c r="I41" s="101"/>
      <c r="J41" s="148"/>
      <c r="K41" s="20"/>
      <c r="L41" s="148"/>
      <c r="M41" s="20"/>
      <c r="N41" s="148"/>
      <c r="O41" s="20"/>
      <c r="P41" s="148"/>
      <c r="Q41" s="20"/>
      <c r="R41" s="148"/>
      <c r="S41" s="20"/>
      <c r="T41" s="18">
        <f t="shared" si="3"/>
        <v>17.2315</v>
      </c>
      <c r="U4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1" s="21"/>
      <c r="AA41" s="102">
        <f>SUM(T_SUP_OP115[[#This Row],[(S)
Total Cost Y1
((H*R)+I)*A]:[(W)
Total Cost Y5
((P*R)+Q)*E]])*(1+T_SUP_OP115[[#This Row],[(X)
Markup %]])</f>
        <v>0</v>
      </c>
      <c r="AB41" s="20"/>
    </row>
    <row r="42" spans="1:28">
      <c r="A42" s="98" t="s">
        <v>60</v>
      </c>
      <c r="B42" s="44" t="s">
        <v>102</v>
      </c>
      <c r="C42" s="99" t="s">
        <v>138</v>
      </c>
      <c r="D42" s="104">
        <v>0</v>
      </c>
      <c r="E42" s="104">
        <v>1</v>
      </c>
      <c r="F42" s="104">
        <v>1</v>
      </c>
      <c r="G42" s="104">
        <v>1</v>
      </c>
      <c r="H42" s="104">
        <v>1</v>
      </c>
      <c r="I42" s="101"/>
      <c r="J42" s="148"/>
      <c r="K42" s="20"/>
      <c r="L42" s="148"/>
      <c r="M42" s="20"/>
      <c r="N42" s="148"/>
      <c r="O42" s="20"/>
      <c r="P42" s="148"/>
      <c r="Q42" s="20"/>
      <c r="R42" s="148"/>
      <c r="S42" s="20"/>
      <c r="T42" s="18">
        <f t="shared" si="0"/>
        <v>17.2315</v>
      </c>
      <c r="U4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2" s="21"/>
      <c r="AA42" s="102">
        <f>SUM(T_SUP_OP115[[#This Row],[(S)
Total Cost Y1
((H*R)+I)*A]:[(W)
Total Cost Y5
((P*R)+Q)*E]])*(1+T_SUP_OP115[[#This Row],[(X)
Markup %]])</f>
        <v>0</v>
      </c>
      <c r="AB42" s="20"/>
    </row>
    <row r="43" spans="1:28">
      <c r="A43" s="98" t="s">
        <v>60</v>
      </c>
      <c r="B43" s="44" t="s">
        <v>104</v>
      </c>
      <c r="C43" s="99" t="s">
        <v>139</v>
      </c>
      <c r="D43" s="104">
        <v>0</v>
      </c>
      <c r="E43" s="104">
        <v>1</v>
      </c>
      <c r="F43" s="104">
        <v>1</v>
      </c>
      <c r="G43" s="104">
        <v>1</v>
      </c>
      <c r="H43" s="104">
        <v>1</v>
      </c>
      <c r="I43" s="101"/>
      <c r="J43" s="148"/>
      <c r="K43" s="20"/>
      <c r="L43" s="148"/>
      <c r="M43" s="20"/>
      <c r="N43" s="148"/>
      <c r="O43" s="20"/>
      <c r="P43" s="148"/>
      <c r="Q43" s="20"/>
      <c r="R43" s="148"/>
      <c r="S43" s="20"/>
      <c r="T43" s="18">
        <f t="shared" si="0"/>
        <v>17.2315</v>
      </c>
      <c r="U4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3" s="21"/>
      <c r="AA43" s="102">
        <f>SUM(T_SUP_OP115[[#This Row],[(S)
Total Cost Y1
((H*R)+I)*A]:[(W)
Total Cost Y5
((P*R)+Q)*E]])*(1+T_SUP_OP115[[#This Row],[(X)
Markup %]])</f>
        <v>0</v>
      </c>
      <c r="AB43" s="20"/>
    </row>
    <row r="44" spans="1:28">
      <c r="A44" s="98" t="s">
        <v>60</v>
      </c>
      <c r="B44" s="44" t="s">
        <v>106</v>
      </c>
      <c r="C44" s="99" t="s">
        <v>140</v>
      </c>
      <c r="D44" s="104">
        <v>0</v>
      </c>
      <c r="E44" s="104">
        <v>1</v>
      </c>
      <c r="F44" s="104">
        <v>1</v>
      </c>
      <c r="G44" s="104">
        <v>1</v>
      </c>
      <c r="H44" s="104">
        <v>1</v>
      </c>
      <c r="I44" s="101"/>
      <c r="J44" s="148"/>
      <c r="K44" s="20"/>
      <c r="L44" s="148"/>
      <c r="M44" s="20"/>
      <c r="N44" s="148"/>
      <c r="O44" s="20"/>
      <c r="P44" s="148"/>
      <c r="Q44" s="20"/>
      <c r="R44" s="148"/>
      <c r="S44" s="20"/>
      <c r="T44" s="18">
        <f t="shared" si="0"/>
        <v>17.2315</v>
      </c>
      <c r="U4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4" s="21"/>
      <c r="AA44" s="102">
        <f>SUM(T_SUP_OP115[[#This Row],[(S)
Total Cost Y1
((H*R)+I)*A]:[(W)
Total Cost Y5
((P*R)+Q)*E]])*(1+T_SUP_OP115[[#This Row],[(X)
Markup %]])</f>
        <v>0</v>
      </c>
      <c r="AB44" s="20"/>
    </row>
    <row r="45" spans="1:28">
      <c r="A45" s="98" t="s">
        <v>60</v>
      </c>
      <c r="B45" s="44" t="s">
        <v>108</v>
      </c>
      <c r="C45" s="99" t="s">
        <v>141</v>
      </c>
      <c r="D45" s="104">
        <v>0</v>
      </c>
      <c r="E45" s="104">
        <v>1</v>
      </c>
      <c r="F45" s="104">
        <v>1</v>
      </c>
      <c r="G45" s="104">
        <v>1</v>
      </c>
      <c r="H45" s="104">
        <v>1</v>
      </c>
      <c r="I45" s="101"/>
      <c r="J45" s="148"/>
      <c r="K45" s="20"/>
      <c r="L45" s="148"/>
      <c r="M45" s="20"/>
      <c r="N45" s="148"/>
      <c r="O45" s="20"/>
      <c r="P45" s="148"/>
      <c r="Q45" s="20"/>
      <c r="R45" s="148"/>
      <c r="S45" s="20"/>
      <c r="T45" s="18">
        <f t="shared" si="0"/>
        <v>17.2315</v>
      </c>
      <c r="U4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5" s="21"/>
      <c r="AA45" s="102">
        <f>SUM(T_SUP_OP115[[#This Row],[(S)
Total Cost Y1
((H*R)+I)*A]:[(W)
Total Cost Y5
((P*R)+Q)*E]])*(1+T_SUP_OP115[[#This Row],[(X)
Markup %]])</f>
        <v>0</v>
      </c>
      <c r="AB45" s="20"/>
    </row>
    <row r="46" spans="1:28">
      <c r="A46" s="98" t="s">
        <v>60</v>
      </c>
      <c r="B46" s="44" t="s">
        <v>110</v>
      </c>
      <c r="C46" s="99" t="s">
        <v>142</v>
      </c>
      <c r="D46" s="104">
        <v>0</v>
      </c>
      <c r="E46" s="104">
        <v>1</v>
      </c>
      <c r="F46" s="104">
        <v>1</v>
      </c>
      <c r="G46" s="104">
        <v>1</v>
      </c>
      <c r="H46" s="104">
        <v>1</v>
      </c>
      <c r="I46" s="101"/>
      <c r="J46" s="148"/>
      <c r="K46" s="20"/>
      <c r="L46" s="148"/>
      <c r="M46" s="20"/>
      <c r="N46" s="148"/>
      <c r="O46" s="20"/>
      <c r="P46" s="148"/>
      <c r="Q46" s="20"/>
      <c r="R46" s="148"/>
      <c r="S46" s="20"/>
      <c r="T46" s="18">
        <f t="shared" si="0"/>
        <v>17.2315</v>
      </c>
      <c r="U4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6" s="21"/>
      <c r="AA46" s="102">
        <f>SUM(T_SUP_OP115[[#This Row],[(S)
Total Cost Y1
((H*R)+I)*A]:[(W)
Total Cost Y5
((P*R)+Q)*E]])*(1+T_SUP_OP115[[#This Row],[(X)
Markup %]])</f>
        <v>0</v>
      </c>
      <c r="AB46" s="20"/>
    </row>
    <row r="47" spans="1:28">
      <c r="A47" s="98" t="s">
        <v>60</v>
      </c>
      <c r="B47" s="44" t="s">
        <v>112</v>
      </c>
      <c r="C47" s="99" t="s">
        <v>143</v>
      </c>
      <c r="D47" s="104">
        <v>0</v>
      </c>
      <c r="E47" s="104">
        <v>1</v>
      </c>
      <c r="F47" s="104">
        <v>1</v>
      </c>
      <c r="G47" s="104">
        <v>1</v>
      </c>
      <c r="H47" s="104">
        <v>1</v>
      </c>
      <c r="I47" s="101"/>
      <c r="J47" s="148"/>
      <c r="K47" s="20"/>
      <c r="L47" s="148"/>
      <c r="M47" s="20"/>
      <c r="N47" s="148"/>
      <c r="O47" s="20"/>
      <c r="P47" s="148"/>
      <c r="Q47" s="20"/>
      <c r="R47" s="148"/>
      <c r="S47" s="20"/>
      <c r="T47" s="18">
        <f t="shared" si="0"/>
        <v>17.2315</v>
      </c>
      <c r="U4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7" s="21"/>
      <c r="AA47" s="102">
        <f>SUM(T_SUP_OP115[[#This Row],[(S)
Total Cost Y1
((H*R)+I)*A]:[(W)
Total Cost Y5
((P*R)+Q)*E]])*(1+T_SUP_OP115[[#This Row],[(X)
Markup %]])</f>
        <v>0</v>
      </c>
      <c r="AB47" s="20"/>
    </row>
    <row r="48" spans="1:28">
      <c r="A48" s="98" t="s">
        <v>60</v>
      </c>
      <c r="B48" s="44" t="s">
        <v>114</v>
      </c>
      <c r="C48" s="99" t="s">
        <v>144</v>
      </c>
      <c r="D48" s="104">
        <v>0</v>
      </c>
      <c r="E48" s="104">
        <v>1</v>
      </c>
      <c r="F48" s="104">
        <v>1</v>
      </c>
      <c r="G48" s="104">
        <v>1</v>
      </c>
      <c r="H48" s="104">
        <v>1</v>
      </c>
      <c r="I48" s="101"/>
      <c r="J48" s="148"/>
      <c r="K48" s="20"/>
      <c r="L48" s="148"/>
      <c r="M48" s="20"/>
      <c r="N48" s="148"/>
      <c r="O48" s="20"/>
      <c r="P48" s="148"/>
      <c r="Q48" s="20"/>
      <c r="R48" s="148"/>
      <c r="S48" s="20"/>
      <c r="T48" s="18">
        <f t="shared" si="0"/>
        <v>17.2315</v>
      </c>
      <c r="U4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8" s="21"/>
      <c r="AA48" s="102">
        <f>SUM(T_SUP_OP115[[#This Row],[(S)
Total Cost Y1
((H*R)+I)*A]:[(W)
Total Cost Y5
((P*R)+Q)*E]])*(1+T_SUP_OP115[[#This Row],[(X)
Markup %]])</f>
        <v>0</v>
      </c>
      <c r="AB48" s="20"/>
    </row>
    <row r="49" spans="1:28">
      <c r="A49" s="98" t="s">
        <v>60</v>
      </c>
      <c r="B49" s="44" t="s">
        <v>116</v>
      </c>
      <c r="C49" s="99" t="s">
        <v>145</v>
      </c>
      <c r="D49" s="104">
        <v>1</v>
      </c>
      <c r="E49" s="104">
        <v>1</v>
      </c>
      <c r="F49" s="104">
        <v>1</v>
      </c>
      <c r="G49" s="104">
        <v>1</v>
      </c>
      <c r="H49" s="104">
        <v>1</v>
      </c>
      <c r="I49" s="101"/>
      <c r="J49" s="148"/>
      <c r="K49" s="20"/>
      <c r="L49" s="148"/>
      <c r="M49" s="20"/>
      <c r="N49" s="148"/>
      <c r="O49" s="20"/>
      <c r="P49" s="148"/>
      <c r="Q49" s="20"/>
      <c r="R49" s="148"/>
      <c r="S49" s="20"/>
      <c r="T49" s="18">
        <f t="shared" si="0"/>
        <v>17.2315</v>
      </c>
      <c r="U4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4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4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4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4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49" s="21"/>
      <c r="AA49" s="102">
        <f>SUM(T_SUP_OP115[[#This Row],[(S)
Total Cost Y1
((H*R)+I)*A]:[(W)
Total Cost Y5
((P*R)+Q)*E]])*(1+T_SUP_OP115[[#This Row],[(X)
Markup %]])</f>
        <v>0</v>
      </c>
      <c r="AB49" s="20"/>
    </row>
    <row r="50" spans="1:28">
      <c r="A50" s="98" t="s">
        <v>60</v>
      </c>
      <c r="B50" s="44" t="s">
        <v>118</v>
      </c>
      <c r="C50" s="99" t="s">
        <v>146</v>
      </c>
      <c r="D50" s="104">
        <v>1</v>
      </c>
      <c r="E50" s="104">
        <v>1</v>
      </c>
      <c r="F50" s="104">
        <v>1</v>
      </c>
      <c r="G50" s="104">
        <v>1</v>
      </c>
      <c r="H50" s="104">
        <v>1</v>
      </c>
      <c r="I50" s="101"/>
      <c r="J50" s="148"/>
      <c r="K50" s="20"/>
      <c r="L50" s="148"/>
      <c r="M50" s="20"/>
      <c r="N50" s="148"/>
      <c r="O50" s="20"/>
      <c r="P50" s="148"/>
      <c r="Q50" s="20"/>
      <c r="R50" s="148"/>
      <c r="S50" s="20"/>
      <c r="T50" s="18">
        <f t="shared" si="0"/>
        <v>17.2315</v>
      </c>
      <c r="U5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0" s="21"/>
      <c r="AA50" s="102">
        <f>SUM(T_SUP_OP115[[#This Row],[(S)
Total Cost Y1
((H*R)+I)*A]:[(W)
Total Cost Y5
((P*R)+Q)*E]])*(1+T_SUP_OP115[[#This Row],[(X)
Markup %]])</f>
        <v>0</v>
      </c>
      <c r="AB50" s="20"/>
    </row>
    <row r="51" spans="1:28">
      <c r="A51" s="98" t="s">
        <v>61</v>
      </c>
      <c r="B51" s="44" t="s">
        <v>102</v>
      </c>
      <c r="C51" s="99" t="s">
        <v>147</v>
      </c>
      <c r="D51" s="104">
        <v>0</v>
      </c>
      <c r="E51" s="104">
        <v>0</v>
      </c>
      <c r="F51" s="104">
        <v>0</v>
      </c>
      <c r="G51" s="104">
        <v>0</v>
      </c>
      <c r="H51" s="104">
        <v>8</v>
      </c>
      <c r="I51" s="101"/>
      <c r="J51" s="148"/>
      <c r="K51" s="20"/>
      <c r="L51" s="148"/>
      <c r="M51" s="20"/>
      <c r="N51" s="148"/>
      <c r="O51" s="20"/>
      <c r="P51" s="148"/>
      <c r="Q51" s="20"/>
      <c r="R51" s="148"/>
      <c r="S51" s="20"/>
      <c r="T51" s="18">
        <f>Exchange_Rate</f>
        <v>17.2315</v>
      </c>
      <c r="U5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1" s="21"/>
      <c r="AA51" s="102">
        <f>SUM(T_SUP_OP115[[#This Row],[(S)
Total Cost Y1
((H*R)+I)*A]:[(W)
Total Cost Y5
((P*R)+Q)*E]])*(1+T_SUP_OP115[[#This Row],[(X)
Markup %]])</f>
        <v>0</v>
      </c>
      <c r="AB51" s="20"/>
    </row>
    <row r="52" spans="1:28">
      <c r="A52" s="98" t="s">
        <v>62</v>
      </c>
      <c r="B52" s="44" t="s">
        <v>104</v>
      </c>
      <c r="C52" s="99" t="s">
        <v>148</v>
      </c>
      <c r="D52" s="104">
        <v>0</v>
      </c>
      <c r="E52" s="104">
        <v>0</v>
      </c>
      <c r="F52" s="104">
        <v>0</v>
      </c>
      <c r="G52" s="104">
        <v>0</v>
      </c>
      <c r="H52" s="104">
        <v>4</v>
      </c>
      <c r="I52" s="101"/>
      <c r="J52" s="148"/>
      <c r="K52" s="20"/>
      <c r="L52" s="148"/>
      <c r="M52" s="20"/>
      <c r="N52" s="148"/>
      <c r="O52" s="20"/>
      <c r="P52" s="148"/>
      <c r="Q52" s="20"/>
      <c r="R52" s="148"/>
      <c r="S52" s="20"/>
      <c r="T52" s="18">
        <f t="shared" si="0"/>
        <v>17.2315</v>
      </c>
      <c r="U5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2" s="21"/>
      <c r="AA52" s="102">
        <f>SUM(T_SUP_OP115[[#This Row],[(S)
Total Cost Y1
((H*R)+I)*A]:[(W)
Total Cost Y5
((P*R)+Q)*E]])*(1+T_SUP_OP115[[#This Row],[(X)
Markup %]])</f>
        <v>0</v>
      </c>
      <c r="AB52" s="20"/>
    </row>
    <row r="53" spans="1:28">
      <c r="A53" s="98" t="s">
        <v>63</v>
      </c>
      <c r="B53" s="44" t="s">
        <v>106</v>
      </c>
      <c r="C53" s="99" t="s">
        <v>149</v>
      </c>
      <c r="D53" s="104">
        <v>0</v>
      </c>
      <c r="E53" s="104">
        <v>0</v>
      </c>
      <c r="F53" s="104">
        <v>0</v>
      </c>
      <c r="G53" s="104">
        <v>0</v>
      </c>
      <c r="H53" s="104">
        <v>4</v>
      </c>
      <c r="I53" s="101"/>
      <c r="J53" s="148"/>
      <c r="K53" s="20"/>
      <c r="L53" s="148"/>
      <c r="M53" s="20"/>
      <c r="N53" s="148"/>
      <c r="O53" s="20"/>
      <c r="P53" s="148"/>
      <c r="Q53" s="20"/>
      <c r="R53" s="148"/>
      <c r="S53" s="20"/>
      <c r="T53" s="18">
        <f t="shared" si="0"/>
        <v>17.2315</v>
      </c>
      <c r="U5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3" s="21"/>
      <c r="AA53" s="102">
        <f>SUM(T_SUP_OP115[[#This Row],[(S)
Total Cost Y1
((H*R)+I)*A]:[(W)
Total Cost Y5
((P*R)+Q)*E]])*(1+T_SUP_OP115[[#This Row],[(X)
Markup %]])</f>
        <v>0</v>
      </c>
      <c r="AB53" s="20"/>
    </row>
    <row r="54" spans="1:28">
      <c r="A54" s="98" t="s">
        <v>64</v>
      </c>
      <c r="B54" s="44" t="s">
        <v>102</v>
      </c>
      <c r="C54" s="99" t="s">
        <v>150</v>
      </c>
      <c r="D54" s="104">
        <v>0</v>
      </c>
      <c r="E54" s="104">
        <v>0</v>
      </c>
      <c r="F54" s="104">
        <v>10</v>
      </c>
      <c r="G54" s="104">
        <v>0</v>
      </c>
      <c r="H54" s="104">
        <v>0</v>
      </c>
      <c r="I54" s="101"/>
      <c r="J54" s="148"/>
      <c r="K54" s="20"/>
      <c r="L54" s="148"/>
      <c r="M54" s="20"/>
      <c r="N54" s="148"/>
      <c r="O54" s="20"/>
      <c r="P54" s="148"/>
      <c r="Q54" s="20"/>
      <c r="R54" s="148"/>
      <c r="S54" s="20"/>
      <c r="T54" s="18">
        <f t="shared" si="0"/>
        <v>17.2315</v>
      </c>
      <c r="U5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4" s="21"/>
      <c r="AA54" s="102">
        <f>SUM(T_SUP_OP115[[#This Row],[(S)
Total Cost Y1
((H*R)+I)*A]:[(W)
Total Cost Y5
((P*R)+Q)*E]])*(1+T_SUP_OP115[[#This Row],[(X)
Markup %]])</f>
        <v>0</v>
      </c>
      <c r="AB54" s="20"/>
    </row>
    <row r="55" spans="1:28">
      <c r="A55" s="98" t="s">
        <v>64</v>
      </c>
      <c r="B55" s="44" t="s">
        <v>104</v>
      </c>
      <c r="C55" s="99" t="s">
        <v>151</v>
      </c>
      <c r="D55" s="104">
        <v>0</v>
      </c>
      <c r="E55" s="104">
        <v>0</v>
      </c>
      <c r="F55" s="104">
        <v>10</v>
      </c>
      <c r="G55" s="104">
        <v>0</v>
      </c>
      <c r="H55" s="104">
        <v>0</v>
      </c>
      <c r="I55" s="101"/>
      <c r="J55" s="148"/>
      <c r="K55" s="20"/>
      <c r="L55" s="148"/>
      <c r="M55" s="20"/>
      <c r="N55" s="148"/>
      <c r="O55" s="20"/>
      <c r="P55" s="148"/>
      <c r="Q55" s="20"/>
      <c r="R55" s="148"/>
      <c r="S55" s="20"/>
      <c r="T55" s="18">
        <f>Exchange_Rate</f>
        <v>17.2315</v>
      </c>
      <c r="U5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5" s="21"/>
      <c r="AA55" s="102">
        <f>SUM(T_SUP_OP115[[#This Row],[(S)
Total Cost Y1
((H*R)+I)*A]:[(W)
Total Cost Y5
((P*R)+Q)*E]])*(1+T_SUP_OP115[[#This Row],[(X)
Markup %]])</f>
        <v>0</v>
      </c>
      <c r="AB55" s="20"/>
    </row>
    <row r="56" spans="1:28">
      <c r="A56" s="98" t="s">
        <v>64</v>
      </c>
      <c r="B56" s="44" t="s">
        <v>106</v>
      </c>
      <c r="C56" s="99" t="s">
        <v>152</v>
      </c>
      <c r="D56" s="104">
        <v>0</v>
      </c>
      <c r="E56" s="104">
        <v>0</v>
      </c>
      <c r="F56" s="104">
        <v>6</v>
      </c>
      <c r="G56" s="104">
        <v>0</v>
      </c>
      <c r="H56" s="104">
        <v>0</v>
      </c>
      <c r="I56" s="101"/>
      <c r="J56" s="148"/>
      <c r="K56" s="20"/>
      <c r="L56" s="148"/>
      <c r="M56" s="20"/>
      <c r="N56" s="148"/>
      <c r="O56" s="20"/>
      <c r="P56" s="148"/>
      <c r="Q56" s="20"/>
      <c r="R56" s="148"/>
      <c r="S56" s="20"/>
      <c r="T56" s="18">
        <f t="shared" ref="T56" si="4">Exchange_Rate</f>
        <v>17.2315</v>
      </c>
      <c r="U5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6" s="21"/>
      <c r="AA56" s="102">
        <f>SUM(T_SUP_OP115[[#This Row],[(S)
Total Cost Y1
((H*R)+I)*A]:[(W)
Total Cost Y5
((P*R)+Q)*E]])*(1+T_SUP_OP115[[#This Row],[(X)
Markup %]])</f>
        <v>0</v>
      </c>
      <c r="AB56" s="20"/>
    </row>
    <row r="57" spans="1:28">
      <c r="A57" s="98" t="s">
        <v>64</v>
      </c>
      <c r="B57" s="44" t="s">
        <v>108</v>
      </c>
      <c r="C57" s="99" t="s">
        <v>153</v>
      </c>
      <c r="D57" s="104">
        <v>0</v>
      </c>
      <c r="E57" s="104">
        <v>0</v>
      </c>
      <c r="F57" s="104">
        <v>6</v>
      </c>
      <c r="G57" s="104">
        <v>0</v>
      </c>
      <c r="H57" s="104">
        <v>0</v>
      </c>
      <c r="I57" s="101"/>
      <c r="J57" s="148"/>
      <c r="K57" s="20"/>
      <c r="L57" s="148"/>
      <c r="M57" s="20"/>
      <c r="N57" s="148"/>
      <c r="O57" s="20"/>
      <c r="P57" s="148"/>
      <c r="Q57" s="20"/>
      <c r="R57" s="148"/>
      <c r="S57" s="20"/>
      <c r="T57" s="18">
        <f t="shared" ref="T57:T76" si="5">Exchange_Rate</f>
        <v>17.2315</v>
      </c>
      <c r="U5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7" s="21"/>
      <c r="AA57" s="102">
        <f>SUM(T_SUP_OP115[[#This Row],[(S)
Total Cost Y1
((H*R)+I)*A]:[(W)
Total Cost Y5
((P*R)+Q)*E]])*(1+T_SUP_OP115[[#This Row],[(X)
Markup %]])</f>
        <v>0</v>
      </c>
      <c r="AB57" s="20"/>
    </row>
    <row r="58" spans="1:28">
      <c r="A58" s="98" t="s">
        <v>64</v>
      </c>
      <c r="B58" s="44" t="s">
        <v>110</v>
      </c>
      <c r="C58" s="99" t="s">
        <v>154</v>
      </c>
      <c r="D58" s="104">
        <v>0</v>
      </c>
      <c r="E58" s="104">
        <v>0</v>
      </c>
      <c r="F58" s="104">
        <v>4</v>
      </c>
      <c r="G58" s="104">
        <v>0</v>
      </c>
      <c r="H58" s="104">
        <v>0</v>
      </c>
      <c r="I58" s="101"/>
      <c r="J58" s="148"/>
      <c r="K58" s="20"/>
      <c r="L58" s="148"/>
      <c r="M58" s="20"/>
      <c r="N58" s="148"/>
      <c r="O58" s="20"/>
      <c r="P58" s="148"/>
      <c r="Q58" s="20"/>
      <c r="R58" s="148"/>
      <c r="S58" s="20"/>
      <c r="T58" s="18">
        <f>Exchange_Rate</f>
        <v>17.2315</v>
      </c>
      <c r="U5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8" s="21"/>
      <c r="AA58" s="102">
        <f>SUM(T_SUP_OP115[[#This Row],[(S)
Total Cost Y1
((H*R)+I)*A]:[(W)
Total Cost Y5
((P*R)+Q)*E]])*(1+T_SUP_OP115[[#This Row],[(X)
Markup %]])</f>
        <v>0</v>
      </c>
      <c r="AB58" s="20"/>
    </row>
    <row r="59" spans="1:28">
      <c r="A59" s="98" t="s">
        <v>64</v>
      </c>
      <c r="B59" s="44" t="s">
        <v>112</v>
      </c>
      <c r="C59" s="99" t="s">
        <v>155</v>
      </c>
      <c r="D59" s="104">
        <v>0</v>
      </c>
      <c r="E59" s="104">
        <v>0</v>
      </c>
      <c r="F59" s="104">
        <v>4</v>
      </c>
      <c r="G59" s="104">
        <v>0</v>
      </c>
      <c r="H59" s="104">
        <v>0</v>
      </c>
      <c r="I59" s="101"/>
      <c r="J59" s="148"/>
      <c r="K59" s="20"/>
      <c r="L59" s="148"/>
      <c r="M59" s="20"/>
      <c r="N59" s="148"/>
      <c r="O59" s="20"/>
      <c r="P59" s="148"/>
      <c r="Q59" s="20"/>
      <c r="R59" s="148"/>
      <c r="S59" s="20"/>
      <c r="T59" s="18">
        <f>Exchange_Rate</f>
        <v>17.2315</v>
      </c>
      <c r="U5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5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5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5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5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59" s="21"/>
      <c r="AA59" s="102">
        <f>SUM(T_SUP_OP115[[#This Row],[(S)
Total Cost Y1
((H*R)+I)*A]:[(W)
Total Cost Y5
((P*R)+Q)*E]])*(1+T_SUP_OP115[[#This Row],[(X)
Markup %]])</f>
        <v>0</v>
      </c>
      <c r="AB59" s="20"/>
    </row>
    <row r="60" spans="1:28">
      <c r="A60" s="98" t="s">
        <v>64</v>
      </c>
      <c r="B60" s="44" t="s">
        <v>114</v>
      </c>
      <c r="C60" s="99" t="s">
        <v>156</v>
      </c>
      <c r="D60" s="104">
        <v>0</v>
      </c>
      <c r="E60" s="104">
        <v>0</v>
      </c>
      <c r="F60" s="104">
        <v>4</v>
      </c>
      <c r="G60" s="104">
        <v>0</v>
      </c>
      <c r="H60" s="104">
        <v>0</v>
      </c>
      <c r="I60" s="101"/>
      <c r="J60" s="148"/>
      <c r="K60" s="20"/>
      <c r="L60" s="148"/>
      <c r="M60" s="20"/>
      <c r="N60" s="148"/>
      <c r="O60" s="20"/>
      <c r="P60" s="148"/>
      <c r="Q60" s="20"/>
      <c r="R60" s="148"/>
      <c r="S60" s="20"/>
      <c r="T60" s="18">
        <f>Exchange_Rate</f>
        <v>17.2315</v>
      </c>
      <c r="U6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0" s="21"/>
      <c r="AA60" s="102">
        <f>SUM(T_SUP_OP115[[#This Row],[(S)
Total Cost Y1
((H*R)+I)*A]:[(W)
Total Cost Y5
((P*R)+Q)*E]])*(1+T_SUP_OP115[[#This Row],[(X)
Markup %]])</f>
        <v>0</v>
      </c>
      <c r="AB60" s="20"/>
    </row>
    <row r="61" spans="1:28">
      <c r="A61" s="43" t="s">
        <v>64</v>
      </c>
      <c r="B61" s="44" t="s">
        <v>116</v>
      </c>
      <c r="C61" s="99" t="s">
        <v>157</v>
      </c>
      <c r="D61" s="104">
        <v>0</v>
      </c>
      <c r="E61" s="104">
        <v>0</v>
      </c>
      <c r="F61" s="104">
        <v>4</v>
      </c>
      <c r="G61" s="104">
        <v>0</v>
      </c>
      <c r="H61" s="104">
        <v>0</v>
      </c>
      <c r="I61" s="101"/>
      <c r="J61" s="148"/>
      <c r="K61" s="20"/>
      <c r="L61" s="148"/>
      <c r="M61" s="20"/>
      <c r="N61" s="148"/>
      <c r="O61" s="20"/>
      <c r="P61" s="148"/>
      <c r="Q61" s="20"/>
      <c r="R61" s="148"/>
      <c r="S61" s="20"/>
      <c r="T61" s="18">
        <f>Exchange_Rate</f>
        <v>17.2315</v>
      </c>
      <c r="U6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1" s="21"/>
      <c r="AA61" s="102">
        <f>SUM(T_SUP_OP115[[#This Row],[(S)
Total Cost Y1
((H*R)+I)*A]:[(W)
Total Cost Y5
((P*R)+Q)*E]])*(1+T_SUP_OP115[[#This Row],[(X)
Markup %]])</f>
        <v>0</v>
      </c>
      <c r="AB61" s="20"/>
    </row>
    <row r="62" spans="1:28">
      <c r="A62" s="43" t="s">
        <v>64</v>
      </c>
      <c r="B62" s="44" t="s">
        <v>118</v>
      </c>
      <c r="C62" s="99" t="s">
        <v>158</v>
      </c>
      <c r="D62" s="104">
        <v>0</v>
      </c>
      <c r="E62" s="104">
        <v>0</v>
      </c>
      <c r="F62" s="104">
        <v>4</v>
      </c>
      <c r="G62" s="104">
        <v>0</v>
      </c>
      <c r="H62" s="104">
        <v>0</v>
      </c>
      <c r="I62" s="101"/>
      <c r="J62" s="148"/>
      <c r="K62" s="20"/>
      <c r="L62" s="148"/>
      <c r="M62" s="20"/>
      <c r="N62" s="148"/>
      <c r="O62" s="20"/>
      <c r="P62" s="148"/>
      <c r="Q62" s="20"/>
      <c r="R62" s="148"/>
      <c r="S62" s="20"/>
      <c r="T62" s="18">
        <f t="shared" si="5"/>
        <v>17.2315</v>
      </c>
      <c r="U6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2" s="21"/>
      <c r="AA62" s="102">
        <f>SUM(T_SUP_OP115[[#This Row],[(S)
Total Cost Y1
((H*R)+I)*A]:[(W)
Total Cost Y5
((P*R)+Q)*E]])*(1+T_SUP_OP115[[#This Row],[(X)
Markup %]])</f>
        <v>0</v>
      </c>
      <c r="AB62" s="20"/>
    </row>
    <row r="63" spans="1:28">
      <c r="A63" s="98" t="s">
        <v>65</v>
      </c>
      <c r="B63" s="44" t="s">
        <v>102</v>
      </c>
      <c r="C63" s="99" t="s">
        <v>159</v>
      </c>
      <c r="D63" s="104">
        <v>0</v>
      </c>
      <c r="E63" s="104">
        <v>0</v>
      </c>
      <c r="F63" s="104">
        <v>48</v>
      </c>
      <c r="G63" s="104">
        <v>0</v>
      </c>
      <c r="H63" s="104">
        <v>0</v>
      </c>
      <c r="I63" s="101"/>
      <c r="J63" s="148"/>
      <c r="K63" s="20"/>
      <c r="L63" s="148"/>
      <c r="M63" s="20"/>
      <c r="N63" s="148"/>
      <c r="O63" s="20"/>
      <c r="P63" s="148"/>
      <c r="Q63" s="20"/>
      <c r="R63" s="148"/>
      <c r="S63" s="20"/>
      <c r="T63" s="18">
        <f>Exchange_Rate</f>
        <v>17.2315</v>
      </c>
      <c r="U6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3" s="21"/>
      <c r="AA63" s="102">
        <f>SUM(T_SUP_OP115[[#This Row],[(S)
Total Cost Y1
((H*R)+I)*A]:[(W)
Total Cost Y5
((P*R)+Q)*E]])*(1+T_SUP_OP115[[#This Row],[(X)
Markup %]])</f>
        <v>0</v>
      </c>
      <c r="AB63" s="20"/>
    </row>
    <row r="64" spans="1:28">
      <c r="A64" s="98" t="s">
        <v>65</v>
      </c>
      <c r="B64" s="44" t="s">
        <v>104</v>
      </c>
      <c r="C64" s="99" t="s">
        <v>160</v>
      </c>
      <c r="D64" s="104">
        <v>0</v>
      </c>
      <c r="E64" s="104">
        <v>0</v>
      </c>
      <c r="F64" s="104">
        <v>32</v>
      </c>
      <c r="G64" s="104">
        <v>0</v>
      </c>
      <c r="H64" s="104">
        <v>0</v>
      </c>
      <c r="I64" s="101"/>
      <c r="J64" s="148"/>
      <c r="K64" s="20"/>
      <c r="L64" s="148"/>
      <c r="M64" s="20"/>
      <c r="N64" s="148"/>
      <c r="O64" s="20"/>
      <c r="P64" s="148"/>
      <c r="Q64" s="20"/>
      <c r="R64" s="148"/>
      <c r="S64" s="20"/>
      <c r="T64" s="18">
        <f>Exchange_Rate</f>
        <v>17.2315</v>
      </c>
      <c r="U6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4" s="21"/>
      <c r="AA64" s="102">
        <f>SUM(T_SUP_OP115[[#This Row],[(S)
Total Cost Y1
((H*R)+I)*A]:[(W)
Total Cost Y5
((P*R)+Q)*E]])*(1+T_SUP_OP115[[#This Row],[(X)
Markup %]])</f>
        <v>0</v>
      </c>
      <c r="AB64" s="20"/>
    </row>
    <row r="65" spans="1:28">
      <c r="A65" s="103" t="s">
        <v>65</v>
      </c>
      <c r="B65" s="44" t="s">
        <v>106</v>
      </c>
      <c r="C65" s="99" t="s">
        <v>161</v>
      </c>
      <c r="D65" s="104">
        <v>0</v>
      </c>
      <c r="E65" s="104">
        <v>0</v>
      </c>
      <c r="F65" s="104">
        <v>32</v>
      </c>
      <c r="G65" s="104">
        <v>0</v>
      </c>
      <c r="H65" s="104">
        <v>0</v>
      </c>
      <c r="I65" s="101"/>
      <c r="J65" s="148"/>
      <c r="K65" s="20"/>
      <c r="L65" s="148"/>
      <c r="M65" s="20"/>
      <c r="N65" s="148"/>
      <c r="O65" s="20"/>
      <c r="P65" s="148"/>
      <c r="Q65" s="20"/>
      <c r="R65" s="148"/>
      <c r="S65" s="20"/>
      <c r="T65" s="18">
        <f>Exchange_Rate</f>
        <v>17.2315</v>
      </c>
      <c r="U6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5" s="21"/>
      <c r="AA65" s="102">
        <f>SUM(T_SUP_OP115[[#This Row],[(S)
Total Cost Y1
((H*R)+I)*A]:[(W)
Total Cost Y5
((P*R)+Q)*E]])*(1+T_SUP_OP115[[#This Row],[(X)
Markup %]])</f>
        <v>0</v>
      </c>
      <c r="AB65" s="20"/>
    </row>
    <row r="66" spans="1:28">
      <c r="A66" s="43" t="s">
        <v>65</v>
      </c>
      <c r="B66" s="44" t="s">
        <v>108</v>
      </c>
      <c r="C66" s="99" t="s">
        <v>162</v>
      </c>
      <c r="D66" s="104">
        <v>0</v>
      </c>
      <c r="E66" s="104">
        <v>0</v>
      </c>
      <c r="F66" s="104">
        <v>16</v>
      </c>
      <c r="G66" s="104">
        <v>0</v>
      </c>
      <c r="H66" s="104">
        <v>0</v>
      </c>
      <c r="I66" s="101"/>
      <c r="J66" s="148"/>
      <c r="K66" s="20"/>
      <c r="L66" s="148"/>
      <c r="M66" s="20"/>
      <c r="N66" s="148"/>
      <c r="O66" s="20"/>
      <c r="P66" s="148"/>
      <c r="Q66" s="20"/>
      <c r="R66" s="148"/>
      <c r="S66" s="20"/>
      <c r="T66" s="18">
        <f t="shared" si="5"/>
        <v>17.2315</v>
      </c>
      <c r="U6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6" s="21"/>
      <c r="AA66" s="102">
        <f>SUM(T_SUP_OP115[[#This Row],[(S)
Total Cost Y1
((H*R)+I)*A]:[(W)
Total Cost Y5
((P*R)+Q)*E]])*(1+T_SUP_OP115[[#This Row],[(X)
Markup %]])</f>
        <v>0</v>
      </c>
      <c r="AB66" s="20"/>
    </row>
    <row r="67" spans="1:28">
      <c r="A67" s="43" t="s">
        <v>65</v>
      </c>
      <c r="B67" s="44" t="s">
        <v>110</v>
      </c>
      <c r="C67" s="99" t="s">
        <v>163</v>
      </c>
      <c r="D67" s="104">
        <v>0</v>
      </c>
      <c r="E67" s="104">
        <v>0</v>
      </c>
      <c r="F67" s="104">
        <v>8</v>
      </c>
      <c r="G67" s="104">
        <v>0</v>
      </c>
      <c r="H67" s="104">
        <v>0</v>
      </c>
      <c r="I67" s="101"/>
      <c r="J67" s="148"/>
      <c r="K67" s="20"/>
      <c r="L67" s="148"/>
      <c r="M67" s="20"/>
      <c r="N67" s="148"/>
      <c r="O67" s="20"/>
      <c r="P67" s="148"/>
      <c r="Q67" s="20"/>
      <c r="R67" s="148"/>
      <c r="S67" s="20"/>
      <c r="T67" s="18">
        <f t="shared" si="5"/>
        <v>17.2315</v>
      </c>
      <c r="U6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7" s="21"/>
      <c r="AA67" s="102">
        <f>SUM(T_SUP_OP115[[#This Row],[(S)
Total Cost Y1
((H*R)+I)*A]:[(W)
Total Cost Y5
((P*R)+Q)*E]])*(1+T_SUP_OP115[[#This Row],[(X)
Markup %]])</f>
        <v>0</v>
      </c>
      <c r="AB67" s="20"/>
    </row>
    <row r="68" spans="1:28">
      <c r="A68" s="43" t="s">
        <v>65</v>
      </c>
      <c r="B68" s="44" t="s">
        <v>112</v>
      </c>
      <c r="C68" s="99" t="s">
        <v>164</v>
      </c>
      <c r="D68" s="104">
        <v>0</v>
      </c>
      <c r="E68" s="104">
        <v>0</v>
      </c>
      <c r="F68" s="104">
        <v>8</v>
      </c>
      <c r="G68" s="104">
        <v>0</v>
      </c>
      <c r="H68" s="104">
        <v>0</v>
      </c>
      <c r="I68" s="101"/>
      <c r="J68" s="148"/>
      <c r="K68" s="20"/>
      <c r="L68" s="148"/>
      <c r="M68" s="20"/>
      <c r="N68" s="148"/>
      <c r="O68" s="20"/>
      <c r="P68" s="148"/>
      <c r="Q68" s="20"/>
      <c r="R68" s="148"/>
      <c r="S68" s="20"/>
      <c r="T68" s="18">
        <f t="shared" si="5"/>
        <v>17.2315</v>
      </c>
      <c r="U6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8" s="21"/>
      <c r="AA68" s="102">
        <f>SUM(T_SUP_OP115[[#This Row],[(S)
Total Cost Y1
((H*R)+I)*A]:[(W)
Total Cost Y5
((P*R)+Q)*E]])*(1+T_SUP_OP115[[#This Row],[(X)
Markup %]])</f>
        <v>0</v>
      </c>
      <c r="AB68" s="20"/>
    </row>
    <row r="69" spans="1:28">
      <c r="A69" s="98" t="s">
        <v>65</v>
      </c>
      <c r="B69" s="44" t="s">
        <v>114</v>
      </c>
      <c r="C69" s="99" t="s">
        <v>165</v>
      </c>
      <c r="D69" s="104">
        <v>0</v>
      </c>
      <c r="E69" s="104">
        <v>0</v>
      </c>
      <c r="F69" s="104">
        <v>8</v>
      </c>
      <c r="G69" s="104">
        <v>0</v>
      </c>
      <c r="H69" s="104">
        <v>0</v>
      </c>
      <c r="I69" s="101"/>
      <c r="J69" s="148"/>
      <c r="K69" s="20"/>
      <c r="L69" s="148"/>
      <c r="M69" s="20"/>
      <c r="N69" s="148"/>
      <c r="O69" s="20"/>
      <c r="P69" s="148"/>
      <c r="Q69" s="20"/>
      <c r="R69" s="148"/>
      <c r="S69" s="20"/>
      <c r="T69" s="18">
        <f t="shared" si="5"/>
        <v>17.2315</v>
      </c>
      <c r="U6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6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6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6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6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69" s="21"/>
      <c r="AA69" s="102">
        <f>SUM(T_SUP_OP115[[#This Row],[(S)
Total Cost Y1
((H*R)+I)*A]:[(W)
Total Cost Y5
((P*R)+Q)*E]])*(1+T_SUP_OP115[[#This Row],[(X)
Markup %]])</f>
        <v>0</v>
      </c>
      <c r="AB69" s="20"/>
    </row>
    <row r="70" spans="1:28">
      <c r="A70" s="98" t="s">
        <v>65</v>
      </c>
      <c r="B70" s="44" t="s">
        <v>116</v>
      </c>
      <c r="C70" s="99" t="s">
        <v>166</v>
      </c>
      <c r="D70" s="104">
        <v>0</v>
      </c>
      <c r="E70" s="104">
        <v>0</v>
      </c>
      <c r="F70" s="104">
        <v>8</v>
      </c>
      <c r="G70" s="104">
        <v>0</v>
      </c>
      <c r="H70" s="104">
        <v>0</v>
      </c>
      <c r="I70" s="101"/>
      <c r="J70" s="148"/>
      <c r="K70" s="20"/>
      <c r="L70" s="148"/>
      <c r="M70" s="20"/>
      <c r="N70" s="148"/>
      <c r="O70" s="20"/>
      <c r="P70" s="148"/>
      <c r="Q70" s="20"/>
      <c r="R70" s="148"/>
      <c r="S70" s="20"/>
      <c r="T70" s="18">
        <f t="shared" si="5"/>
        <v>17.2315</v>
      </c>
      <c r="U7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0" s="21"/>
      <c r="AA70" s="102">
        <f>SUM(T_SUP_OP115[[#This Row],[(S)
Total Cost Y1
((H*R)+I)*A]:[(W)
Total Cost Y5
((P*R)+Q)*E]])*(1+T_SUP_OP115[[#This Row],[(X)
Markup %]])</f>
        <v>0</v>
      </c>
      <c r="AB70" s="20"/>
    </row>
    <row r="71" spans="1:28">
      <c r="A71" s="98" t="s">
        <v>65</v>
      </c>
      <c r="B71" s="44" t="s">
        <v>118</v>
      </c>
      <c r="C71" s="99" t="s">
        <v>167</v>
      </c>
      <c r="D71" s="104">
        <v>0</v>
      </c>
      <c r="E71" s="104">
        <v>0</v>
      </c>
      <c r="F71" s="104">
        <v>8</v>
      </c>
      <c r="G71" s="104">
        <v>0</v>
      </c>
      <c r="H71" s="104">
        <v>0</v>
      </c>
      <c r="I71" s="101"/>
      <c r="J71" s="148"/>
      <c r="K71" s="20"/>
      <c r="L71" s="148"/>
      <c r="M71" s="20"/>
      <c r="N71" s="148"/>
      <c r="O71" s="20"/>
      <c r="P71" s="148"/>
      <c r="Q71" s="20"/>
      <c r="R71" s="148"/>
      <c r="S71" s="20"/>
      <c r="T71" s="18">
        <f t="shared" si="5"/>
        <v>17.2315</v>
      </c>
      <c r="U7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1" s="21"/>
      <c r="AA71" s="102">
        <f>SUM(T_SUP_OP115[[#This Row],[(S)
Total Cost Y1
((H*R)+I)*A]:[(W)
Total Cost Y5
((P*R)+Q)*E]])*(1+T_SUP_OP115[[#This Row],[(X)
Markup %]])</f>
        <v>0</v>
      </c>
      <c r="AB71" s="20"/>
    </row>
    <row r="72" spans="1:28">
      <c r="A72" s="98" t="s">
        <v>66</v>
      </c>
      <c r="B72" s="44" t="s">
        <v>102</v>
      </c>
      <c r="C72" s="99" t="s">
        <v>168</v>
      </c>
      <c r="D72" s="104">
        <v>1</v>
      </c>
      <c r="E72" s="104">
        <v>0</v>
      </c>
      <c r="F72" s="104">
        <v>0</v>
      </c>
      <c r="G72" s="104">
        <v>0</v>
      </c>
      <c r="H72" s="104">
        <v>0</v>
      </c>
      <c r="I72" s="101"/>
      <c r="J72" s="148"/>
      <c r="K72" s="20"/>
      <c r="L72" s="148"/>
      <c r="M72" s="20"/>
      <c r="N72" s="148"/>
      <c r="O72" s="20"/>
      <c r="P72" s="148"/>
      <c r="Q72" s="20"/>
      <c r="R72" s="148"/>
      <c r="S72" s="20"/>
      <c r="T72" s="18">
        <f t="shared" si="5"/>
        <v>17.2315</v>
      </c>
      <c r="U7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2" s="21"/>
      <c r="AA72" s="102">
        <f>SUM(T_SUP_OP115[[#This Row],[(S)
Total Cost Y1
((H*R)+I)*A]:[(W)
Total Cost Y5
((P*R)+Q)*E]])*(1+T_SUP_OP115[[#This Row],[(X)
Markup %]])</f>
        <v>0</v>
      </c>
      <c r="AB72" s="20"/>
    </row>
    <row r="73" spans="1:28">
      <c r="A73" s="98" t="s">
        <v>67</v>
      </c>
      <c r="B73" s="44" t="s">
        <v>102</v>
      </c>
      <c r="C73" s="99" t="s">
        <v>169</v>
      </c>
      <c r="D73" s="104">
        <v>1</v>
      </c>
      <c r="E73" s="104">
        <v>0</v>
      </c>
      <c r="F73" s="104">
        <v>0</v>
      </c>
      <c r="G73" s="104">
        <v>0</v>
      </c>
      <c r="H73" s="104">
        <v>0</v>
      </c>
      <c r="I73" s="101"/>
      <c r="J73" s="148"/>
      <c r="K73" s="20"/>
      <c r="L73" s="148"/>
      <c r="M73" s="20"/>
      <c r="N73" s="148"/>
      <c r="O73" s="20"/>
      <c r="P73" s="148"/>
      <c r="Q73" s="20"/>
      <c r="R73" s="148"/>
      <c r="S73" s="20"/>
      <c r="T73" s="18">
        <f t="shared" si="5"/>
        <v>17.2315</v>
      </c>
      <c r="U7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3" s="21"/>
      <c r="AA73" s="102">
        <f>SUM(T_SUP_OP115[[#This Row],[(S)
Total Cost Y1
((H*R)+I)*A]:[(W)
Total Cost Y5
((P*R)+Q)*E]])*(1+T_SUP_OP115[[#This Row],[(X)
Markup %]])</f>
        <v>0</v>
      </c>
      <c r="AB73" s="20"/>
    </row>
    <row r="74" spans="1:28" ht="25.7">
      <c r="A74" s="43" t="s">
        <v>68</v>
      </c>
      <c r="B74" s="44" t="s">
        <v>102</v>
      </c>
      <c r="C74" s="99" t="s">
        <v>170</v>
      </c>
      <c r="D74" s="104">
        <v>1</v>
      </c>
      <c r="E74" s="104">
        <v>0</v>
      </c>
      <c r="F74" s="104">
        <v>0</v>
      </c>
      <c r="G74" s="104">
        <v>0</v>
      </c>
      <c r="H74" s="104">
        <v>0</v>
      </c>
      <c r="I74" s="101"/>
      <c r="J74" s="148"/>
      <c r="K74" s="20"/>
      <c r="L74" s="148"/>
      <c r="M74" s="20"/>
      <c r="N74" s="148"/>
      <c r="O74" s="20"/>
      <c r="P74" s="148"/>
      <c r="Q74" s="20"/>
      <c r="R74" s="148"/>
      <c r="S74" s="20"/>
      <c r="T74" s="18">
        <f>Exchange_Rate</f>
        <v>17.2315</v>
      </c>
      <c r="U7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4" s="21"/>
      <c r="AA74" s="102">
        <f>SUM(T_SUP_OP115[[#This Row],[(S)
Total Cost Y1
((H*R)+I)*A]:[(W)
Total Cost Y5
((P*R)+Q)*E]])*(1+T_SUP_OP115[[#This Row],[(X)
Markup %]])</f>
        <v>0</v>
      </c>
      <c r="AB74" s="20"/>
    </row>
    <row r="75" spans="1:28">
      <c r="A75" s="98" t="s">
        <v>69</v>
      </c>
      <c r="B75" s="44" t="s">
        <v>102</v>
      </c>
      <c r="C75" s="99" t="s">
        <v>171</v>
      </c>
      <c r="D75" s="104">
        <v>1</v>
      </c>
      <c r="E75" s="104">
        <v>0</v>
      </c>
      <c r="F75" s="104">
        <v>0</v>
      </c>
      <c r="G75" s="104">
        <v>0</v>
      </c>
      <c r="H75" s="104">
        <v>0</v>
      </c>
      <c r="I75" s="101"/>
      <c r="J75" s="148"/>
      <c r="K75" s="20"/>
      <c r="L75" s="148"/>
      <c r="M75" s="20"/>
      <c r="N75" s="148"/>
      <c r="O75" s="20"/>
      <c r="P75" s="148"/>
      <c r="Q75" s="20"/>
      <c r="R75" s="148"/>
      <c r="S75" s="20"/>
      <c r="T75" s="18">
        <f t="shared" si="5"/>
        <v>17.2315</v>
      </c>
      <c r="U7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5" s="21"/>
      <c r="AA75" s="102">
        <f>SUM(T_SUP_OP115[[#This Row],[(S)
Total Cost Y1
((H*R)+I)*A]:[(W)
Total Cost Y5
((P*R)+Q)*E]])*(1+T_SUP_OP115[[#This Row],[(X)
Markup %]])</f>
        <v>0</v>
      </c>
      <c r="AB75" s="20"/>
    </row>
    <row r="76" spans="1:28">
      <c r="A76" s="98" t="s">
        <v>69</v>
      </c>
      <c r="B76" s="44" t="s">
        <v>104</v>
      </c>
      <c r="C76" s="99" t="s">
        <v>172</v>
      </c>
      <c r="D76" s="104">
        <v>1</v>
      </c>
      <c r="E76" s="104">
        <v>0</v>
      </c>
      <c r="F76" s="104">
        <v>0</v>
      </c>
      <c r="G76" s="104">
        <v>0</v>
      </c>
      <c r="H76" s="104">
        <v>0</v>
      </c>
      <c r="I76" s="101"/>
      <c r="J76" s="148"/>
      <c r="K76" s="20"/>
      <c r="L76" s="148"/>
      <c r="M76" s="20"/>
      <c r="N76" s="148"/>
      <c r="O76" s="20"/>
      <c r="P76" s="148"/>
      <c r="Q76" s="20"/>
      <c r="R76" s="148"/>
      <c r="S76" s="20"/>
      <c r="T76" s="18">
        <f t="shared" si="5"/>
        <v>17.2315</v>
      </c>
      <c r="U7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6" s="21"/>
      <c r="AA76" s="102">
        <f>SUM(T_SUP_OP115[[#This Row],[(S)
Total Cost Y1
((H*R)+I)*A]:[(W)
Total Cost Y5
((P*R)+Q)*E]])*(1+T_SUP_OP115[[#This Row],[(X)
Markup %]])</f>
        <v>0</v>
      </c>
      <c r="AB76" s="20"/>
    </row>
    <row r="77" spans="1:28">
      <c r="A77" s="98" t="s">
        <v>69</v>
      </c>
      <c r="B77" s="44" t="s">
        <v>106</v>
      </c>
      <c r="C77" s="99" t="s">
        <v>173</v>
      </c>
      <c r="D77" s="104">
        <v>1</v>
      </c>
      <c r="E77" s="104">
        <v>0</v>
      </c>
      <c r="F77" s="104">
        <v>0</v>
      </c>
      <c r="G77" s="104">
        <v>0</v>
      </c>
      <c r="H77" s="104">
        <v>0</v>
      </c>
      <c r="I77" s="101"/>
      <c r="J77" s="148"/>
      <c r="K77" s="20"/>
      <c r="L77" s="148"/>
      <c r="M77" s="20"/>
      <c r="N77" s="148"/>
      <c r="O77" s="20"/>
      <c r="P77" s="148"/>
      <c r="Q77" s="20"/>
      <c r="R77" s="148"/>
      <c r="S77" s="20"/>
      <c r="T77" s="18">
        <f>Exchange_Rate</f>
        <v>17.2315</v>
      </c>
      <c r="U7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7" s="21"/>
      <c r="AA77" s="102">
        <f>SUM(T_SUP_OP115[[#This Row],[(S)
Total Cost Y1
((H*R)+I)*A]:[(W)
Total Cost Y5
((P*R)+Q)*E]])*(1+T_SUP_OP115[[#This Row],[(X)
Markup %]])</f>
        <v>0</v>
      </c>
      <c r="AB77" s="20"/>
    </row>
    <row r="78" spans="1:28">
      <c r="A78" s="98" t="s">
        <v>70</v>
      </c>
      <c r="B78" s="44" t="s">
        <v>102</v>
      </c>
      <c r="C78" s="99" t="s">
        <v>174</v>
      </c>
      <c r="D78" s="104">
        <v>1</v>
      </c>
      <c r="E78" s="104">
        <v>0</v>
      </c>
      <c r="F78" s="104">
        <v>0</v>
      </c>
      <c r="G78" s="104">
        <v>0</v>
      </c>
      <c r="H78" s="104">
        <v>0</v>
      </c>
      <c r="I78" s="101"/>
      <c r="J78" s="148"/>
      <c r="K78" s="20"/>
      <c r="L78" s="148"/>
      <c r="M78" s="20"/>
      <c r="N78" s="148"/>
      <c r="O78" s="20"/>
      <c r="P78" s="148"/>
      <c r="Q78" s="20"/>
      <c r="R78" s="148"/>
      <c r="S78" s="20"/>
      <c r="T78" s="18">
        <f>Exchange_Rate</f>
        <v>17.2315</v>
      </c>
      <c r="U7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8" s="21"/>
      <c r="AA78" s="102">
        <f>SUM(T_SUP_OP115[[#This Row],[(S)
Total Cost Y1
((H*R)+I)*A]:[(W)
Total Cost Y5
((P*R)+Q)*E]])*(1+T_SUP_OP115[[#This Row],[(X)
Markup %]])</f>
        <v>0</v>
      </c>
      <c r="AB78" s="20"/>
    </row>
    <row r="79" spans="1:28">
      <c r="A79" s="43" t="s">
        <v>71</v>
      </c>
      <c r="B79" s="44" t="s">
        <v>102</v>
      </c>
      <c r="C79" s="45" t="s">
        <v>175</v>
      </c>
      <c r="D79" s="104">
        <v>1</v>
      </c>
      <c r="E79" s="104">
        <v>0</v>
      </c>
      <c r="F79" s="104">
        <v>0</v>
      </c>
      <c r="G79" s="104">
        <v>0</v>
      </c>
      <c r="H79" s="104">
        <v>1</v>
      </c>
      <c r="I79" s="31"/>
      <c r="J79" s="148"/>
      <c r="K79" s="20"/>
      <c r="L79" s="148"/>
      <c r="M79" s="20"/>
      <c r="N79" s="148"/>
      <c r="O79" s="20"/>
      <c r="P79" s="148"/>
      <c r="Q79" s="20"/>
      <c r="R79" s="148"/>
      <c r="S79" s="20"/>
      <c r="T79" s="18">
        <f t="shared" ref="T79:T84" si="6">Exchange_Rate</f>
        <v>17.2315</v>
      </c>
      <c r="U7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7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7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7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7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79" s="21"/>
      <c r="AA79" s="102">
        <f>SUM(T_SUP_OP115[[#This Row],[(S)
Total Cost Y1
((H*R)+I)*A]:[(W)
Total Cost Y5
((P*R)+Q)*E]])*(1+T_SUP_OP115[[#This Row],[(X)
Markup %]])</f>
        <v>0</v>
      </c>
      <c r="AB79" s="20"/>
    </row>
    <row r="80" spans="1:28">
      <c r="A80" s="43" t="s">
        <v>71</v>
      </c>
      <c r="B80" s="44" t="s">
        <v>104</v>
      </c>
      <c r="C80" s="45" t="s">
        <v>176</v>
      </c>
      <c r="D80" s="104">
        <v>1</v>
      </c>
      <c r="E80" s="104">
        <v>0</v>
      </c>
      <c r="F80" s="104">
        <v>0</v>
      </c>
      <c r="G80" s="104">
        <v>0</v>
      </c>
      <c r="H80" s="104">
        <v>1</v>
      </c>
      <c r="I80" s="31"/>
      <c r="J80" s="148"/>
      <c r="K80" s="20"/>
      <c r="L80" s="148"/>
      <c r="M80" s="20"/>
      <c r="N80" s="148"/>
      <c r="O80" s="20"/>
      <c r="P80" s="148"/>
      <c r="Q80" s="20"/>
      <c r="R80" s="148"/>
      <c r="S80" s="20"/>
      <c r="T80" s="18">
        <f t="shared" si="6"/>
        <v>17.2315</v>
      </c>
      <c r="U80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0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0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0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0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0" s="21"/>
      <c r="AA80" s="102">
        <f>SUM(T_SUP_OP115[[#This Row],[(S)
Total Cost Y1
((H*R)+I)*A]:[(W)
Total Cost Y5
((P*R)+Q)*E]])*(1+T_SUP_OP115[[#This Row],[(X)
Markup %]])</f>
        <v>0</v>
      </c>
      <c r="AB80" s="20"/>
    </row>
    <row r="81" spans="1:28">
      <c r="A81" s="43" t="s">
        <v>72</v>
      </c>
      <c r="B81" s="44" t="s">
        <v>102</v>
      </c>
      <c r="C81" s="45" t="s">
        <v>177</v>
      </c>
      <c r="D81" s="104">
        <v>1</v>
      </c>
      <c r="E81" s="104">
        <v>1</v>
      </c>
      <c r="F81" s="104">
        <v>1</v>
      </c>
      <c r="G81" s="104">
        <v>1</v>
      </c>
      <c r="H81" s="104">
        <v>1</v>
      </c>
      <c r="I81" s="105"/>
      <c r="J81" s="148"/>
      <c r="K81" s="20"/>
      <c r="L81" s="148"/>
      <c r="M81" s="20"/>
      <c r="N81" s="148"/>
      <c r="O81" s="20"/>
      <c r="P81" s="148"/>
      <c r="Q81" s="20"/>
      <c r="R81" s="148"/>
      <c r="S81" s="20"/>
      <c r="T81" s="18">
        <f t="shared" si="6"/>
        <v>17.2315</v>
      </c>
      <c r="U81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1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1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1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1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1" s="21"/>
      <c r="AA81" s="102">
        <f>SUM(T_SUP_OP115[[#This Row],[(S)
Total Cost Y1
((H*R)+I)*A]:[(W)
Total Cost Y5
((P*R)+Q)*E]])*(1+T_SUP_OP115[[#This Row],[(X)
Markup %]])</f>
        <v>0</v>
      </c>
      <c r="AB81" s="20"/>
    </row>
    <row r="82" spans="1:28">
      <c r="A82" s="43" t="s">
        <v>72</v>
      </c>
      <c r="B82" s="44" t="s">
        <v>104</v>
      </c>
      <c r="C82" s="106" t="s">
        <v>178</v>
      </c>
      <c r="D82" s="104">
        <v>1</v>
      </c>
      <c r="E82" s="104">
        <v>1</v>
      </c>
      <c r="F82" s="104">
        <v>1</v>
      </c>
      <c r="G82" s="104">
        <v>1</v>
      </c>
      <c r="H82" s="104">
        <v>1</v>
      </c>
      <c r="I82" s="105"/>
      <c r="J82" s="148"/>
      <c r="K82" s="20"/>
      <c r="L82" s="148"/>
      <c r="M82" s="20"/>
      <c r="N82" s="148"/>
      <c r="O82" s="20"/>
      <c r="P82" s="148"/>
      <c r="Q82" s="20"/>
      <c r="R82" s="148"/>
      <c r="S82" s="20"/>
      <c r="T82" s="18">
        <f t="shared" si="6"/>
        <v>17.2315</v>
      </c>
      <c r="U82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2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2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2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2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2" s="21"/>
      <c r="AA82" s="102">
        <f>SUM(T_SUP_OP115[[#This Row],[(S)
Total Cost Y1
((H*R)+I)*A]:[(W)
Total Cost Y5
((P*R)+Q)*E]])*(1+T_SUP_OP115[[#This Row],[(X)
Markup %]])</f>
        <v>0</v>
      </c>
      <c r="AB82" s="20"/>
    </row>
    <row r="83" spans="1:28">
      <c r="A83" s="43" t="s">
        <v>72</v>
      </c>
      <c r="B83" s="44" t="s">
        <v>106</v>
      </c>
      <c r="C83" s="107" t="s">
        <v>179</v>
      </c>
      <c r="D83" s="104">
        <v>1</v>
      </c>
      <c r="E83" s="104">
        <v>1</v>
      </c>
      <c r="F83" s="104">
        <v>1</v>
      </c>
      <c r="G83" s="104">
        <v>1</v>
      </c>
      <c r="H83" s="104">
        <v>1</v>
      </c>
      <c r="I83" s="105"/>
      <c r="J83" s="148"/>
      <c r="K83" s="20"/>
      <c r="L83" s="148"/>
      <c r="M83" s="20"/>
      <c r="N83" s="148"/>
      <c r="O83" s="20"/>
      <c r="P83" s="148"/>
      <c r="Q83" s="20"/>
      <c r="R83" s="148"/>
      <c r="S83" s="20"/>
      <c r="T83" s="18">
        <f t="shared" si="6"/>
        <v>17.2315</v>
      </c>
      <c r="U83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3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3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3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3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3" s="21"/>
      <c r="AA83" s="102">
        <f>SUM(T_SUP_OP115[[#This Row],[(S)
Total Cost Y1
((H*R)+I)*A]:[(W)
Total Cost Y5
((P*R)+Q)*E]])*(1+T_SUP_OP115[[#This Row],[(X)
Markup %]])</f>
        <v>0</v>
      </c>
      <c r="AB83" s="20"/>
    </row>
    <row r="84" spans="1:28">
      <c r="A84" s="43" t="s">
        <v>72</v>
      </c>
      <c r="B84" s="44" t="s">
        <v>108</v>
      </c>
      <c r="C84" s="45" t="s">
        <v>180</v>
      </c>
      <c r="D84" s="104">
        <v>1</v>
      </c>
      <c r="E84" s="104">
        <v>1</v>
      </c>
      <c r="F84" s="104">
        <v>1</v>
      </c>
      <c r="G84" s="104">
        <v>1</v>
      </c>
      <c r="H84" s="104">
        <v>1</v>
      </c>
      <c r="I84" s="105"/>
      <c r="J84" s="148"/>
      <c r="K84" s="20"/>
      <c r="L84" s="148"/>
      <c r="M84" s="20"/>
      <c r="N84" s="148"/>
      <c r="O84" s="20"/>
      <c r="P84" s="148"/>
      <c r="Q84" s="20"/>
      <c r="R84" s="148"/>
      <c r="S84" s="20"/>
      <c r="T84" s="18">
        <f t="shared" si="6"/>
        <v>17.2315</v>
      </c>
      <c r="U84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4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4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4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4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4" s="21"/>
      <c r="AA84" s="102">
        <f>SUM(T_SUP_OP115[[#This Row],[(S)
Total Cost Y1
((H*R)+I)*A]:[(W)
Total Cost Y5
((P*R)+Q)*E]])*(1+T_SUP_OP115[[#This Row],[(X)
Markup %]])</f>
        <v>0</v>
      </c>
      <c r="AB84" s="20"/>
    </row>
    <row r="85" spans="1:28">
      <c r="A85" s="43" t="s">
        <v>72</v>
      </c>
      <c r="B85" s="108" t="s">
        <v>110</v>
      </c>
      <c r="C85" s="107" t="s">
        <v>181</v>
      </c>
      <c r="D85" s="104">
        <v>1</v>
      </c>
      <c r="E85" s="104">
        <v>1</v>
      </c>
      <c r="F85" s="104">
        <v>1</v>
      </c>
      <c r="G85" s="104">
        <v>1</v>
      </c>
      <c r="H85" s="104">
        <v>1</v>
      </c>
      <c r="I85" s="105"/>
      <c r="J85" s="148"/>
      <c r="K85" s="20"/>
      <c r="L85" s="148"/>
      <c r="M85" s="20"/>
      <c r="N85" s="148"/>
      <c r="O85" s="20"/>
      <c r="P85" s="148"/>
      <c r="Q85" s="20"/>
      <c r="R85" s="148"/>
      <c r="S85" s="20"/>
      <c r="T85" s="18">
        <f t="shared" ref="T85:T89" si="7">Exchange_Rate</f>
        <v>17.2315</v>
      </c>
      <c r="U85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5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5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5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5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5" s="21"/>
      <c r="AA85" s="102">
        <f>SUM(T_SUP_OP115[[#This Row],[(S)
Total Cost Y1
((H*R)+I)*A]:[(W)
Total Cost Y5
((P*R)+Q)*E]])*(1+T_SUP_OP115[[#This Row],[(X)
Markup %]])</f>
        <v>0</v>
      </c>
      <c r="AB85" s="20"/>
    </row>
    <row r="86" spans="1:28">
      <c r="A86" s="43" t="s">
        <v>72</v>
      </c>
      <c r="B86" s="108" t="s">
        <v>112</v>
      </c>
      <c r="C86" s="107" t="s">
        <v>182</v>
      </c>
      <c r="D86" s="104">
        <v>1</v>
      </c>
      <c r="E86" s="104">
        <v>1</v>
      </c>
      <c r="F86" s="104">
        <v>1</v>
      </c>
      <c r="G86" s="104">
        <v>1</v>
      </c>
      <c r="H86" s="104">
        <v>1</v>
      </c>
      <c r="I86" s="105"/>
      <c r="J86" s="148"/>
      <c r="K86" s="20"/>
      <c r="L86" s="148"/>
      <c r="M86" s="20"/>
      <c r="N86" s="148"/>
      <c r="O86" s="20"/>
      <c r="P86" s="148"/>
      <c r="Q86" s="20"/>
      <c r="R86" s="148"/>
      <c r="S86" s="20"/>
      <c r="T86" s="18">
        <f t="shared" si="7"/>
        <v>17.2315</v>
      </c>
      <c r="U86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6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6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6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6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6" s="21"/>
      <c r="AA86" s="102">
        <f>SUM(T_SUP_OP115[[#This Row],[(S)
Total Cost Y1
((H*R)+I)*A]:[(W)
Total Cost Y5
((P*R)+Q)*E]])*(1+T_SUP_OP115[[#This Row],[(X)
Markup %]])</f>
        <v>0</v>
      </c>
      <c r="AB86" s="20"/>
    </row>
    <row r="87" spans="1:28">
      <c r="A87" s="43" t="s">
        <v>72</v>
      </c>
      <c r="B87" s="108" t="s">
        <v>114</v>
      </c>
      <c r="C87" s="107" t="s">
        <v>183</v>
      </c>
      <c r="D87" s="104">
        <v>1</v>
      </c>
      <c r="E87" s="104">
        <v>1</v>
      </c>
      <c r="F87" s="104">
        <v>1</v>
      </c>
      <c r="G87" s="104">
        <v>1</v>
      </c>
      <c r="H87" s="104">
        <v>1</v>
      </c>
      <c r="I87" s="105"/>
      <c r="J87" s="148"/>
      <c r="K87" s="20"/>
      <c r="L87" s="148"/>
      <c r="M87" s="20"/>
      <c r="N87" s="148"/>
      <c r="O87" s="20"/>
      <c r="P87" s="148"/>
      <c r="Q87" s="20"/>
      <c r="R87" s="148"/>
      <c r="S87" s="20"/>
      <c r="T87" s="18">
        <f t="shared" si="7"/>
        <v>17.2315</v>
      </c>
      <c r="U87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7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7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7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7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7" s="21"/>
      <c r="AA87" s="102">
        <f>SUM(T_SUP_OP115[[#This Row],[(S)
Total Cost Y1
((H*R)+I)*A]:[(W)
Total Cost Y5
((P*R)+Q)*E]])*(1+T_SUP_OP115[[#This Row],[(X)
Markup %]])</f>
        <v>0</v>
      </c>
      <c r="AB87" s="20"/>
    </row>
    <row r="88" spans="1:28">
      <c r="A88" s="43" t="s">
        <v>72</v>
      </c>
      <c r="B88" s="108" t="s">
        <v>116</v>
      </c>
      <c r="C88" s="107" t="s">
        <v>184</v>
      </c>
      <c r="D88" s="104">
        <v>1</v>
      </c>
      <c r="E88" s="104">
        <v>1</v>
      </c>
      <c r="F88" s="104">
        <v>1</v>
      </c>
      <c r="G88" s="104">
        <v>1</v>
      </c>
      <c r="H88" s="104">
        <v>1</v>
      </c>
      <c r="I88" s="109"/>
      <c r="J88" s="148"/>
      <c r="K88" s="20"/>
      <c r="L88" s="148"/>
      <c r="M88" s="20"/>
      <c r="N88" s="148"/>
      <c r="O88" s="20"/>
      <c r="P88" s="148"/>
      <c r="Q88" s="20"/>
      <c r="R88" s="148"/>
      <c r="S88" s="20"/>
      <c r="T88" s="18">
        <f t="shared" si="7"/>
        <v>17.2315</v>
      </c>
      <c r="U88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8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8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8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8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8" s="21"/>
      <c r="AA88" s="102">
        <f>SUM(T_SUP_OP115[[#This Row],[(S)
Total Cost Y1
((H*R)+I)*A]:[(W)
Total Cost Y5
((P*R)+Q)*E]])*(1+T_SUP_OP115[[#This Row],[(X)
Markup %]])</f>
        <v>0</v>
      </c>
      <c r="AB88" s="20"/>
    </row>
    <row r="89" spans="1:28">
      <c r="A89" s="43" t="s">
        <v>72</v>
      </c>
      <c r="B89" s="108" t="s">
        <v>118</v>
      </c>
      <c r="C89" s="107" t="s">
        <v>185</v>
      </c>
      <c r="D89" s="104">
        <v>1</v>
      </c>
      <c r="E89" s="104">
        <v>1</v>
      </c>
      <c r="F89" s="104">
        <v>1</v>
      </c>
      <c r="G89" s="104">
        <v>1</v>
      </c>
      <c r="H89" s="104">
        <v>1</v>
      </c>
      <c r="I89" s="105"/>
      <c r="J89" s="148"/>
      <c r="K89" s="20"/>
      <c r="L89" s="148"/>
      <c r="M89" s="20"/>
      <c r="N89" s="148"/>
      <c r="O89" s="20"/>
      <c r="P89" s="148"/>
      <c r="Q89" s="20"/>
      <c r="R89" s="148"/>
      <c r="S89" s="20"/>
      <c r="T89" s="18">
        <f t="shared" si="7"/>
        <v>17.2315</v>
      </c>
      <c r="U89" s="18">
        <f>((T_SUP_OP115[[#This Row],[(R)
Exchange rate]]*T_SUP_OP115[[#This Row],[(H)
Base landed Price in USD
For US sourced items - Y1]])+T_SUP_OP115[[#This Row],[(I)
ZAR Price (for local sourced items) Excluding VAT - Y1]])*T_SUP_OP115[[#This Row],[(A)
Y1]]</f>
        <v>0</v>
      </c>
      <c r="V89" s="18">
        <f>((T_SUP_OP115[[#This Row],[(R)
Exchange rate]]*T_SUP_OP115[[#This Row],[(J)
Base landed Price in USD
For US sourced items - Y2]])+T_SUP_OP115[[#This Row],[(K)
ZAR Price (for local sourced items) Excluding VAT - Y2]])*T_SUP_OP115[[#This Row],[(B)
Y2]]</f>
        <v>0</v>
      </c>
      <c r="W89" s="18">
        <f>((T_SUP_OP115[[#This Row],[(R)
Exchange rate]]*T_SUP_OP115[[#This Row],[(L)
Base landed Price in USD
For US sourced items - Y3]])+T_SUP_OP115[[#This Row],[(M)
ZAR Price (for local sourced items) Excluding VAT - Y3]])*T_SUP_OP115[[#This Row],[(C)
Y3]]</f>
        <v>0</v>
      </c>
      <c r="X89" s="18">
        <f>((T_SUP_OP115[[#This Row],[(R)
Exchange rate]]*T_SUP_OP115[[#This Row],[(N)
Base landed Price in USD
For US sourced items - Y4]])+T_SUP_OP115[[#This Row],[(O)
ZAR Price (for local sourced items) Excluding VAT - Y4]])*T_SUP_OP115[[#This Row],[(D)
Y4]]</f>
        <v>0</v>
      </c>
      <c r="Y89" s="18">
        <f>((T_SUP_OP115[[#This Row],[(R)
Exchange rate]]*T_SUP_OP115[[#This Row],[(P)
Base landed Price in USD
For US sourced items - Y5]])+T_SUP_OP115[[#This Row],[(Q)
ZAR Price (for local sourced items) Excluding VAT - Y5]])*T_SUP_OP115[[#This Row],[(E)
Y5]]</f>
        <v>0</v>
      </c>
      <c r="Z89" s="21"/>
      <c r="AA89" s="102">
        <f>SUM(T_SUP_OP115[[#This Row],[(S)
Total Cost Y1
((H*R)+I)*A]:[(W)
Total Cost Y5
((P*R)+Q)*E]])*(1+T_SUP_OP115[[#This Row],[(X)
Markup %]])</f>
        <v>0</v>
      </c>
      <c r="AB89" s="20"/>
    </row>
    <row r="90" spans="1:28">
      <c r="A90" s="110" t="s">
        <v>29</v>
      </c>
      <c r="B90" s="44"/>
      <c r="C90" s="45"/>
      <c r="I90" s="46"/>
      <c r="J90" s="148"/>
      <c r="K90" s="20"/>
      <c r="L90" s="148"/>
      <c r="M90" s="20"/>
      <c r="N90" s="148"/>
      <c r="O90" s="20"/>
      <c r="P90" s="148"/>
      <c r="Q90" s="20"/>
      <c r="R90" s="148"/>
      <c r="S90" s="20"/>
      <c r="T90" s="18"/>
      <c r="U90" s="19">
        <f>SUBTOTAL(109,T_SUP_OP115[(S)
Total Cost Y1
((H*R)+I)*A])</f>
        <v>0</v>
      </c>
      <c r="V90" s="19">
        <f>SUBTOTAL(109,T_SUP_OP115[(T)
Total Cost Y2
((J*R)+K)*B])</f>
        <v>0</v>
      </c>
      <c r="W90" s="19">
        <f>SUBTOTAL(109,T_SUP_OP115[(U)
Total Cost Y3
((L*R)+M)*C])</f>
        <v>0</v>
      </c>
      <c r="X90" s="19">
        <f>SUBTOTAL(109,T_SUP_OP115[(V)
Total Cost Y4
((N*R)+O)*D])</f>
        <v>0</v>
      </c>
      <c r="Y90" s="19">
        <f>SUBTOTAL(109,T_SUP_OP115[(W)
Total Cost Y5
((P*R)+Q)*E])</f>
        <v>0</v>
      </c>
      <c r="Z90" s="111" t="s">
        <v>186</v>
      </c>
      <c r="AA90" s="19">
        <f>SUBTOTAL(109,T_SUP_OP115[(Y)
Total Cost Excluding VAT
(S+T+U+V+W)*(1+X)])</f>
        <v>0</v>
      </c>
      <c r="AB90" s="20"/>
    </row>
  </sheetData>
  <sheetProtection sort="0" autoFilter="0"/>
  <mergeCells count="1">
    <mergeCell ref="A1:AB3"/>
  </mergeCells>
  <phoneticPr fontId="40" type="noConversion"/>
  <dataValidations count="2">
    <dataValidation type="list" allowBlank="1" showInputMessage="1" showErrorMessage="1" sqref="A110:A195 A79:A89" xr:uid="{E17DB403-1AB3-4E0A-A2E7-16956B06CFF1}">
      <formula1>N_WorkP_Name</formula1>
    </dataValidation>
    <dataValidation type="list" allowBlank="1" showInputMessage="1" showErrorMessage="1" sqref="I7:I89" xr:uid="{C9F21FF4-277F-4386-A8B0-31805E9CDCE3}">
      <formula1>YN</formula1>
    </dataValidation>
  </dataValidations>
  <pageMargins left="0.70866141732283472" right="0.70866141732283472" top="0.74803149606299213" bottom="0.74803149606299213" header="0.31496062992125984" footer="0.31496062992125984"/>
  <pageSetup paperSize="8" scale="13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10C3-E057-426D-A690-65C9AF6F0BAB}">
  <sheetPr>
    <tabColor rgb="FF92D050"/>
    <pageSetUpPr fitToPage="1"/>
  </sheetPr>
  <dimension ref="A1:S36"/>
  <sheetViews>
    <sheetView showGridLines="0" zoomScaleNormal="100" workbookViewId="0">
      <selection activeCell="D22" sqref="D22"/>
    </sheetView>
  </sheetViews>
  <sheetFormatPr defaultColWidth="9.140625" defaultRowHeight="15" customHeight="1"/>
  <cols>
    <col min="1" max="1" width="32.5703125" customWidth="1"/>
    <col min="2" max="2" width="13.7109375" customWidth="1"/>
    <col min="3" max="3" width="14.42578125" customWidth="1"/>
    <col min="4" max="8" width="14.28515625" customWidth="1"/>
    <col min="9" max="10" width="7" customWidth="1"/>
    <col min="11" max="11" width="5.7109375" customWidth="1"/>
    <col min="12" max="12" width="7" customWidth="1"/>
    <col min="13" max="13" width="4.7109375" customWidth="1"/>
    <col min="14" max="14" width="13" customWidth="1"/>
    <col min="15" max="15" width="16.28515625" customWidth="1"/>
    <col min="16" max="16" width="13.5703125" customWidth="1"/>
    <col min="17" max="17" width="16.7109375" customWidth="1"/>
    <col min="18" max="18" width="18.28515625" customWidth="1"/>
    <col min="19" max="19" width="14.5703125" customWidth="1"/>
  </cols>
  <sheetData>
    <row r="1" spans="1:19" s="1" customFormat="1" ht="10.35">
      <c r="A1" s="191" t="s">
        <v>187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3"/>
    </row>
    <row r="2" spans="1:19" s="1" customFormat="1" ht="10.3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6"/>
    </row>
    <row r="3" spans="1:19" s="1" customFormat="1" ht="48.75" customHeight="1" thickBot="1">
      <c r="A3" s="197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9"/>
    </row>
    <row r="4" spans="1:19" s="1" customFormat="1" ht="12.4">
      <c r="A4" s="1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.4">
      <c r="A5" s="215" t="s">
        <v>38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19" s="1" customFormat="1" ht="15.4">
      <c r="A6" s="215" t="s">
        <v>188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</row>
    <row r="7" spans="1:19" s="1" customFormat="1" ht="15.4">
      <c r="A7" s="215" t="s">
        <v>189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</row>
    <row r="8" spans="1:19" s="1" customFormat="1" ht="15.4">
      <c r="A8" s="215" t="s">
        <v>190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</row>
    <row r="9" spans="1:19" s="1" customFormat="1" ht="15.4">
      <c r="A9" s="215" t="s">
        <v>191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</row>
    <row r="10" spans="1:19" s="1" customFormat="1" ht="15.4">
      <c r="A10" s="212" t="s">
        <v>5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</row>
    <row r="11" spans="1:19" s="1" customFormat="1" ht="12.4">
      <c r="A11" s="1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s="1" customFormat="1" ht="12.4">
      <c r="A12" s="213"/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"/>
      <c r="P12" s="125"/>
      <c r="Q12" s="125"/>
      <c r="R12" s="125"/>
    </row>
    <row r="13" spans="1:19" s="3" customFormat="1" ht="62.1">
      <c r="A13" s="123" t="s">
        <v>192</v>
      </c>
      <c r="B13" s="123" t="s">
        <v>75</v>
      </c>
      <c r="C13" s="123" t="s">
        <v>193</v>
      </c>
      <c r="D13" s="123" t="s">
        <v>194</v>
      </c>
      <c r="E13" s="123" t="s">
        <v>195</v>
      </c>
      <c r="F13" s="123" t="s">
        <v>196</v>
      </c>
      <c r="G13" s="123" t="s">
        <v>197</v>
      </c>
      <c r="H13" s="123" t="s">
        <v>198</v>
      </c>
      <c r="I13" s="123" t="s">
        <v>199</v>
      </c>
      <c r="J13" s="123" t="s">
        <v>200</v>
      </c>
      <c r="K13" s="123" t="s">
        <v>201</v>
      </c>
      <c r="L13" s="123" t="s">
        <v>202</v>
      </c>
      <c r="M13" s="123" t="s">
        <v>203</v>
      </c>
      <c r="N13" s="123" t="s">
        <v>204</v>
      </c>
      <c r="O13" s="124" t="s">
        <v>205</v>
      </c>
      <c r="P13" s="123" t="s">
        <v>206</v>
      </c>
      <c r="Q13" s="123" t="s">
        <v>207</v>
      </c>
      <c r="R13" s="122" t="s">
        <v>208</v>
      </c>
      <c r="S13" s="121" t="s">
        <v>209</v>
      </c>
    </row>
    <row r="14" spans="1:19" s="3" customFormat="1" ht="49.7">
      <c r="A14" s="120" t="s">
        <v>210</v>
      </c>
      <c r="B14" s="119" t="s">
        <v>102</v>
      </c>
      <c r="C14" s="119" t="s">
        <v>211</v>
      </c>
      <c r="D14" s="118"/>
      <c r="E14" s="118"/>
      <c r="F14" s="118"/>
      <c r="G14" s="118"/>
      <c r="H14" s="118"/>
      <c r="I14" s="117">
        <v>12</v>
      </c>
      <c r="J14" s="117">
        <v>12</v>
      </c>
      <c r="K14" s="117">
        <v>12</v>
      </c>
      <c r="L14" s="117">
        <v>12</v>
      </c>
      <c r="M14" s="117">
        <v>12</v>
      </c>
      <c r="N14" s="116">
        <f>T_SLA6[[#This Row],[(H)
Qty - Y1]]*T_SLA6[[#This Row],[(A)
Monthly Cost excluding Vat - Y1]]</f>
        <v>0</v>
      </c>
      <c r="O14" s="115">
        <f>T_SLA6[[#This Row],[(B)
Monthly Cost excluding Vat - Y2]]*T_SLA6[[#This Row],[(I)
Qty - Y2]]</f>
        <v>0</v>
      </c>
      <c r="P14" s="115">
        <f>T_SLA6[[#This Row],[(C)
Monthly Cost excluding Vat - Y3]]*T_SLA6[[#This Row],[(J)
Qty - Y3]]</f>
        <v>0</v>
      </c>
      <c r="Q14" s="115">
        <f>T_SLA6[[#This Row],[(D)
Monthly Cost excluding Vat - Y4]]*T_SLA6[[#This Row],[(K)
Qty - Y4]]</f>
        <v>0</v>
      </c>
      <c r="R14" s="115">
        <f>T_SLA6[[#This Row],[(E)
Monthly Cost excluding Vat - Y5]]*T_SLA6[[#This Row],[(L)
Qty - Y5]]</f>
        <v>0</v>
      </c>
      <c r="S14" s="114">
        <f>SUM(T_SLA6[[#This Row],[(O)
Total Cost Excluding Vat - Y1 
(A*H)]:[(S)
Total Cost Excluding Vat - Y5 
(E*L)]])</f>
        <v>0</v>
      </c>
    </row>
    <row r="15" spans="1:19" s="3" customFormat="1" ht="49.7">
      <c r="A15" s="120" t="s">
        <v>210</v>
      </c>
      <c r="B15" s="119" t="s">
        <v>104</v>
      </c>
      <c r="C15" s="119" t="s">
        <v>211</v>
      </c>
      <c r="D15" s="118"/>
      <c r="E15" s="118"/>
      <c r="F15" s="118"/>
      <c r="G15" s="118"/>
      <c r="H15" s="118"/>
      <c r="I15" s="117">
        <v>12</v>
      </c>
      <c r="J15" s="117">
        <v>12</v>
      </c>
      <c r="K15" s="117">
        <v>12</v>
      </c>
      <c r="L15" s="117">
        <v>12</v>
      </c>
      <c r="M15" s="117">
        <v>12</v>
      </c>
      <c r="N15" s="116">
        <f>T_SLA6[[#This Row],[(H)
Qty - Y1]]*T_SLA6[[#This Row],[(A)
Monthly Cost excluding Vat - Y1]]</f>
        <v>0</v>
      </c>
      <c r="O15" s="115">
        <f>T_SLA6[[#This Row],[(B)
Monthly Cost excluding Vat - Y2]]*T_SLA6[[#This Row],[(I)
Qty - Y2]]</f>
        <v>0</v>
      </c>
      <c r="P15" s="115">
        <f>T_SLA6[[#This Row],[(C)
Monthly Cost excluding Vat - Y3]]*T_SLA6[[#This Row],[(J)
Qty - Y3]]</f>
        <v>0</v>
      </c>
      <c r="Q15" s="115">
        <f>T_SLA6[[#This Row],[(D)
Monthly Cost excluding Vat - Y4]]*T_SLA6[[#This Row],[(K)
Qty - Y4]]</f>
        <v>0</v>
      </c>
      <c r="R15" s="115">
        <f>T_SLA6[[#This Row],[(E)
Monthly Cost excluding Vat - Y5]]*T_SLA6[[#This Row],[(L)
Qty - Y5]]</f>
        <v>0</v>
      </c>
      <c r="S15" s="114">
        <f>SUM(T_SLA6[[#This Row],[(O)
Total Cost Excluding Vat - Y1 
(A*H)]:[(S)
Total Cost Excluding Vat - Y5 
(E*L)]])</f>
        <v>0</v>
      </c>
    </row>
    <row r="16" spans="1:19" s="3" customFormat="1" ht="49.7">
      <c r="A16" s="120" t="s">
        <v>210</v>
      </c>
      <c r="B16" s="119" t="s">
        <v>106</v>
      </c>
      <c r="C16" s="119" t="s">
        <v>211</v>
      </c>
      <c r="D16" s="118"/>
      <c r="E16" s="118"/>
      <c r="F16" s="118"/>
      <c r="G16" s="118"/>
      <c r="H16" s="118"/>
      <c r="I16" s="117">
        <v>12</v>
      </c>
      <c r="J16" s="117">
        <v>12</v>
      </c>
      <c r="K16" s="117">
        <v>12</v>
      </c>
      <c r="L16" s="117">
        <v>12</v>
      </c>
      <c r="M16" s="117">
        <v>12</v>
      </c>
      <c r="N16" s="116">
        <f>T_SLA6[[#This Row],[(H)
Qty - Y1]]*T_SLA6[[#This Row],[(A)
Monthly Cost excluding Vat - Y1]]</f>
        <v>0</v>
      </c>
      <c r="O16" s="115">
        <f>T_SLA6[[#This Row],[(B)
Monthly Cost excluding Vat - Y2]]*T_SLA6[[#This Row],[(I)
Qty - Y2]]</f>
        <v>0</v>
      </c>
      <c r="P16" s="115">
        <f>T_SLA6[[#This Row],[(C)
Monthly Cost excluding Vat - Y3]]*T_SLA6[[#This Row],[(J)
Qty - Y3]]</f>
        <v>0</v>
      </c>
      <c r="Q16" s="115">
        <f>T_SLA6[[#This Row],[(D)
Monthly Cost excluding Vat - Y4]]*T_SLA6[[#This Row],[(K)
Qty - Y4]]</f>
        <v>0</v>
      </c>
      <c r="R16" s="115">
        <f>T_SLA6[[#This Row],[(E)
Monthly Cost excluding Vat - Y5]]*T_SLA6[[#This Row],[(L)
Qty - Y5]]</f>
        <v>0</v>
      </c>
      <c r="S16" s="114">
        <f>SUM(T_SLA6[[#This Row],[(O)
Total Cost Excluding Vat - Y1 
(A*H)]:[(S)
Total Cost Excluding Vat - Y5 
(E*L)]])</f>
        <v>0</v>
      </c>
    </row>
    <row r="17" spans="1:19" s="3" customFormat="1" ht="49.7">
      <c r="A17" s="120" t="s">
        <v>210</v>
      </c>
      <c r="B17" s="119" t="s">
        <v>108</v>
      </c>
      <c r="C17" s="119" t="s">
        <v>211</v>
      </c>
      <c r="D17" s="118"/>
      <c r="E17" s="118"/>
      <c r="F17" s="118"/>
      <c r="G17" s="118"/>
      <c r="H17" s="118"/>
      <c r="I17" s="117">
        <v>12</v>
      </c>
      <c r="J17" s="117">
        <v>12</v>
      </c>
      <c r="K17" s="117">
        <v>12</v>
      </c>
      <c r="L17" s="117">
        <v>12</v>
      </c>
      <c r="M17" s="117">
        <v>12</v>
      </c>
      <c r="N17" s="116">
        <f>T_SLA6[[#This Row],[(H)
Qty - Y1]]*T_SLA6[[#This Row],[(A)
Monthly Cost excluding Vat - Y1]]</f>
        <v>0</v>
      </c>
      <c r="O17" s="115">
        <f>T_SLA6[[#This Row],[(B)
Monthly Cost excluding Vat - Y2]]*T_SLA6[[#This Row],[(I)
Qty - Y2]]</f>
        <v>0</v>
      </c>
      <c r="P17" s="115">
        <f>T_SLA6[[#This Row],[(C)
Monthly Cost excluding Vat - Y3]]*T_SLA6[[#This Row],[(J)
Qty - Y3]]</f>
        <v>0</v>
      </c>
      <c r="Q17" s="115">
        <f>T_SLA6[[#This Row],[(D)
Monthly Cost excluding Vat - Y4]]*T_SLA6[[#This Row],[(K)
Qty - Y4]]</f>
        <v>0</v>
      </c>
      <c r="R17" s="115">
        <f>T_SLA6[[#This Row],[(E)
Monthly Cost excluding Vat - Y5]]*T_SLA6[[#This Row],[(L)
Qty - Y5]]</f>
        <v>0</v>
      </c>
      <c r="S17" s="114">
        <f>SUM(T_SLA6[[#This Row],[(O)
Total Cost Excluding Vat - Y1 
(A*H)]:[(S)
Total Cost Excluding Vat - Y5 
(E*L)]])</f>
        <v>0</v>
      </c>
    </row>
    <row r="18" spans="1:19" s="3" customFormat="1" ht="49.7">
      <c r="A18" s="120" t="s">
        <v>210</v>
      </c>
      <c r="B18" s="119" t="s">
        <v>110</v>
      </c>
      <c r="C18" s="119" t="s">
        <v>211</v>
      </c>
      <c r="D18" s="118"/>
      <c r="E18" s="118"/>
      <c r="F18" s="118"/>
      <c r="G18" s="118"/>
      <c r="H18" s="118"/>
      <c r="I18" s="117">
        <v>12</v>
      </c>
      <c r="J18" s="117">
        <v>12</v>
      </c>
      <c r="K18" s="117">
        <v>12</v>
      </c>
      <c r="L18" s="117">
        <v>12</v>
      </c>
      <c r="M18" s="117">
        <v>12</v>
      </c>
      <c r="N18" s="116">
        <f>T_SLA6[[#This Row],[(H)
Qty - Y1]]*T_SLA6[[#This Row],[(A)
Monthly Cost excluding Vat - Y1]]</f>
        <v>0</v>
      </c>
      <c r="O18" s="115">
        <f>T_SLA6[[#This Row],[(B)
Monthly Cost excluding Vat - Y2]]*T_SLA6[[#This Row],[(I)
Qty - Y2]]</f>
        <v>0</v>
      </c>
      <c r="P18" s="115">
        <f>T_SLA6[[#This Row],[(C)
Monthly Cost excluding Vat - Y3]]*T_SLA6[[#This Row],[(J)
Qty - Y3]]</f>
        <v>0</v>
      </c>
      <c r="Q18" s="115">
        <f>T_SLA6[[#This Row],[(D)
Monthly Cost excluding Vat - Y4]]*T_SLA6[[#This Row],[(K)
Qty - Y4]]</f>
        <v>0</v>
      </c>
      <c r="R18" s="115">
        <f>T_SLA6[[#This Row],[(E)
Monthly Cost excluding Vat - Y5]]*T_SLA6[[#This Row],[(L)
Qty - Y5]]</f>
        <v>0</v>
      </c>
      <c r="S18" s="114">
        <f>SUM(T_SLA6[[#This Row],[(O)
Total Cost Excluding Vat - Y1 
(A*H)]:[(S)
Total Cost Excluding Vat - Y5 
(E*L)]])</f>
        <v>0</v>
      </c>
    </row>
    <row r="19" spans="1:19" s="3" customFormat="1" ht="49.7">
      <c r="A19" s="120" t="s">
        <v>210</v>
      </c>
      <c r="B19" s="119" t="s">
        <v>114</v>
      </c>
      <c r="C19" s="119" t="s">
        <v>211</v>
      </c>
      <c r="D19" s="118"/>
      <c r="E19" s="118"/>
      <c r="F19" s="118"/>
      <c r="G19" s="118"/>
      <c r="H19" s="118"/>
      <c r="I19" s="117">
        <v>12</v>
      </c>
      <c r="J19" s="117">
        <v>12</v>
      </c>
      <c r="K19" s="117">
        <v>12</v>
      </c>
      <c r="L19" s="117">
        <v>12</v>
      </c>
      <c r="M19" s="117">
        <v>12</v>
      </c>
      <c r="N19" s="116">
        <f>T_SLA6[[#This Row],[(H)
Qty - Y1]]*T_SLA6[[#This Row],[(A)
Monthly Cost excluding Vat - Y1]]</f>
        <v>0</v>
      </c>
      <c r="O19" s="115">
        <f>T_SLA6[[#This Row],[(B)
Monthly Cost excluding Vat - Y2]]*T_SLA6[[#This Row],[(I)
Qty - Y2]]</f>
        <v>0</v>
      </c>
      <c r="P19" s="115">
        <f>T_SLA6[[#This Row],[(C)
Monthly Cost excluding Vat - Y3]]*T_SLA6[[#This Row],[(J)
Qty - Y3]]</f>
        <v>0</v>
      </c>
      <c r="Q19" s="115">
        <f>T_SLA6[[#This Row],[(D)
Monthly Cost excluding Vat - Y4]]*T_SLA6[[#This Row],[(K)
Qty - Y4]]</f>
        <v>0</v>
      </c>
      <c r="R19" s="115">
        <f>T_SLA6[[#This Row],[(E)
Monthly Cost excluding Vat - Y5]]*T_SLA6[[#This Row],[(L)
Qty - Y5]]</f>
        <v>0</v>
      </c>
      <c r="S19" s="114">
        <f>SUM(T_SLA6[[#This Row],[(O)
Total Cost Excluding Vat - Y1 
(A*H)]:[(S)
Total Cost Excluding Vat - Y5 
(E*L)]])</f>
        <v>0</v>
      </c>
    </row>
    <row r="20" spans="1:19" s="3" customFormat="1" ht="49.7">
      <c r="A20" s="120" t="s">
        <v>210</v>
      </c>
      <c r="B20" s="119" t="s">
        <v>112</v>
      </c>
      <c r="C20" s="119" t="s">
        <v>211</v>
      </c>
      <c r="D20" s="118"/>
      <c r="E20" s="118"/>
      <c r="F20" s="118"/>
      <c r="G20" s="118"/>
      <c r="H20" s="118"/>
      <c r="I20" s="117">
        <v>12</v>
      </c>
      <c r="J20" s="117">
        <v>12</v>
      </c>
      <c r="K20" s="117">
        <v>12</v>
      </c>
      <c r="L20" s="117">
        <v>12</v>
      </c>
      <c r="M20" s="117">
        <v>12</v>
      </c>
      <c r="N20" s="116">
        <f>T_SLA6[[#This Row],[(H)
Qty - Y1]]*T_SLA6[[#This Row],[(A)
Monthly Cost excluding Vat - Y1]]</f>
        <v>0</v>
      </c>
      <c r="O20" s="115">
        <f>T_SLA6[[#This Row],[(B)
Monthly Cost excluding Vat - Y2]]*T_SLA6[[#This Row],[(I)
Qty - Y2]]</f>
        <v>0</v>
      </c>
      <c r="P20" s="115">
        <f>T_SLA6[[#This Row],[(C)
Monthly Cost excluding Vat - Y3]]*T_SLA6[[#This Row],[(J)
Qty - Y3]]</f>
        <v>0</v>
      </c>
      <c r="Q20" s="115">
        <f>T_SLA6[[#This Row],[(D)
Monthly Cost excluding Vat - Y4]]*T_SLA6[[#This Row],[(K)
Qty - Y4]]</f>
        <v>0</v>
      </c>
      <c r="R20" s="115">
        <f>T_SLA6[[#This Row],[(E)
Monthly Cost excluding Vat - Y5]]*T_SLA6[[#This Row],[(L)
Qty - Y5]]</f>
        <v>0</v>
      </c>
      <c r="S20" s="114">
        <f>SUM(T_SLA6[[#This Row],[(O)
Total Cost Excluding Vat - Y1 
(A*H)]:[(S)
Total Cost Excluding Vat - Y5 
(E*L)]])</f>
        <v>0</v>
      </c>
    </row>
    <row r="21" spans="1:19" s="3" customFormat="1" ht="49.7">
      <c r="A21" s="120" t="s">
        <v>210</v>
      </c>
      <c r="B21" s="119" t="s">
        <v>116</v>
      </c>
      <c r="C21" s="119" t="s">
        <v>211</v>
      </c>
      <c r="D21" s="118"/>
      <c r="E21" s="118"/>
      <c r="F21" s="118"/>
      <c r="G21" s="118"/>
      <c r="H21" s="118"/>
      <c r="I21" s="117">
        <v>12</v>
      </c>
      <c r="J21" s="117">
        <v>12</v>
      </c>
      <c r="K21" s="117">
        <v>12</v>
      </c>
      <c r="L21" s="117">
        <v>12</v>
      </c>
      <c r="M21" s="117">
        <v>12</v>
      </c>
      <c r="N21" s="116">
        <f>T_SLA6[[#This Row],[(H)
Qty - Y1]]*T_SLA6[[#This Row],[(A)
Monthly Cost excluding Vat - Y1]]</f>
        <v>0</v>
      </c>
      <c r="O21" s="115">
        <f>T_SLA6[[#This Row],[(B)
Monthly Cost excluding Vat - Y2]]*T_SLA6[[#This Row],[(I)
Qty - Y2]]</f>
        <v>0</v>
      </c>
      <c r="P21" s="115">
        <f>T_SLA6[[#This Row],[(C)
Monthly Cost excluding Vat - Y3]]*T_SLA6[[#This Row],[(J)
Qty - Y3]]</f>
        <v>0</v>
      </c>
      <c r="Q21" s="115">
        <f>T_SLA6[[#This Row],[(D)
Monthly Cost excluding Vat - Y4]]*T_SLA6[[#This Row],[(K)
Qty - Y4]]</f>
        <v>0</v>
      </c>
      <c r="R21" s="115">
        <f>T_SLA6[[#This Row],[(E)
Monthly Cost excluding Vat - Y5]]*T_SLA6[[#This Row],[(L)
Qty - Y5]]</f>
        <v>0</v>
      </c>
      <c r="S21" s="114">
        <f>SUM(T_SLA6[[#This Row],[(O)
Total Cost Excluding Vat - Y1 
(A*H)]:[(S)
Total Cost Excluding Vat - Y5 
(E*L)]])</f>
        <v>0</v>
      </c>
    </row>
    <row r="22" spans="1:19" s="3" customFormat="1" ht="49.7">
      <c r="A22" s="120" t="s">
        <v>210</v>
      </c>
      <c r="B22" s="119" t="s">
        <v>118</v>
      </c>
      <c r="C22" s="119" t="s">
        <v>211</v>
      </c>
      <c r="D22" s="118"/>
      <c r="E22" s="118"/>
      <c r="F22" s="118"/>
      <c r="G22" s="118"/>
      <c r="H22" s="118"/>
      <c r="I22" s="117">
        <v>12</v>
      </c>
      <c r="J22" s="117">
        <v>12</v>
      </c>
      <c r="K22" s="117">
        <v>12</v>
      </c>
      <c r="L22" s="117">
        <v>12</v>
      </c>
      <c r="M22" s="117">
        <v>12</v>
      </c>
      <c r="N22" s="116">
        <f>T_SLA6[[#This Row],[(H)
Qty - Y1]]*T_SLA6[[#This Row],[(A)
Monthly Cost excluding Vat - Y1]]</f>
        <v>0</v>
      </c>
      <c r="O22" s="115">
        <f>T_SLA6[[#This Row],[(B)
Monthly Cost excluding Vat - Y2]]*T_SLA6[[#This Row],[(I)
Qty - Y2]]</f>
        <v>0</v>
      </c>
      <c r="P22" s="115">
        <f>T_SLA6[[#This Row],[(C)
Monthly Cost excluding Vat - Y3]]*T_SLA6[[#This Row],[(J)
Qty - Y3]]</f>
        <v>0</v>
      </c>
      <c r="Q22" s="115">
        <f>T_SLA6[[#This Row],[(D)
Monthly Cost excluding Vat - Y4]]*T_SLA6[[#This Row],[(K)
Qty - Y4]]</f>
        <v>0</v>
      </c>
      <c r="R22" s="115">
        <f>T_SLA6[[#This Row],[(E)
Monthly Cost excluding Vat - Y5]]*T_SLA6[[#This Row],[(L)
Qty - Y5]]</f>
        <v>0</v>
      </c>
      <c r="S22" s="114">
        <f>SUM(T_SLA6[[#This Row],[(O)
Total Cost Excluding Vat - Y1 
(A*H)]:[(S)
Total Cost Excluding Vat - Y5 
(E*L)]])</f>
        <v>0</v>
      </c>
    </row>
    <row r="23" spans="1:19" ht="14.65">
      <c r="A23" s="113" t="s">
        <v>29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2">
        <f>SUBTOTAL(109,T_SLA6[(O)
Total Cost Excluding Vat - Y1 
(A*H)])</f>
        <v>0</v>
      </c>
      <c r="O23" s="112">
        <f>SUBTOTAL(109,T_SLA6[(P)
Total Cost Excluding Vat - Y2 
(B*I)])</f>
        <v>0</v>
      </c>
      <c r="P23" s="112">
        <f>SUBTOTAL(109,T_SLA6[(Q)
Total Cost Excluding Vat - Y3 
(C*J)])</f>
        <v>0</v>
      </c>
      <c r="Q23" s="112">
        <f>SUBTOTAL(109,T_SLA6[(R)
Total Cost Excluding Vat - Y4 
(D*K)])</f>
        <v>0</v>
      </c>
      <c r="R23" s="112">
        <f>SUBTOTAL(109,T_SLA6[(S)
Total Cost Excluding Vat - Y5 
(E*L)])</f>
        <v>0</v>
      </c>
      <c r="S23" s="112">
        <f>SUBTOTAL(109,T_SLA6[(V)
Total Cost Excluding VAT])</f>
        <v>0</v>
      </c>
    </row>
    <row r="28" spans="1:19" ht="14.65"/>
    <row r="29" spans="1:19" ht="14.65"/>
    <row r="30" spans="1:19" ht="14.65"/>
    <row r="31" spans="1:19" ht="14.65"/>
    <row r="32" spans="1:19" ht="14.65"/>
    <row r="33" ht="14.65"/>
    <row r="34" ht="14.65"/>
    <row r="35" ht="14.65"/>
    <row r="36" ht="14.65"/>
  </sheetData>
  <mergeCells count="8">
    <mergeCell ref="A10:S10"/>
    <mergeCell ref="A12:N12"/>
    <mergeCell ref="A1:S3"/>
    <mergeCell ref="A5:S5"/>
    <mergeCell ref="A6:S6"/>
    <mergeCell ref="A7:S7"/>
    <mergeCell ref="A8:S8"/>
    <mergeCell ref="A9:S9"/>
  </mergeCells>
  <pageMargins left="0.7" right="0.7" top="0.75" bottom="0.75" header="0.3" footer="0.3"/>
  <pageSetup paperSize="8" scale="25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F453-A1F8-47C7-861F-5BD831EE4622}">
  <sheetPr>
    <tabColor rgb="FF92D050"/>
    <pageSetUpPr fitToPage="1"/>
  </sheetPr>
  <dimension ref="A1:W14"/>
  <sheetViews>
    <sheetView showGridLines="0" zoomScale="110" zoomScaleNormal="110" workbookViewId="0">
      <selection activeCell="C25" sqref="C25"/>
    </sheetView>
  </sheetViews>
  <sheetFormatPr defaultColWidth="67.85546875" defaultRowHeight="14.65"/>
  <cols>
    <col min="1" max="1" width="19" customWidth="1"/>
    <col min="2" max="2" width="32.7109375" customWidth="1"/>
    <col min="3" max="3" width="38.5703125" customWidth="1"/>
    <col min="4" max="4" width="74.7109375" customWidth="1"/>
    <col min="5" max="9" width="7.28515625" customWidth="1"/>
    <col min="10" max="14" width="11" customWidth="1"/>
    <col min="15" max="15" width="12.5703125" customWidth="1"/>
    <col min="16" max="16" width="15.42578125" customWidth="1"/>
    <col min="17" max="17" width="16.5703125" customWidth="1"/>
    <col min="18" max="18" width="16" customWidth="1"/>
    <col min="19" max="19" width="16.28515625" customWidth="1"/>
    <col min="20" max="20" width="17" customWidth="1"/>
    <col min="21" max="21" width="16.28515625" customWidth="1"/>
    <col min="23" max="23" width="3.85546875" customWidth="1"/>
  </cols>
  <sheetData>
    <row r="1" spans="1:23" s="4" customFormat="1" ht="15" customHeight="1">
      <c r="A1" s="195" t="s">
        <v>212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</row>
    <row r="2" spans="1:23" s="4" customForma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</row>
    <row r="3" spans="1:23" s="4" customFormat="1" ht="33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</row>
    <row r="4" spans="1:23" s="4" customFormat="1">
      <c r="A4" s="60"/>
      <c r="D4" s="60"/>
      <c r="E4" s="61"/>
      <c r="F4" s="61"/>
      <c r="G4" s="61"/>
      <c r="H4" s="61"/>
      <c r="I4" s="61"/>
      <c r="O4" s="5"/>
      <c r="P4" s="5"/>
      <c r="Q4" s="5"/>
      <c r="R4" s="5"/>
      <c r="S4" s="5"/>
      <c r="T4" s="5"/>
      <c r="U4" s="5"/>
      <c r="V4" s="62"/>
      <c r="W4" s="5"/>
    </row>
    <row r="5" spans="1:23" s="4" customFormat="1" ht="15.4">
      <c r="A5" s="216" t="s">
        <v>38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59"/>
      <c r="Q5" s="59"/>
      <c r="R5" s="59"/>
      <c r="S5" s="59"/>
      <c r="T5" s="59"/>
      <c r="U5" s="59"/>
      <c r="V5" s="62"/>
      <c r="W5" s="5"/>
    </row>
    <row r="6" spans="1:23" s="4" customFormat="1" ht="15.4">
      <c r="A6" s="212" t="s">
        <v>213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42"/>
      <c r="Q6" s="42"/>
      <c r="R6" s="42"/>
      <c r="S6" s="42"/>
      <c r="T6" s="42"/>
      <c r="U6" s="42"/>
      <c r="V6" s="62"/>
      <c r="W6" s="5"/>
    </row>
    <row r="7" spans="1:23" s="4" customFormat="1" ht="15.4">
      <c r="A7" s="212" t="s">
        <v>5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42"/>
      <c r="Q7" s="42"/>
      <c r="R7" s="42"/>
      <c r="S7" s="42"/>
      <c r="T7" s="42"/>
      <c r="U7" s="42"/>
      <c r="V7" s="62"/>
      <c r="W7" s="5"/>
    </row>
    <row r="8" spans="1:23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</row>
    <row r="12" spans="1:23" ht="87.4">
      <c r="A12" s="63" t="s">
        <v>215</v>
      </c>
      <c r="B12" s="63" t="s">
        <v>216</v>
      </c>
      <c r="C12" s="64" t="s">
        <v>217</v>
      </c>
      <c r="D12" s="64" t="s">
        <v>218</v>
      </c>
      <c r="E12" s="65" t="s">
        <v>219</v>
      </c>
      <c r="F12" s="65" t="s">
        <v>220</v>
      </c>
      <c r="G12" s="65" t="s">
        <v>221</v>
      </c>
      <c r="H12" s="65" t="s">
        <v>222</v>
      </c>
      <c r="I12" s="65" t="s">
        <v>223</v>
      </c>
      <c r="J12" s="66" t="s">
        <v>224</v>
      </c>
      <c r="K12" s="66" t="s">
        <v>225</v>
      </c>
      <c r="L12" s="66" t="s">
        <v>226</v>
      </c>
      <c r="M12" s="66" t="s">
        <v>227</v>
      </c>
      <c r="N12" s="66" t="s">
        <v>228</v>
      </c>
      <c r="O12" s="67" t="s">
        <v>229</v>
      </c>
      <c r="P12" s="68" t="s">
        <v>230</v>
      </c>
      <c r="Q12" s="68" t="s">
        <v>231</v>
      </c>
      <c r="R12" s="68" t="s">
        <v>232</v>
      </c>
      <c r="S12" s="68" t="s">
        <v>233</v>
      </c>
      <c r="T12" s="68" t="s">
        <v>234</v>
      </c>
      <c r="U12" s="68" t="s">
        <v>235</v>
      </c>
      <c r="V12" s="69" t="s">
        <v>236</v>
      </c>
    </row>
    <row r="13" spans="1:23">
      <c r="A13" t="s">
        <v>237</v>
      </c>
      <c r="B13" t="s">
        <v>238</v>
      </c>
      <c r="C13" t="s">
        <v>239</v>
      </c>
      <c r="D13" t="s">
        <v>240</v>
      </c>
      <c r="E13" s="10">
        <v>130</v>
      </c>
      <c r="F13" s="10">
        <v>130</v>
      </c>
      <c r="G13" s="10">
        <v>0</v>
      </c>
      <c r="H13" s="10">
        <v>0</v>
      </c>
      <c r="I13" s="10">
        <v>0</v>
      </c>
      <c r="J13" s="70"/>
      <c r="K13" s="70"/>
      <c r="L13" s="70"/>
      <c r="M13" s="70"/>
      <c r="N13" s="70"/>
      <c r="O13" s="71">
        <f t="shared" ref="O13" si="0">Exchange_Rate</f>
        <v>17.2315</v>
      </c>
      <c r="P13" s="72">
        <f>T_MAIN_SW[[#This Row],[(A) 
Qty of licences - Y1]]*T_MAIN_SW[[#This Row],[(H)
License fees Annual in USD (TOTAL) - Y1]]*T_MAIN_SW[[#This Row],[(O)
Exchange Rate]]</f>
        <v>0</v>
      </c>
      <c r="Q13" s="72">
        <f>T_MAIN_SW[[#This Row],[(B) 
Qty of licences - Y2]]*T_MAIN_SW[[#This Row],[(I)
License fees Annual in USD (TOTAL) - Y2]]*T_MAIN_SW[[#This Row],[(O)
Exchange Rate]]</f>
        <v>0</v>
      </c>
      <c r="R13" s="72">
        <f>T_MAIN_SW[[#This Row],[(C) 
Qty of licences - Y3]]*T_MAIN_SW[[#This Row],[(J)
License fees Annual in USD (TOTAL) - Y3]]*T_MAIN_SW[[#This Row],[(O)
Exchange Rate]]</f>
        <v>0</v>
      </c>
      <c r="S13" s="72">
        <f>T_MAIN_SW[[#This Row],[(D) 
Qty of licences - Y4]]*T_MAIN_SW[[#This Row],[(K)
License fees Annual in USD (TOTAL) - Y4]]*T_MAIN_SW[[#This Row],[(O)
Exchange Rate]]</f>
        <v>0</v>
      </c>
      <c r="T13" s="72">
        <f>T_MAIN_SW[[#This Row],[(E) 
Qty of licences - Y5]]*T_MAIN_SW[[#This Row],[(L)
License fees Annual in USD (TOTAL) - Y5]]*T_MAIN_SW[[#This Row],[(O)
Exchange Rate]]</f>
        <v>0</v>
      </c>
      <c r="U13" s="72">
        <f>SUM(T_MAIN_SW[[#This Row],[(P)
TOTAL Excluding VAT
(A*H*O) - Y1]:[(T)
TOTAL Excluding VAT
(E*L*O) - Y5]])</f>
        <v>0</v>
      </c>
      <c r="V13" s="73"/>
    </row>
    <row r="14" spans="1:23">
      <c r="A14" t="s">
        <v>29</v>
      </c>
      <c r="D14" s="17"/>
      <c r="J14" s="70"/>
      <c r="K14" s="70"/>
      <c r="L14" s="70"/>
      <c r="M14" s="70"/>
      <c r="N14" s="70"/>
      <c r="O14" s="74"/>
      <c r="P14" s="75">
        <f>SUBTOTAL(109,T_MAIN_SW[(P)
TOTAL Excluding VAT
(A*H*O) - Y1])</f>
        <v>0</v>
      </c>
      <c r="Q14" s="75">
        <f>SUBTOTAL(109,T_MAIN_SW[(Q)
TOTAL Excluding VAT
(B*I*O) - Y2])</f>
        <v>0</v>
      </c>
      <c r="R14" s="75">
        <f>SUBTOTAL(109,T_MAIN_SW[(R)
TOTAL Excluding VAT
(C*J*O) - Y3])</f>
        <v>0</v>
      </c>
      <c r="S14" s="75">
        <f>SUBTOTAL(109,T_MAIN_SW[(S)
TOTAL Excluding VAT
(D*K*O) - Y4])</f>
        <v>0</v>
      </c>
      <c r="T14" s="75">
        <f>SUBTOTAL(109,T_MAIN_SW[(T)
TOTAL Excluding VAT
(E*L*O) - Y5])</f>
        <v>0</v>
      </c>
      <c r="U14" s="75">
        <f>SUBTOTAL(109,T_MAIN_SW[(W)
TOTAL Excluding VAT])</f>
        <v>0</v>
      </c>
      <c r="V14" s="73">
        <f>SUBTOTAL(103,T_MAIN_SW[Comments])</f>
        <v>0</v>
      </c>
    </row>
  </sheetData>
  <mergeCells count="5">
    <mergeCell ref="A1:W3"/>
    <mergeCell ref="A5:O5"/>
    <mergeCell ref="A6:O6"/>
    <mergeCell ref="A7:O7"/>
    <mergeCell ref="A8:W8"/>
  </mergeCells>
  <pageMargins left="0.70866141732283472" right="0.70866141732283472" top="0.74803149606299213" bottom="0.74803149606299213" header="0.31496062992125984" footer="0.31496062992125984"/>
  <pageSetup paperSize="8" scale="31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DE58-0021-4DF6-8A8D-F8BEC5806E87}">
  <sheetPr>
    <tabColor rgb="FF92D050"/>
    <pageSetUpPr fitToPage="1"/>
  </sheetPr>
  <dimension ref="A1:AC28"/>
  <sheetViews>
    <sheetView showGridLines="0" zoomScaleNormal="100" workbookViewId="0">
      <selection activeCell="A5" sqref="A5:D5"/>
    </sheetView>
  </sheetViews>
  <sheetFormatPr defaultColWidth="9.140625" defaultRowHeight="14.65"/>
  <cols>
    <col min="1" max="1" width="17.7109375" bestFit="1" customWidth="1"/>
    <col min="2" max="2" width="22.42578125" bestFit="1" customWidth="1"/>
    <col min="3" max="3" width="23.42578125" bestFit="1" customWidth="1"/>
    <col min="4" max="4" width="22.85546875" bestFit="1" customWidth="1"/>
    <col min="5" max="5" width="22.85546875" style="91" bestFit="1" customWidth="1"/>
    <col min="6" max="6" width="10.7109375" style="10" customWidth="1"/>
    <col min="7" max="7" width="10.7109375" style="92" customWidth="1"/>
    <col min="8" max="8" width="10.7109375" style="94" customWidth="1"/>
    <col min="9" max="9" width="10.7109375" style="10" customWidth="1"/>
    <col min="10" max="10" width="13.85546875" customWidth="1"/>
    <col min="11" max="11" width="11" customWidth="1"/>
    <col min="12" max="16" width="19.28515625" customWidth="1"/>
    <col min="17" max="17" width="14.7109375" bestFit="1" customWidth="1"/>
    <col min="18" max="18" width="22.42578125" bestFit="1" customWidth="1"/>
    <col min="19" max="22" width="22.85546875" bestFit="1" customWidth="1"/>
    <col min="23" max="27" width="15.28515625" customWidth="1"/>
    <col min="28" max="28" width="15.5703125" bestFit="1" customWidth="1"/>
    <col min="29" max="29" width="57.5703125" customWidth="1"/>
  </cols>
  <sheetData>
    <row r="1" spans="1:29" s="4" customFormat="1" ht="15" customHeight="1">
      <c r="A1" s="191" t="s">
        <v>241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3"/>
    </row>
    <row r="2" spans="1:2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/>
    </row>
    <row r="3" spans="1:2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6"/>
    </row>
    <row r="4" spans="1:2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9"/>
    </row>
    <row r="5" spans="1:29" s="4" customFormat="1" ht="15.4">
      <c r="A5" s="216" t="s">
        <v>38</v>
      </c>
      <c r="B5" s="216"/>
      <c r="C5" s="216"/>
      <c r="D5" s="216"/>
      <c r="E5" s="76"/>
      <c r="F5" s="76"/>
      <c r="G5" s="77"/>
      <c r="H5" s="78"/>
      <c r="I5" s="78"/>
    </row>
    <row r="6" spans="1:29" s="4" customFormat="1" ht="15.4">
      <c r="A6" s="212" t="s">
        <v>242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9" s="4" customFormat="1" ht="15.4">
      <c r="A7" s="212" t="s">
        <v>213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29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29" s="4" customFormat="1" ht="15.4">
      <c r="A9" s="212" t="s">
        <v>243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</row>
    <row r="10" spans="1:29" ht="15.4">
      <c r="A10" s="42"/>
      <c r="B10" s="42"/>
      <c r="C10" s="42"/>
      <c r="D10" s="42"/>
      <c r="E10" s="79"/>
      <c r="F10" s="80"/>
      <c r="G10" s="81"/>
      <c r="H10" s="82"/>
      <c r="I10" s="81"/>
      <c r="J10" s="7"/>
      <c r="K10" s="7"/>
      <c r="L10" s="42"/>
    </row>
    <row r="11" spans="1:29" ht="15.4">
      <c r="A11" s="42"/>
      <c r="B11" s="42"/>
      <c r="C11" s="42"/>
      <c r="D11" s="42"/>
      <c r="E11" s="79"/>
      <c r="F11" s="80"/>
      <c r="G11" s="83"/>
      <c r="H11" s="84"/>
      <c r="I11" s="78"/>
      <c r="J11" s="4"/>
      <c r="K11" s="4"/>
      <c r="L11" s="4"/>
    </row>
    <row r="12" spans="1:29" ht="131.1">
      <c r="A12" s="85" t="s">
        <v>244</v>
      </c>
      <c r="B12" s="85" t="s">
        <v>245</v>
      </c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254</v>
      </c>
      <c r="L12" s="127" t="s">
        <v>255</v>
      </c>
      <c r="M12" s="127" t="s">
        <v>256</v>
      </c>
      <c r="N12" s="127" t="s">
        <v>257</v>
      </c>
      <c r="O12" s="127" t="s">
        <v>258</v>
      </c>
      <c r="P12" s="127" t="s">
        <v>259</v>
      </c>
      <c r="Q12" s="9" t="s">
        <v>260</v>
      </c>
      <c r="R12" s="87" t="s">
        <v>261</v>
      </c>
      <c r="S12" s="87" t="s">
        <v>262</v>
      </c>
      <c r="T12" s="87" t="s">
        <v>263</v>
      </c>
      <c r="U12" s="87" t="s">
        <v>264</v>
      </c>
      <c r="V12" s="87" t="s">
        <v>265</v>
      </c>
      <c r="W12" s="87" t="s">
        <v>266</v>
      </c>
      <c r="X12" s="87" t="s">
        <v>267</v>
      </c>
      <c r="Y12" s="87" t="s">
        <v>268</v>
      </c>
      <c r="Z12" s="87" t="s">
        <v>269</v>
      </c>
      <c r="AA12" s="87" t="s">
        <v>270</v>
      </c>
      <c r="AB12" s="87" t="s">
        <v>271</v>
      </c>
      <c r="AC12" s="9" t="s">
        <v>236</v>
      </c>
    </row>
    <row r="13" spans="1:29">
      <c r="A13" s="10" t="s">
        <v>102</v>
      </c>
      <c r="B13" t="s">
        <v>272</v>
      </c>
      <c r="C13" t="s">
        <v>273</v>
      </c>
      <c r="D13" t="s">
        <v>274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t="s">
        <v>275</v>
      </c>
      <c r="K13" t="s">
        <v>275</v>
      </c>
      <c r="L13" s="70"/>
      <c r="M13" s="70"/>
      <c r="N13" s="70"/>
      <c r="O13" s="70"/>
      <c r="P13" s="70"/>
      <c r="Q13" s="74">
        <f t="shared" ref="Q13:Q27" si="0">Exchange_Rate</f>
        <v>17.2315</v>
      </c>
      <c r="R13" s="128"/>
      <c r="S13" s="128"/>
      <c r="T13" s="128"/>
      <c r="U13" s="128"/>
      <c r="V13" s="128"/>
      <c r="W13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3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3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3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3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3" s="8">
        <f>SUM(T_MAIN_DC[[#This Row],[(Y)
TOTAL Excluding VAT - Y1
((A*J)*Q)+((A*R)*12))]:[(AC)
TOTAL Excluding VAT - Y5
((E*N*Q)+((E*V)*12))]])</f>
        <v>0</v>
      </c>
      <c r="AC13" s="73"/>
    </row>
    <row r="14" spans="1:29">
      <c r="A14" s="10" t="s">
        <v>102</v>
      </c>
      <c r="B14" t="s">
        <v>276</v>
      </c>
      <c r="C14" t="s">
        <v>277</v>
      </c>
      <c r="D14" t="s">
        <v>274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t="s">
        <v>275</v>
      </c>
      <c r="K14" t="s">
        <v>275</v>
      </c>
      <c r="L14" s="70"/>
      <c r="M14" s="70"/>
      <c r="N14" s="70"/>
      <c r="O14" s="70"/>
      <c r="P14" s="70"/>
      <c r="Q14" s="74">
        <f t="shared" si="0"/>
        <v>17.2315</v>
      </c>
      <c r="R14" s="128"/>
      <c r="S14" s="128"/>
      <c r="T14" s="128"/>
      <c r="U14" s="128"/>
      <c r="V14" s="128"/>
      <c r="W14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4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4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4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4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4" s="8">
        <f>SUM(T_MAIN_DC[[#This Row],[(Y)
TOTAL Excluding VAT - Y1
((A*J)*Q)+((A*R)*12))]:[(AC)
TOTAL Excluding VAT - Y5
((E*N*Q)+((E*V)*12))]])</f>
        <v>0</v>
      </c>
      <c r="AC14" s="73"/>
    </row>
    <row r="15" spans="1:29">
      <c r="A15" s="10" t="s">
        <v>102</v>
      </c>
      <c r="B15" t="s">
        <v>278</v>
      </c>
      <c r="C15" t="s">
        <v>279</v>
      </c>
      <c r="D15" t="s">
        <v>274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t="s">
        <v>275</v>
      </c>
      <c r="K15" t="s">
        <v>275</v>
      </c>
      <c r="L15" s="70"/>
      <c r="M15" s="70"/>
      <c r="N15" s="70"/>
      <c r="O15" s="70"/>
      <c r="P15" s="70"/>
      <c r="Q15" s="74">
        <f t="shared" si="0"/>
        <v>17.2315</v>
      </c>
      <c r="R15" s="128"/>
      <c r="S15" s="128"/>
      <c r="T15" s="128"/>
      <c r="U15" s="128"/>
      <c r="V15" s="128"/>
      <c r="W15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5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5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5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5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5" s="8">
        <f>SUM(T_MAIN_DC[[#This Row],[(Y)
TOTAL Excluding VAT - Y1
((A*J)*Q)+((A*R)*12))]:[(AC)
TOTAL Excluding VAT - Y5
((E*N*Q)+((E*V)*12))]])</f>
        <v>0</v>
      </c>
      <c r="AC15" s="73"/>
    </row>
    <row r="16" spans="1:29">
      <c r="A16" s="10" t="s">
        <v>102</v>
      </c>
      <c r="B16" t="s">
        <v>280</v>
      </c>
      <c r="C16" s="132" t="s">
        <v>281</v>
      </c>
      <c r="D16" s="132" t="s">
        <v>274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t="s">
        <v>275</v>
      </c>
      <c r="K16" t="s">
        <v>275</v>
      </c>
      <c r="L16" s="70"/>
      <c r="M16" s="70"/>
      <c r="N16" s="70"/>
      <c r="O16" s="70"/>
      <c r="P16" s="70"/>
      <c r="Q16" s="74">
        <f t="shared" ref="Q16:Q24" si="1">Exchange_Rate</f>
        <v>17.2315</v>
      </c>
      <c r="R16" s="128"/>
      <c r="S16" s="128"/>
      <c r="T16" s="128"/>
      <c r="U16" s="128"/>
      <c r="V16" s="128"/>
      <c r="W16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6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6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6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6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6" s="8">
        <f>SUM(T_MAIN_DC[[#This Row],[(Y)
TOTAL Excluding VAT - Y1
((A*J)*Q)+((A*R)*12))]:[(AC)
TOTAL Excluding VAT - Y5
((E*N*Q)+((E*V)*12))]])</f>
        <v>0</v>
      </c>
      <c r="AC16" s="131"/>
    </row>
    <row r="17" spans="1:29">
      <c r="A17" s="10" t="s">
        <v>102</v>
      </c>
      <c r="B17" t="s">
        <v>282</v>
      </c>
      <c r="C17" s="132" t="s">
        <v>283</v>
      </c>
      <c r="D17" s="132" t="s">
        <v>274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t="s">
        <v>275</v>
      </c>
      <c r="K17" t="s">
        <v>275</v>
      </c>
      <c r="L17" s="70"/>
      <c r="M17" s="70"/>
      <c r="N17" s="70"/>
      <c r="O17" s="70"/>
      <c r="P17" s="70"/>
      <c r="Q17" s="74">
        <f t="shared" si="1"/>
        <v>17.2315</v>
      </c>
      <c r="R17" s="128"/>
      <c r="S17" s="128"/>
      <c r="T17" s="128"/>
      <c r="U17" s="128"/>
      <c r="V17" s="128"/>
      <c r="W17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7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7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7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7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7" s="8">
        <f>SUM(T_MAIN_DC[[#This Row],[(Y)
TOTAL Excluding VAT - Y1
((A*J)*Q)+((A*R)*12))]:[(AC)
TOTAL Excluding VAT - Y5
((E*N*Q)+((E*V)*12))]])</f>
        <v>0</v>
      </c>
      <c r="AC17" s="131"/>
    </row>
    <row r="18" spans="1:29">
      <c r="A18" s="10" t="s">
        <v>102</v>
      </c>
      <c r="B18" t="s">
        <v>284</v>
      </c>
      <c r="C18" s="132" t="s">
        <v>285</v>
      </c>
      <c r="D18" s="132" t="s">
        <v>286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t="s">
        <v>275</v>
      </c>
      <c r="K18" t="s">
        <v>275</v>
      </c>
      <c r="L18" s="70"/>
      <c r="M18" s="70"/>
      <c r="N18" s="70"/>
      <c r="O18" s="70"/>
      <c r="P18" s="70"/>
      <c r="Q18" s="74">
        <f t="shared" si="1"/>
        <v>17.2315</v>
      </c>
      <c r="R18" s="128"/>
      <c r="S18" s="128"/>
      <c r="T18" s="128"/>
      <c r="U18" s="128"/>
      <c r="V18" s="128"/>
      <c r="W18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8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8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8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8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8" s="8">
        <f>SUM(T_MAIN_DC[[#This Row],[(Y)
TOTAL Excluding VAT - Y1
((A*J)*Q)+((A*R)*12))]:[(AC)
TOTAL Excluding VAT - Y5
((E*N*Q)+((E*V)*12))]])</f>
        <v>0</v>
      </c>
      <c r="AC18" s="131"/>
    </row>
    <row r="19" spans="1:29">
      <c r="A19" s="10" t="s">
        <v>102</v>
      </c>
      <c r="B19" t="s">
        <v>284</v>
      </c>
      <c r="C19" s="132" t="s">
        <v>287</v>
      </c>
      <c r="D19" s="132" t="s">
        <v>286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t="s">
        <v>275</v>
      </c>
      <c r="K19" t="s">
        <v>275</v>
      </c>
      <c r="L19" s="70"/>
      <c r="M19" s="70"/>
      <c r="N19" s="70"/>
      <c r="O19" s="70"/>
      <c r="P19" s="70"/>
      <c r="Q19" s="74">
        <f t="shared" si="1"/>
        <v>17.2315</v>
      </c>
      <c r="R19" s="128"/>
      <c r="S19" s="128"/>
      <c r="T19" s="128"/>
      <c r="U19" s="128"/>
      <c r="V19" s="128"/>
      <c r="W19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19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19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19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19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19" s="8">
        <f>SUM(T_MAIN_DC[[#This Row],[(Y)
TOTAL Excluding VAT - Y1
((A*J)*Q)+((A*R)*12))]:[(AC)
TOTAL Excluding VAT - Y5
((E*N*Q)+((E*V)*12))]])</f>
        <v>0</v>
      </c>
      <c r="AC19" s="131"/>
    </row>
    <row r="20" spans="1:29">
      <c r="A20" s="10" t="s">
        <v>102</v>
      </c>
      <c r="B20" t="s">
        <v>284</v>
      </c>
      <c r="C20" s="132" t="s">
        <v>285</v>
      </c>
      <c r="D20" s="132" t="s">
        <v>286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t="s">
        <v>275</v>
      </c>
      <c r="K20" t="s">
        <v>275</v>
      </c>
      <c r="L20" s="70"/>
      <c r="M20" s="70"/>
      <c r="N20" s="70"/>
      <c r="O20" s="70"/>
      <c r="P20" s="70"/>
      <c r="Q20" s="74">
        <f t="shared" si="1"/>
        <v>17.2315</v>
      </c>
      <c r="R20" s="128"/>
      <c r="S20" s="128"/>
      <c r="T20" s="128"/>
      <c r="U20" s="128"/>
      <c r="V20" s="128"/>
      <c r="W20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0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0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0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0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0" s="8">
        <f>SUM(T_MAIN_DC[[#This Row],[(Y)
TOTAL Excluding VAT - Y1
((A*J)*Q)+((A*R)*12))]:[(AC)
TOTAL Excluding VAT - Y5
((E*N*Q)+((E*V)*12))]])</f>
        <v>0</v>
      </c>
      <c r="AC20" s="131"/>
    </row>
    <row r="21" spans="1:29">
      <c r="A21" s="10" t="s">
        <v>102</v>
      </c>
      <c r="B21" t="s">
        <v>284</v>
      </c>
      <c r="C21" s="132" t="s">
        <v>287</v>
      </c>
      <c r="D21" s="132" t="s">
        <v>286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t="s">
        <v>275</v>
      </c>
      <c r="K21" t="s">
        <v>275</v>
      </c>
      <c r="L21" s="70"/>
      <c r="M21" s="70"/>
      <c r="N21" s="70"/>
      <c r="O21" s="70"/>
      <c r="P21" s="70"/>
      <c r="Q21" s="74">
        <f t="shared" si="1"/>
        <v>17.2315</v>
      </c>
      <c r="R21" s="128"/>
      <c r="S21" s="128"/>
      <c r="T21" s="128"/>
      <c r="U21" s="128"/>
      <c r="V21" s="128"/>
      <c r="W21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1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1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1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1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1" s="8">
        <f>SUM(T_MAIN_DC[[#This Row],[(Y)
TOTAL Excluding VAT - Y1
((A*J)*Q)+((A*R)*12))]:[(AC)
TOTAL Excluding VAT - Y5
((E*N*Q)+((E*V)*12))]])</f>
        <v>0</v>
      </c>
      <c r="AC21" s="131"/>
    </row>
    <row r="22" spans="1:29">
      <c r="A22" s="10" t="s">
        <v>108</v>
      </c>
      <c r="B22" t="s">
        <v>288</v>
      </c>
      <c r="C22" s="132" t="s">
        <v>289</v>
      </c>
      <c r="D22" s="132" t="s">
        <v>274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t="s">
        <v>275</v>
      </c>
      <c r="K22" t="s">
        <v>275</v>
      </c>
      <c r="L22" s="70"/>
      <c r="M22" s="70"/>
      <c r="N22" s="70"/>
      <c r="O22" s="70"/>
      <c r="P22" s="70"/>
      <c r="Q22" s="74">
        <f t="shared" si="1"/>
        <v>17.2315</v>
      </c>
      <c r="R22" s="128"/>
      <c r="S22" s="128"/>
      <c r="T22" s="128"/>
      <c r="U22" s="128"/>
      <c r="V22" s="128"/>
      <c r="W22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2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2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2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2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2" s="8">
        <f>SUM(T_MAIN_DC[[#This Row],[(Y)
TOTAL Excluding VAT - Y1
((A*J)*Q)+((A*R)*12))]:[(AC)
TOTAL Excluding VAT - Y5
((E*N*Q)+((E*V)*12))]])</f>
        <v>0</v>
      </c>
      <c r="AC22" s="131"/>
    </row>
    <row r="23" spans="1:29">
      <c r="A23" s="10" t="s">
        <v>118</v>
      </c>
      <c r="B23" t="s">
        <v>290</v>
      </c>
      <c r="C23" s="132" t="s">
        <v>291</v>
      </c>
      <c r="D23" s="132" t="s">
        <v>292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t="s">
        <v>275</v>
      </c>
      <c r="K23" t="s">
        <v>275</v>
      </c>
      <c r="L23" s="70"/>
      <c r="M23" s="70"/>
      <c r="N23" s="70"/>
      <c r="O23" s="70"/>
      <c r="P23" s="70"/>
      <c r="Q23" s="74">
        <f t="shared" si="1"/>
        <v>17.2315</v>
      </c>
      <c r="R23" s="128"/>
      <c r="S23" s="128"/>
      <c r="T23" s="128"/>
      <c r="U23" s="128"/>
      <c r="V23" s="128"/>
      <c r="W23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3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3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3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3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3" s="8">
        <f>SUM(T_MAIN_DC[[#This Row],[(Y)
TOTAL Excluding VAT - Y1
((A*J)*Q)+((A*R)*12))]:[(AC)
TOTAL Excluding VAT - Y5
((E*N*Q)+((E*V)*12))]])</f>
        <v>0</v>
      </c>
      <c r="AC23" s="131"/>
    </row>
    <row r="24" spans="1:29">
      <c r="A24" s="10" t="s">
        <v>116</v>
      </c>
      <c r="B24" t="s">
        <v>293</v>
      </c>
      <c r="C24" s="132" t="s">
        <v>294</v>
      </c>
      <c r="D24" s="132" t="s">
        <v>292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t="s">
        <v>275</v>
      </c>
      <c r="K24" t="s">
        <v>275</v>
      </c>
      <c r="L24" s="70"/>
      <c r="M24" s="70"/>
      <c r="N24" s="70"/>
      <c r="O24" s="70"/>
      <c r="P24" s="70"/>
      <c r="Q24" s="74">
        <f t="shared" si="1"/>
        <v>17.2315</v>
      </c>
      <c r="R24" s="128"/>
      <c r="S24" s="128"/>
      <c r="T24" s="128"/>
      <c r="U24" s="128"/>
      <c r="V24" s="128"/>
      <c r="W24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4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4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4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4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4" s="8">
        <f>SUM(T_MAIN_DC[[#This Row],[(Y)
TOTAL Excluding VAT - Y1
((A*J)*Q)+((A*R)*12))]:[(AC)
TOTAL Excluding VAT - Y5
((E*N*Q)+((E*V)*12))]])</f>
        <v>0</v>
      </c>
      <c r="AC24" s="131"/>
    </row>
    <row r="25" spans="1:29">
      <c r="A25" s="10" t="s">
        <v>112</v>
      </c>
      <c r="B25" t="s">
        <v>295</v>
      </c>
      <c r="C25" t="s">
        <v>296</v>
      </c>
      <c r="D25" t="s">
        <v>292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t="s">
        <v>275</v>
      </c>
      <c r="K25" t="s">
        <v>275</v>
      </c>
      <c r="L25" s="70"/>
      <c r="M25" s="70"/>
      <c r="N25" s="70"/>
      <c r="O25" s="70"/>
      <c r="P25" s="70"/>
      <c r="Q25" s="74">
        <f t="shared" si="0"/>
        <v>17.2315</v>
      </c>
      <c r="R25" s="128"/>
      <c r="S25" s="128"/>
      <c r="T25" s="128"/>
      <c r="U25" s="128"/>
      <c r="V25" s="128"/>
      <c r="W25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5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5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5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5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5" s="8">
        <f>SUM(T_MAIN_DC[[#This Row],[(Y)
TOTAL Excluding VAT - Y1
((A*J)*Q)+((A*R)*12))]:[(AC)
TOTAL Excluding VAT - Y5
((E*N*Q)+((E*V)*12))]])</f>
        <v>0</v>
      </c>
      <c r="AC25" s="73"/>
    </row>
    <row r="26" spans="1:29">
      <c r="A26" s="10" t="s">
        <v>114</v>
      </c>
      <c r="B26" t="s">
        <v>297</v>
      </c>
      <c r="C26" t="s">
        <v>298</v>
      </c>
      <c r="D26" t="s">
        <v>292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t="s">
        <v>275</v>
      </c>
      <c r="K26" t="s">
        <v>275</v>
      </c>
      <c r="L26" s="70"/>
      <c r="M26" s="70"/>
      <c r="N26" s="70"/>
      <c r="O26" s="70"/>
      <c r="P26" s="70"/>
      <c r="Q26" s="74">
        <f t="shared" si="0"/>
        <v>17.2315</v>
      </c>
      <c r="R26" s="128"/>
      <c r="S26" s="128"/>
      <c r="T26" s="128"/>
      <c r="U26" s="128"/>
      <c r="V26" s="128"/>
      <c r="W26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6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6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6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6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6" s="8">
        <f>SUM(T_MAIN_DC[[#This Row],[(Y)
TOTAL Excluding VAT - Y1
((A*J)*Q)+((A*R)*12))]:[(AC)
TOTAL Excluding VAT - Y5
((E*N*Q)+((E*V)*12))]])</f>
        <v>0</v>
      </c>
      <c r="AC26" s="73"/>
    </row>
    <row r="27" spans="1:29">
      <c r="A27" s="10" t="s">
        <v>110</v>
      </c>
      <c r="B27" t="s">
        <v>299</v>
      </c>
      <c r="C27" t="s">
        <v>300</v>
      </c>
      <c r="D27" t="s">
        <v>292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t="s">
        <v>275</v>
      </c>
      <c r="K27" t="s">
        <v>275</v>
      </c>
      <c r="L27" s="70"/>
      <c r="M27" s="70"/>
      <c r="N27" s="70"/>
      <c r="O27" s="70"/>
      <c r="P27" s="70"/>
      <c r="Q27" s="74">
        <f t="shared" si="0"/>
        <v>17.2315</v>
      </c>
      <c r="R27" s="128"/>
      <c r="S27" s="128"/>
      <c r="T27" s="128"/>
      <c r="U27" s="128"/>
      <c r="V27" s="128"/>
      <c r="W27" s="8">
        <f>((T_MAIN_DC[[#This Row],[(A)
Qty  - Y1]]*T_MAIN_DC[[#This Row],[(J)
USD PRICE
Annual Partner Support Service (1 Year)
Chassis Plus Modules
- according to HW service level (I)
Y1]])*T_MAIN_DC[[#This Row],[(Q)
Exchange Rate]])+((T_MAIN_DC[[#This Row],[(A)
Qty  - Y1]]*T_MAIN_DC[[#This Row],[(R)
Monthly Maintenance according to Service  Level (H) - Y1]])*12)</f>
        <v>0</v>
      </c>
      <c r="X27" s="8">
        <f>((T_MAIN_DC[[#This Row],[(B)
Qty  - Y2]]*T_MAIN_DC[[#This Row],[(K)
USD PRICE
Annual Partner Support Service (1 Year)
Chassis Plus Modules
- according to HW service level (I)
Y2]])*T_MAIN_DC[[#This Row],[(Q)
Exchange Rate]])+((T_MAIN_DC[[#This Row],[(B)
Qty  - Y2]]*T_MAIN_DC[[#This Row],[(S)
Monthly Maintenance according to Service  Level (H) - Y2]])*12)</f>
        <v>0</v>
      </c>
      <c r="Y27" s="8">
        <f>((T_MAIN_DC[[#This Row],[(C)
Qty  - Y3]]*T_MAIN_DC[[#This Row],[(L)
USD PRICE
Annual Partner Support Service (1 Year)
Chassis Plus Modules
- according to HW service level (I)
Y3]])*T_MAIN_DC[[#This Row],[(Q)
Exchange Rate]])+((T_MAIN_DC[[#This Row],[(C)
Qty  - Y3]]*T_MAIN_DC[[#This Row],[(T)
Monthly Maintenance according to Service  Level (H) - Y3]])*12)</f>
        <v>0</v>
      </c>
      <c r="Z27" s="8">
        <f>((T_MAIN_DC[[#This Row],[(D)
Qty  - Y4]]*T_MAIN_DC[[#This Row],[(M)
USD PRICE
Annual Partner Support Service (1 Year)
Chassis Plus Modules
- according to HW service level (I)
Y4]])*T_MAIN_DC[[#This Row],[(Q)
Exchange Rate]])+((T_MAIN_DC[[#This Row],[(D)
Qty  - Y4]]*T_MAIN_DC[[#This Row],[(U)
Monthly Maintenance according to Service  Level (H) - Y4]])*12)</f>
        <v>0</v>
      </c>
      <c r="AA27" s="8">
        <f>((T_MAIN_DC[[#This Row],[(E)
Qty  - Y5]]*T_MAIN_DC[[#This Row],[(N)
USD PRICE
Annual Partner Support Service (1 Year)
Chassis Plus Modules
- according to HW service level (I)
Y5]])*T_MAIN_DC[[#This Row],[(Q)
Exchange Rate]])+((T_MAIN_DC[[#This Row],[(E)
Qty  - Y5]]*T_MAIN_DC[[#This Row],[(V)
Monthly Maintenance according to Service  Level (H) - Y5]])*12)</f>
        <v>0</v>
      </c>
      <c r="AB27" s="8">
        <f>SUM(T_MAIN_DC[[#This Row],[(Y)
TOTAL Excluding VAT - Y1
((A*J)*Q)+((A*R)*12))]:[(AC)
TOTAL Excluding VAT - Y5
((E*N*Q)+((E*V)*12))]])</f>
        <v>0</v>
      </c>
      <c r="AC27" s="73"/>
    </row>
    <row r="28" spans="1:29">
      <c r="A28" t="s">
        <v>29</v>
      </c>
      <c r="C28" s="129"/>
      <c r="D28" s="129"/>
      <c r="H28" s="93"/>
      <c r="L28" s="70"/>
      <c r="M28" s="70"/>
      <c r="N28" s="70"/>
      <c r="O28" s="70"/>
      <c r="P28" s="70"/>
      <c r="Q28" s="74"/>
      <c r="R28" s="128"/>
      <c r="S28" s="128"/>
      <c r="T28" s="128"/>
      <c r="U28" s="128"/>
      <c r="V28" s="128"/>
      <c r="W28" s="8">
        <f>SUBTOTAL(109,T_MAIN_DC[(Y)
TOTAL Excluding VAT - Y1
((A*J)*Q)+((A*R)*12))])</f>
        <v>0</v>
      </c>
      <c r="X28" s="8">
        <f>SUBTOTAL(109,T_MAIN_DC[(Z)
TOTAL Excluding VAT - Y2
((B*K)*Q)+((B*S)*12))])</f>
        <v>0</v>
      </c>
      <c r="Y28" s="8">
        <f>SUBTOTAL(109,T_MAIN_DC[AA)
TOTAL Excluding VAT - Y3
((C*L)*Q)+((C*T)*12))])</f>
        <v>0</v>
      </c>
      <c r="Z28" s="8">
        <f>SUBTOTAL(109,T_MAIN_DC[(AB)
TOTAL Excluding VAT - Y4
((D*M)*Q)+((D*U)*12))])</f>
        <v>0</v>
      </c>
      <c r="AA28" s="8">
        <f>SUBTOTAL(109,T_MAIN_DC[(AC)
TOTAL Excluding VAT - Y5
((E*N*Q)+((E*V)*12))])</f>
        <v>0</v>
      </c>
      <c r="AB28" s="8">
        <f>SUBTOTAL(109,T_MAIN_DC[(AF)
TOTAL Excluding VAT])</f>
        <v>0</v>
      </c>
      <c r="AC28" s="131">
        <f>SUBTOTAL(103,T_MAIN_DC[Comments])</f>
        <v>0</v>
      </c>
    </row>
  </sheetData>
  <mergeCells count="6">
    <mergeCell ref="A9:L9"/>
    <mergeCell ref="A1:AC4"/>
    <mergeCell ref="A5:D5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2DE5-6389-4875-9885-E84378086EF2}">
  <sheetPr>
    <tabColor rgb="FF92D050"/>
    <pageSetUpPr fitToPage="1"/>
  </sheetPr>
  <dimension ref="A1:AC18"/>
  <sheetViews>
    <sheetView showGridLines="0" zoomScaleNormal="100" workbookViewId="0">
      <selection activeCell="G37" sqref="G37"/>
    </sheetView>
  </sheetViews>
  <sheetFormatPr defaultColWidth="9.140625" defaultRowHeight="14.65"/>
  <cols>
    <col min="1" max="1" width="17.7109375" bestFit="1" customWidth="1"/>
    <col min="2" max="2" width="22.42578125" bestFit="1" customWidth="1"/>
    <col min="3" max="3" width="23.42578125" bestFit="1" customWidth="1"/>
    <col min="4" max="4" width="21.85546875" bestFit="1" customWidth="1"/>
    <col min="5" max="5" width="10.7109375" style="91" customWidth="1"/>
    <col min="6" max="6" width="10.7109375" style="10" customWidth="1"/>
    <col min="7" max="7" width="10.7109375" style="92" customWidth="1"/>
    <col min="8" max="8" width="10.7109375" style="94" customWidth="1"/>
    <col min="9" max="9" width="10.7109375" style="10" customWidth="1"/>
    <col min="10" max="10" width="10.28515625" customWidth="1"/>
    <col min="11" max="11" width="11" customWidth="1"/>
    <col min="12" max="16" width="19.28515625" customWidth="1"/>
    <col min="17" max="17" width="14.7109375" bestFit="1" customWidth="1"/>
    <col min="18" max="18" width="22.42578125" bestFit="1" customWidth="1"/>
    <col min="19" max="22" width="22.85546875" bestFit="1" customWidth="1"/>
    <col min="23" max="27" width="15.28515625" customWidth="1"/>
    <col min="28" max="28" width="15.5703125" bestFit="1" customWidth="1"/>
    <col min="29" max="29" width="57.5703125" customWidth="1"/>
  </cols>
  <sheetData>
    <row r="1" spans="1:29" s="4" customFormat="1" ht="15" customHeight="1">
      <c r="A1" s="191" t="s">
        <v>301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3"/>
    </row>
    <row r="2" spans="1:2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/>
    </row>
    <row r="3" spans="1:2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6"/>
    </row>
    <row r="4" spans="1:2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9"/>
    </row>
    <row r="5" spans="1:29" s="4" customFormat="1" ht="15.4">
      <c r="A5" s="216" t="s">
        <v>38</v>
      </c>
      <c r="B5" s="216"/>
      <c r="C5" s="216"/>
      <c r="D5" s="216"/>
      <c r="E5" s="76"/>
      <c r="F5" s="76"/>
      <c r="G5" s="77"/>
      <c r="H5" s="78"/>
      <c r="I5" s="78"/>
    </row>
    <row r="6" spans="1:29" s="4" customFormat="1" ht="15.4">
      <c r="A6" s="212" t="s">
        <v>242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9" s="4" customFormat="1" ht="15.4">
      <c r="A7" s="212" t="s">
        <v>213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29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29" s="4" customFormat="1" ht="15.4">
      <c r="A9" s="212" t="s">
        <v>243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</row>
    <row r="10" spans="1:29" ht="15.4">
      <c r="A10" s="42"/>
      <c r="B10" s="42"/>
      <c r="C10" s="42"/>
      <c r="D10" s="42"/>
      <c r="E10" s="79"/>
      <c r="F10" s="80"/>
      <c r="G10" s="81"/>
      <c r="H10" s="82"/>
      <c r="I10" s="81"/>
      <c r="J10" s="7"/>
      <c r="K10" s="7"/>
      <c r="L10" s="42"/>
    </row>
    <row r="11" spans="1:29" ht="15.4">
      <c r="A11" s="42"/>
      <c r="B11" s="42"/>
      <c r="C11" s="42"/>
      <c r="D11" s="42"/>
      <c r="E11" s="79"/>
      <c r="F11" s="80"/>
      <c r="G11" s="83"/>
      <c r="H11" s="84"/>
      <c r="I11" s="78"/>
      <c r="J11" s="4"/>
      <c r="K11" s="4"/>
      <c r="L11" s="4"/>
    </row>
    <row r="12" spans="1:29" ht="131.1">
      <c r="A12" s="85" t="s">
        <v>244</v>
      </c>
      <c r="B12" s="85" t="s">
        <v>245</v>
      </c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254</v>
      </c>
      <c r="L12" s="127" t="s">
        <v>255</v>
      </c>
      <c r="M12" s="127" t="s">
        <v>256</v>
      </c>
      <c r="N12" s="127" t="s">
        <v>257</v>
      </c>
      <c r="O12" s="127" t="s">
        <v>258</v>
      </c>
      <c r="P12" s="127" t="s">
        <v>259</v>
      </c>
      <c r="Q12" s="9" t="s">
        <v>260</v>
      </c>
      <c r="R12" s="87" t="s">
        <v>261</v>
      </c>
      <c r="S12" s="87" t="s">
        <v>262</v>
      </c>
      <c r="T12" s="87" t="s">
        <v>263</v>
      </c>
      <c r="U12" s="87" t="s">
        <v>264</v>
      </c>
      <c r="V12" s="87" t="s">
        <v>265</v>
      </c>
      <c r="W12" s="87" t="s">
        <v>266</v>
      </c>
      <c r="X12" s="87" t="s">
        <v>267</v>
      </c>
      <c r="Y12" s="87" t="s">
        <v>268</v>
      </c>
      <c r="Z12" s="87" t="s">
        <v>269</v>
      </c>
      <c r="AA12" s="87" t="s">
        <v>270</v>
      </c>
      <c r="AB12" s="87" t="s">
        <v>271</v>
      </c>
      <c r="AC12" s="9" t="s">
        <v>236</v>
      </c>
    </row>
    <row r="13" spans="1:29">
      <c r="A13" s="10" t="s">
        <v>102</v>
      </c>
      <c r="B13" t="s">
        <v>302</v>
      </c>
      <c r="C13" t="s">
        <v>303</v>
      </c>
      <c r="D13" t="s">
        <v>304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t="s">
        <v>275</v>
      </c>
      <c r="K13" t="s">
        <v>275</v>
      </c>
      <c r="L13" s="70"/>
      <c r="M13" s="70"/>
      <c r="N13" s="70"/>
      <c r="O13" s="70"/>
      <c r="P13" s="70"/>
      <c r="Q13" s="74">
        <f t="shared" ref="Q13:Q17" si="0">Exchange_Rate</f>
        <v>17.2315</v>
      </c>
      <c r="R13" s="128"/>
      <c r="S13" s="128"/>
      <c r="T13" s="128"/>
      <c r="U13" s="128"/>
      <c r="V13" s="128"/>
      <c r="W13" s="8">
        <f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f>
        <v>0</v>
      </c>
      <c r="X13" s="8">
        <f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f>
        <v>0</v>
      </c>
      <c r="Y13" s="8">
        <f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f>
        <v>0</v>
      </c>
      <c r="Z13" s="8">
        <f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f>
        <v>0</v>
      </c>
      <c r="AA13" s="8">
        <f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f>
        <v>0</v>
      </c>
      <c r="AB13" s="8">
        <f>SUM(T_MAIN_DC19[[#This Row],[(Y)
TOTAL Excluding VAT - Y1
((A*J)*Q)+((A*R)*12))]:[(AC)
TOTAL Excluding VAT - Y5
((E*N*Q)+((E*V)*12))]])</f>
        <v>0</v>
      </c>
      <c r="AC13" s="73"/>
    </row>
    <row r="14" spans="1:29">
      <c r="A14" s="10" t="s">
        <v>102</v>
      </c>
      <c r="B14" t="s">
        <v>305</v>
      </c>
      <c r="C14" s="132" t="s">
        <v>306</v>
      </c>
      <c r="D14" t="s">
        <v>307</v>
      </c>
      <c r="E14" s="10">
        <v>0</v>
      </c>
      <c r="F14" s="10">
        <v>0</v>
      </c>
      <c r="G14" s="10">
        <v>0</v>
      </c>
      <c r="H14" s="10">
        <v>1</v>
      </c>
      <c r="I14" s="10">
        <v>1</v>
      </c>
      <c r="J14" t="s">
        <v>275</v>
      </c>
      <c r="K14" t="s">
        <v>275</v>
      </c>
      <c r="L14" s="70"/>
      <c r="M14" s="70"/>
      <c r="N14" s="70"/>
      <c r="O14" s="70"/>
      <c r="P14" s="70"/>
      <c r="Q14" s="74">
        <f>Exchange_Rate</f>
        <v>17.2315</v>
      </c>
      <c r="R14" s="128"/>
      <c r="S14" s="128"/>
      <c r="T14" s="128"/>
      <c r="U14" s="128"/>
      <c r="V14" s="128"/>
      <c r="W14" s="8">
        <f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f>
        <v>0</v>
      </c>
      <c r="X14" s="8">
        <f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f>
        <v>0</v>
      </c>
      <c r="Y14" s="8">
        <f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f>
        <v>0</v>
      </c>
      <c r="Z14" s="8">
        <f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f>
        <v>0</v>
      </c>
      <c r="AA14" s="8">
        <f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f>
        <v>0</v>
      </c>
      <c r="AB14" s="8">
        <f>SUM(T_MAIN_DC19[[#This Row],[(Y)
TOTAL Excluding VAT - Y1
((A*J)*Q)+((A*R)*12))]:[(AC)
TOTAL Excluding VAT - Y5
((E*N*Q)+((E*V)*12))]])</f>
        <v>0</v>
      </c>
      <c r="AC14" s="131"/>
    </row>
    <row r="15" spans="1:29">
      <c r="A15" s="10" t="s">
        <v>104</v>
      </c>
      <c r="B15" t="s">
        <v>308</v>
      </c>
      <c r="C15" s="132" t="s">
        <v>309</v>
      </c>
      <c r="D15" t="s">
        <v>304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t="s">
        <v>275</v>
      </c>
      <c r="K15" t="s">
        <v>275</v>
      </c>
      <c r="L15" s="70"/>
      <c r="M15" s="70"/>
      <c r="N15" s="70"/>
      <c r="O15" s="70"/>
      <c r="P15" s="70"/>
      <c r="Q15" s="74">
        <f t="shared" si="0"/>
        <v>17.2315</v>
      </c>
      <c r="R15" s="128"/>
      <c r="S15" s="128"/>
      <c r="T15" s="128"/>
      <c r="U15" s="128"/>
      <c r="V15" s="128"/>
      <c r="W15" s="8">
        <f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f>
        <v>0</v>
      </c>
      <c r="X15" s="8">
        <f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f>
        <v>0</v>
      </c>
      <c r="Y15" s="8">
        <f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f>
        <v>0</v>
      </c>
      <c r="Z15" s="8">
        <f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f>
        <v>0</v>
      </c>
      <c r="AA15" s="8">
        <f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f>
        <v>0</v>
      </c>
      <c r="AB15" s="8">
        <f>SUM(T_MAIN_DC19[[#This Row],[(Y)
TOTAL Excluding VAT - Y1
((A*J)*Q)+((A*R)*12))]:[(AC)
TOTAL Excluding VAT - Y5
((E*N*Q)+((E*V)*12))]])</f>
        <v>0</v>
      </c>
      <c r="AC15" s="73"/>
    </row>
    <row r="16" spans="1:29">
      <c r="A16" s="10" t="s">
        <v>104</v>
      </c>
      <c r="B16" t="s">
        <v>310</v>
      </c>
      <c r="C16" s="132" t="s">
        <v>311</v>
      </c>
      <c r="D16" t="s">
        <v>307</v>
      </c>
      <c r="E16" s="10">
        <v>0</v>
      </c>
      <c r="F16" s="10">
        <v>0</v>
      </c>
      <c r="G16" s="10">
        <v>0</v>
      </c>
      <c r="H16" s="10">
        <v>1</v>
      </c>
      <c r="I16" s="10">
        <v>1</v>
      </c>
      <c r="J16" t="s">
        <v>275</v>
      </c>
      <c r="K16" t="s">
        <v>275</v>
      </c>
      <c r="L16" s="70"/>
      <c r="M16" s="70"/>
      <c r="N16" s="70"/>
      <c r="O16" s="70"/>
      <c r="P16" s="70"/>
      <c r="Q16" s="74">
        <f>Exchange_Rate</f>
        <v>17.2315</v>
      </c>
      <c r="R16" s="128"/>
      <c r="S16" s="128"/>
      <c r="T16" s="128"/>
      <c r="U16" s="128"/>
      <c r="V16" s="128"/>
      <c r="W16" s="8">
        <f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f>
        <v>0</v>
      </c>
      <c r="X16" s="8">
        <f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f>
        <v>0</v>
      </c>
      <c r="Y16" s="8">
        <f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f>
        <v>0</v>
      </c>
      <c r="Z16" s="8">
        <f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f>
        <v>0</v>
      </c>
      <c r="AA16" s="8">
        <f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f>
        <v>0</v>
      </c>
      <c r="AB16" s="8">
        <f>SUM(T_MAIN_DC19[[#This Row],[(Y)
TOTAL Excluding VAT - Y1
((A*J)*Q)+((A*R)*12))]:[(AC)
TOTAL Excluding VAT - Y5
((E*N*Q)+((E*V)*12))]])</f>
        <v>0</v>
      </c>
      <c r="AC16" s="131"/>
    </row>
    <row r="17" spans="1:29">
      <c r="A17" s="10" t="s">
        <v>106</v>
      </c>
      <c r="B17" t="s">
        <v>312</v>
      </c>
      <c r="C17" t="s">
        <v>313</v>
      </c>
      <c r="D17" t="s">
        <v>314</v>
      </c>
      <c r="E17" s="10">
        <v>1</v>
      </c>
      <c r="F17" s="10">
        <v>1</v>
      </c>
      <c r="G17" s="10">
        <v>0</v>
      </c>
      <c r="H17" s="10">
        <v>0</v>
      </c>
      <c r="I17" s="10">
        <v>0</v>
      </c>
      <c r="J17" t="s">
        <v>275</v>
      </c>
      <c r="K17" t="s">
        <v>275</v>
      </c>
      <c r="L17" s="70"/>
      <c r="M17" s="70"/>
      <c r="N17" s="70"/>
      <c r="O17" s="70"/>
      <c r="P17" s="70"/>
      <c r="Q17" s="74">
        <f t="shared" si="0"/>
        <v>17.2315</v>
      </c>
      <c r="R17" s="128"/>
      <c r="S17" s="128"/>
      <c r="T17" s="128"/>
      <c r="U17" s="128"/>
      <c r="V17" s="128"/>
      <c r="W17" s="8">
        <f>((T_MAIN_DC19[[#This Row],[(A)
Qty  - Y1]]*T_MAIN_DC19[[#This Row],[(J)
USD PRICE
Annual Partner Support Service (1 Year)
Chassis Plus Modules
- according to HW service level (I)
Y1]])*T_MAIN_DC19[[#This Row],[(Q)
Exchange Rate]])+((T_MAIN_DC19[[#This Row],[(A)
Qty  - Y1]]*T_MAIN_DC19[[#This Row],[(R)
Monthly Maintenance according to Service  Level (H) - Y1]])*12)</f>
        <v>0</v>
      </c>
      <c r="X17" s="8">
        <f>((T_MAIN_DC19[[#This Row],[(B)
Qty  - Y2]]*T_MAIN_DC19[[#This Row],[(K)
USD PRICE
Annual Partner Support Service (1 Year)
Chassis Plus Modules
- according to HW service level (I)
Y2]])*T_MAIN_DC19[[#This Row],[(Q)
Exchange Rate]])+((T_MAIN_DC19[[#This Row],[(B)
Qty  - Y2]]*T_MAIN_DC19[[#This Row],[(S)
Monthly Maintenance according to Service  Level (H) - Y2]])*12)</f>
        <v>0</v>
      </c>
      <c r="Y17" s="8">
        <f>((T_MAIN_DC19[[#This Row],[(C)
Qty  - Y3]]*T_MAIN_DC19[[#This Row],[(L)
USD PRICE
Annual Partner Support Service (1 Year)
Chassis Plus Modules
- according to HW service level (I)
Y3]])*T_MAIN_DC19[[#This Row],[(Q)
Exchange Rate]])+((T_MAIN_DC19[[#This Row],[(C)
Qty  - Y3]]*T_MAIN_DC19[[#This Row],[(T)
Monthly Maintenance according to Service  Level (H) - Y3]])*12)</f>
        <v>0</v>
      </c>
      <c r="Z17" s="8">
        <f>((T_MAIN_DC19[[#This Row],[(D)
Qty  - Y4]]*T_MAIN_DC19[[#This Row],[(M)
USD PRICE
Annual Partner Support Service (1 Year)
Chassis Plus Modules
- according to HW service level (I)
Y4]])*T_MAIN_DC19[[#This Row],[(Q)
Exchange Rate]])+((T_MAIN_DC19[[#This Row],[(D)
Qty  - Y4]]*T_MAIN_DC19[[#This Row],[(U)
Monthly Maintenance according to Service  Level (H) - Y4]])*12)</f>
        <v>0</v>
      </c>
      <c r="AA17" s="8">
        <f>((T_MAIN_DC19[[#This Row],[(E)
Qty  - Y5]]*T_MAIN_DC19[[#This Row],[(N)
USD PRICE
Annual Partner Support Service (1 Year)
Chassis Plus Modules
- according to HW service level (I)
Y5]])*T_MAIN_DC19[[#This Row],[(Q)
Exchange Rate]])+((T_MAIN_DC19[[#This Row],[(E)
Qty  - Y5]]*T_MAIN_DC19[[#This Row],[(V)
Monthly Maintenance according to Service  Level (H) - Y5]])*12)</f>
        <v>0</v>
      </c>
      <c r="AB17" s="8">
        <f>SUM(T_MAIN_DC19[[#This Row],[(Y)
TOTAL Excluding VAT - Y1
((A*J)*Q)+((A*R)*12))]:[(AC)
TOTAL Excluding VAT - Y5
((E*N*Q)+((E*V)*12))]])</f>
        <v>0</v>
      </c>
      <c r="AC17" s="73"/>
    </row>
    <row r="18" spans="1:29">
      <c r="A18" t="s">
        <v>29</v>
      </c>
      <c r="C18" s="129"/>
      <c r="D18" s="129"/>
      <c r="H18" s="93"/>
      <c r="L18" s="70"/>
      <c r="M18" s="70"/>
      <c r="N18" s="70"/>
      <c r="O18" s="70"/>
      <c r="P18" s="70"/>
      <c r="Q18" s="74"/>
      <c r="R18" s="128"/>
      <c r="S18" s="128"/>
      <c r="T18" s="128"/>
      <c r="U18" s="128"/>
      <c r="V18" s="128"/>
      <c r="W18" s="8">
        <f>SUBTOTAL(109,T_MAIN_DC19[(Y)
TOTAL Excluding VAT - Y1
((A*J)*Q)+((A*R)*12))])</f>
        <v>0</v>
      </c>
      <c r="X18" s="8">
        <f>SUBTOTAL(109,T_MAIN_DC19[(Z)
TOTAL Excluding VAT - Y2
((B*K)*Q)+((B*S)*12))])</f>
        <v>0</v>
      </c>
      <c r="Y18" s="8">
        <f>SUBTOTAL(109,T_MAIN_DC19[AA)
TOTAL Excluding VAT - Y3
((C*L)*Q)+((C*T)*12))])</f>
        <v>0</v>
      </c>
      <c r="Z18" s="8">
        <f>SUBTOTAL(109,T_MAIN_DC19[(AB)
TOTAL Excluding VAT - Y4
((D*M)*Q)+((D*U)*12))])</f>
        <v>0</v>
      </c>
      <c r="AA18" s="8">
        <f>SUBTOTAL(109,T_MAIN_DC19[(AC)
TOTAL Excluding VAT - Y5
((E*N*Q)+((E*V)*12))])</f>
        <v>0</v>
      </c>
      <c r="AB18" s="8">
        <f>SUBTOTAL(109,T_MAIN_DC19[(AF)
TOTAL Excluding VAT])</f>
        <v>0</v>
      </c>
      <c r="AC18" s="131">
        <f>SUBTOTAL(103,T_MAIN_DC19[Comments])</f>
        <v>0</v>
      </c>
    </row>
  </sheetData>
  <mergeCells count="6">
    <mergeCell ref="A9:L9"/>
    <mergeCell ref="A1:AC4"/>
    <mergeCell ref="A5:D5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8C20-7DC6-4280-927D-CA05F693B473}">
  <sheetPr>
    <tabColor rgb="FF92D050"/>
    <pageSetUpPr fitToPage="1"/>
  </sheetPr>
  <dimension ref="A1:AC19"/>
  <sheetViews>
    <sheetView showGridLines="0" zoomScaleNormal="100" workbookViewId="0">
      <selection activeCell="A5" sqref="A5:D5"/>
    </sheetView>
  </sheetViews>
  <sheetFormatPr defaultColWidth="9.140625" defaultRowHeight="14.65"/>
  <cols>
    <col min="1" max="1" width="17.7109375" bestFit="1" customWidth="1"/>
    <col min="2" max="2" width="22.42578125" bestFit="1" customWidth="1"/>
    <col min="3" max="3" width="23.42578125" bestFit="1" customWidth="1"/>
    <col min="4" max="4" width="21.85546875" bestFit="1" customWidth="1"/>
    <col min="5" max="5" width="10.7109375" style="91" customWidth="1"/>
    <col min="6" max="6" width="10.7109375" style="10" customWidth="1"/>
    <col min="7" max="7" width="10.7109375" style="92" customWidth="1"/>
    <col min="8" max="8" width="10.7109375" style="94" customWidth="1"/>
    <col min="9" max="9" width="10.7109375" style="10" customWidth="1"/>
    <col min="10" max="10" width="10.28515625" customWidth="1"/>
    <col min="11" max="11" width="11" customWidth="1"/>
    <col min="12" max="16" width="19.28515625" customWidth="1"/>
    <col min="17" max="17" width="14.7109375" bestFit="1" customWidth="1"/>
    <col min="18" max="18" width="22.42578125" bestFit="1" customWidth="1"/>
    <col min="19" max="22" width="22.85546875" bestFit="1" customWidth="1"/>
    <col min="23" max="27" width="15.28515625" customWidth="1"/>
    <col min="28" max="28" width="15.5703125" bestFit="1" customWidth="1"/>
    <col min="29" max="29" width="57.5703125" customWidth="1"/>
  </cols>
  <sheetData>
    <row r="1" spans="1:29" s="4" customFormat="1" ht="15" customHeight="1">
      <c r="A1" s="191" t="s">
        <v>315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3"/>
    </row>
    <row r="2" spans="1:29" s="4" customFormat="1" ht="14.45" customHeight="1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/>
    </row>
    <row r="3" spans="1:29" s="4" customFormat="1" ht="33" customHeight="1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6"/>
    </row>
    <row r="4" spans="1:29" s="4" customFormat="1" ht="15" thickBot="1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9"/>
    </row>
    <row r="5" spans="1:29" s="4" customFormat="1" ht="15.4">
      <c r="A5" s="216" t="s">
        <v>38</v>
      </c>
      <c r="B5" s="216"/>
      <c r="C5" s="216"/>
      <c r="D5" s="216"/>
      <c r="E5" s="76"/>
      <c r="F5" s="76"/>
      <c r="G5" s="77"/>
      <c r="H5" s="78"/>
      <c r="I5" s="78"/>
    </row>
    <row r="6" spans="1:29" s="4" customFormat="1" ht="15.4">
      <c r="A6" s="212" t="s">
        <v>242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9" s="4" customFormat="1" ht="15.4">
      <c r="A7" s="212" t="s">
        <v>213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29" s="4" customFormat="1" ht="15.4">
      <c r="A8" s="212" t="s">
        <v>214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29" s="4" customFormat="1" ht="15.4">
      <c r="A9" s="212" t="s">
        <v>243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</row>
    <row r="10" spans="1:29" ht="15.4">
      <c r="A10" s="42"/>
      <c r="B10" s="42"/>
      <c r="C10" s="42"/>
      <c r="D10" s="42"/>
      <c r="E10" s="79"/>
      <c r="F10" s="80"/>
      <c r="G10" s="81"/>
      <c r="H10" s="82"/>
      <c r="I10" s="81"/>
      <c r="J10" s="7"/>
      <c r="K10" s="7"/>
      <c r="L10" s="42"/>
    </row>
    <row r="11" spans="1:29" ht="15.4">
      <c r="A11" s="42"/>
      <c r="B11" s="42"/>
      <c r="C11" s="42"/>
      <c r="D11" s="42"/>
      <c r="E11" s="79"/>
      <c r="F11" s="80"/>
      <c r="G11" s="83"/>
      <c r="H11" s="84"/>
      <c r="I11" s="78"/>
      <c r="J11" s="4"/>
      <c r="K11" s="4"/>
      <c r="L11" s="4"/>
    </row>
    <row r="12" spans="1:29" ht="131.1">
      <c r="A12" s="85" t="s">
        <v>244</v>
      </c>
      <c r="B12" s="85" t="s">
        <v>245</v>
      </c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254</v>
      </c>
      <c r="L12" s="127" t="s">
        <v>255</v>
      </c>
      <c r="M12" s="127" t="s">
        <v>256</v>
      </c>
      <c r="N12" s="127" t="s">
        <v>257</v>
      </c>
      <c r="O12" s="127" t="s">
        <v>258</v>
      </c>
      <c r="P12" s="127" t="s">
        <v>259</v>
      </c>
      <c r="Q12" s="9" t="s">
        <v>260</v>
      </c>
      <c r="R12" s="87" t="s">
        <v>261</v>
      </c>
      <c r="S12" s="87" t="s">
        <v>262</v>
      </c>
      <c r="T12" s="87" t="s">
        <v>263</v>
      </c>
      <c r="U12" s="87" t="s">
        <v>264</v>
      </c>
      <c r="V12" s="87" t="s">
        <v>265</v>
      </c>
      <c r="W12" s="87" t="s">
        <v>266</v>
      </c>
      <c r="X12" s="87" t="s">
        <v>267</v>
      </c>
      <c r="Y12" s="87" t="s">
        <v>268</v>
      </c>
      <c r="Z12" s="87" t="s">
        <v>269</v>
      </c>
      <c r="AA12" s="87" t="s">
        <v>270</v>
      </c>
      <c r="AB12" s="87" t="s">
        <v>271</v>
      </c>
      <c r="AC12" s="9" t="s">
        <v>236</v>
      </c>
    </row>
    <row r="13" spans="1:29">
      <c r="A13" s="10" t="s">
        <v>102</v>
      </c>
      <c r="B13" t="s">
        <v>316</v>
      </c>
      <c r="C13" t="s">
        <v>317</v>
      </c>
      <c r="D13" t="s">
        <v>318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t="s">
        <v>319</v>
      </c>
      <c r="K13" t="s">
        <v>319</v>
      </c>
      <c r="L13" s="70"/>
      <c r="M13" s="70"/>
      <c r="N13" s="70"/>
      <c r="O13" s="70"/>
      <c r="P13" s="70"/>
      <c r="Q13" s="74">
        <f t="shared" ref="Q13:Q18" si="0">Exchange_Rate</f>
        <v>17.2315</v>
      </c>
      <c r="R13" s="128"/>
      <c r="S13" s="128"/>
      <c r="T13" s="128"/>
      <c r="U13" s="128"/>
      <c r="V13" s="128"/>
      <c r="W13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3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3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3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3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3" s="8">
        <f>SUM(T_MAIN_DC1920[[#This Row],[(Y)
TOTAL Excluding VAT - Y1
((A*J)*Q)+((A*R)*12))]:[(AC)
TOTAL Excluding VAT - Y5
((E*N*Q)+((E*V)*12))]])</f>
        <v>0</v>
      </c>
      <c r="AC13" s="73"/>
    </row>
    <row r="14" spans="1:29">
      <c r="A14" s="10" t="s">
        <v>102</v>
      </c>
      <c r="B14" t="s">
        <v>320</v>
      </c>
      <c r="C14" t="s">
        <v>321</v>
      </c>
      <c r="D14" t="s">
        <v>318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t="s">
        <v>319</v>
      </c>
      <c r="K14" t="s">
        <v>319</v>
      </c>
      <c r="L14" s="70"/>
      <c r="M14" s="70"/>
      <c r="N14" s="70"/>
      <c r="O14" s="70"/>
      <c r="P14" s="70"/>
      <c r="Q14" s="74">
        <f t="shared" si="0"/>
        <v>17.2315</v>
      </c>
      <c r="R14" s="128"/>
      <c r="S14" s="128"/>
      <c r="T14" s="128"/>
      <c r="U14" s="128"/>
      <c r="V14" s="128"/>
      <c r="W14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4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4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4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4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4" s="8">
        <f>SUM(T_MAIN_DC1920[[#This Row],[(Y)
TOTAL Excluding VAT - Y1
((A*J)*Q)+((A*R)*12))]:[(AC)
TOTAL Excluding VAT - Y5
((E*N*Q)+((E*V)*12))]])</f>
        <v>0</v>
      </c>
      <c r="AC14" s="73"/>
    </row>
    <row r="15" spans="1:29">
      <c r="A15" s="10" t="s">
        <v>104</v>
      </c>
      <c r="B15" t="s">
        <v>322</v>
      </c>
      <c r="C15" t="s">
        <v>323</v>
      </c>
      <c r="D15" t="s">
        <v>318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t="s">
        <v>319</v>
      </c>
      <c r="K15" t="s">
        <v>319</v>
      </c>
      <c r="L15" s="70"/>
      <c r="M15" s="70"/>
      <c r="N15" s="70"/>
      <c r="O15" s="70"/>
      <c r="P15" s="70"/>
      <c r="Q15" s="74">
        <f t="shared" si="0"/>
        <v>17.2315</v>
      </c>
      <c r="R15" s="128"/>
      <c r="S15" s="128"/>
      <c r="T15" s="128"/>
      <c r="U15" s="128"/>
      <c r="V15" s="128"/>
      <c r="W15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5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5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5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5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5" s="8">
        <f>SUM(T_MAIN_DC1920[[#This Row],[(Y)
TOTAL Excluding VAT - Y1
((A*J)*Q)+((A*R)*12))]:[(AC)
TOTAL Excluding VAT - Y5
((E*N*Q)+((E*V)*12))]])</f>
        <v>0</v>
      </c>
      <c r="AC15" s="73"/>
    </row>
    <row r="16" spans="1:29">
      <c r="A16" s="10" t="s">
        <v>104</v>
      </c>
      <c r="B16" t="s">
        <v>324</v>
      </c>
      <c r="C16" t="s">
        <v>325</v>
      </c>
      <c r="D16" t="s">
        <v>318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t="s">
        <v>319</v>
      </c>
      <c r="K16" t="s">
        <v>319</v>
      </c>
      <c r="L16" s="70"/>
      <c r="M16" s="70"/>
      <c r="N16" s="70"/>
      <c r="O16" s="70"/>
      <c r="P16" s="70"/>
      <c r="Q16" s="74">
        <f t="shared" si="0"/>
        <v>17.2315</v>
      </c>
      <c r="R16" s="128"/>
      <c r="S16" s="128"/>
      <c r="T16" s="128"/>
      <c r="U16" s="128"/>
      <c r="V16" s="128"/>
      <c r="W16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6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6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6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6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6" s="8">
        <f>SUM(T_MAIN_DC1920[[#This Row],[(Y)
TOTAL Excluding VAT - Y1
((A*J)*Q)+((A*R)*12))]:[(AC)
TOTAL Excluding VAT - Y5
((E*N*Q)+((E*V)*12))]])</f>
        <v>0</v>
      </c>
      <c r="AC16" s="73"/>
    </row>
    <row r="17" spans="1:29">
      <c r="A17" s="10" t="s">
        <v>106</v>
      </c>
      <c r="B17" t="s">
        <v>326</v>
      </c>
      <c r="C17" t="s">
        <v>327</v>
      </c>
      <c r="D17" t="s">
        <v>318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t="s">
        <v>319</v>
      </c>
      <c r="K17" t="s">
        <v>319</v>
      </c>
      <c r="L17" s="70"/>
      <c r="M17" s="70"/>
      <c r="N17" s="70"/>
      <c r="O17" s="70"/>
      <c r="P17" s="70"/>
      <c r="Q17" s="74">
        <f t="shared" si="0"/>
        <v>17.2315</v>
      </c>
      <c r="R17" s="128"/>
      <c r="S17" s="128"/>
      <c r="T17" s="128"/>
      <c r="U17" s="128"/>
      <c r="V17" s="128"/>
      <c r="W17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7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7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7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7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7" s="8">
        <f>SUM(T_MAIN_DC1920[[#This Row],[(Y)
TOTAL Excluding VAT - Y1
((A*J)*Q)+((A*R)*12))]:[(AC)
TOTAL Excluding VAT - Y5
((E*N*Q)+((E*V)*12))]])</f>
        <v>0</v>
      </c>
      <c r="AC17" s="73"/>
    </row>
    <row r="18" spans="1:29">
      <c r="A18" s="10" t="s">
        <v>106</v>
      </c>
      <c r="B18" t="s">
        <v>328</v>
      </c>
      <c r="C18" t="s">
        <v>329</v>
      </c>
      <c r="D18" t="s">
        <v>318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t="s">
        <v>319</v>
      </c>
      <c r="K18" t="s">
        <v>319</v>
      </c>
      <c r="L18" s="70"/>
      <c r="M18" s="70"/>
      <c r="N18" s="70"/>
      <c r="O18" s="70"/>
      <c r="P18" s="70"/>
      <c r="Q18" s="74">
        <f t="shared" si="0"/>
        <v>17.2315</v>
      </c>
      <c r="R18" s="128"/>
      <c r="S18" s="128"/>
      <c r="T18" s="128"/>
      <c r="U18" s="128"/>
      <c r="V18" s="128"/>
      <c r="W18" s="8">
        <f>((T_MAIN_DC1920[[#This Row],[(A)
Qty  - Y1]]*T_MAIN_DC1920[[#This Row],[(J)
USD PRICE
Annual Partner Support Service (1 Year)
Chassis Plus Modules
- according to HW service level (I)
Y1]])*T_MAIN_DC1920[[#This Row],[(Q)
Exchange Rate]])+((T_MAIN_DC1920[[#This Row],[(A)
Qty  - Y1]]*T_MAIN_DC1920[[#This Row],[(R)
Monthly Maintenance according to Service  Level (H) - Y1]])*12)</f>
        <v>0</v>
      </c>
      <c r="X18" s="8">
        <f>((T_MAIN_DC1920[[#This Row],[(B)
Qty  - Y2]]*T_MAIN_DC1920[[#This Row],[(K)
USD PRICE
Annual Partner Support Service (1 Year)
Chassis Plus Modules
- according to HW service level (I)
Y2]])*T_MAIN_DC1920[[#This Row],[(Q)
Exchange Rate]])+((T_MAIN_DC1920[[#This Row],[(B)
Qty  - Y2]]*T_MAIN_DC1920[[#This Row],[(S)
Monthly Maintenance according to Service  Level (H) - Y2]])*12)</f>
        <v>0</v>
      </c>
      <c r="Y18" s="8">
        <f>((T_MAIN_DC1920[[#This Row],[(C)
Qty  - Y3]]*T_MAIN_DC1920[[#This Row],[(L)
USD PRICE
Annual Partner Support Service (1 Year)
Chassis Plus Modules
- according to HW service level (I)
Y3]])*T_MAIN_DC1920[[#This Row],[(Q)
Exchange Rate]])+((T_MAIN_DC1920[[#This Row],[(C)
Qty  - Y3]]*T_MAIN_DC1920[[#This Row],[(T)
Monthly Maintenance according to Service  Level (H) - Y3]])*12)</f>
        <v>0</v>
      </c>
      <c r="Z18" s="8">
        <f>((T_MAIN_DC1920[[#This Row],[(D)
Qty  - Y4]]*T_MAIN_DC1920[[#This Row],[(M)
USD PRICE
Annual Partner Support Service (1 Year)
Chassis Plus Modules
- according to HW service level (I)
Y4]])*T_MAIN_DC1920[[#This Row],[(Q)
Exchange Rate]])+((T_MAIN_DC1920[[#This Row],[(D)
Qty  - Y4]]*T_MAIN_DC1920[[#This Row],[(U)
Monthly Maintenance according to Service  Level (H) - Y4]])*12)</f>
        <v>0</v>
      </c>
      <c r="AA18" s="8">
        <f>((T_MAIN_DC1920[[#This Row],[(E)
Qty  - Y5]]*T_MAIN_DC1920[[#This Row],[(N)
USD PRICE
Annual Partner Support Service (1 Year)
Chassis Plus Modules
- according to HW service level (I)
Y5]])*T_MAIN_DC1920[[#This Row],[(Q)
Exchange Rate]])+((T_MAIN_DC1920[[#This Row],[(E)
Qty  - Y5]]*T_MAIN_DC1920[[#This Row],[(V)
Monthly Maintenance according to Service  Level (H) - Y5]])*12)</f>
        <v>0</v>
      </c>
      <c r="AB18" s="8">
        <f>SUM(T_MAIN_DC1920[[#This Row],[(Y)
TOTAL Excluding VAT - Y1
((A*J)*Q)+((A*R)*12))]:[(AC)
TOTAL Excluding VAT - Y5
((E*N*Q)+((E*V)*12))]])</f>
        <v>0</v>
      </c>
      <c r="AC18" s="73"/>
    </row>
    <row r="19" spans="1:29">
      <c r="A19" t="s">
        <v>29</v>
      </c>
      <c r="C19" s="129"/>
      <c r="D19" s="129"/>
      <c r="H19" s="93"/>
      <c r="L19" s="70"/>
      <c r="M19" s="70"/>
      <c r="N19" s="70"/>
      <c r="O19" s="70"/>
      <c r="P19" s="70"/>
      <c r="Q19" s="74"/>
      <c r="R19" s="128"/>
      <c r="S19" s="128"/>
      <c r="T19" s="128"/>
      <c r="U19" s="128"/>
      <c r="V19" s="128"/>
      <c r="W19" s="8">
        <f>SUBTOTAL(109,T_MAIN_DC1920[(Y)
TOTAL Excluding VAT - Y1
((A*J)*Q)+((A*R)*12))])</f>
        <v>0</v>
      </c>
      <c r="X19" s="8">
        <f>SUBTOTAL(109,T_MAIN_DC1920[(Z)
TOTAL Excluding VAT - Y2
((B*K)*Q)+((B*S)*12))])</f>
        <v>0</v>
      </c>
      <c r="Y19" s="8">
        <f>SUBTOTAL(109,T_MAIN_DC1920[AA)
TOTAL Excluding VAT - Y3
((C*L)*Q)+((C*T)*12))])</f>
        <v>0</v>
      </c>
      <c r="Z19" s="8">
        <f>SUBTOTAL(109,T_MAIN_DC1920[(AB)
TOTAL Excluding VAT - Y4
((D*M)*Q)+((D*U)*12))])</f>
        <v>0</v>
      </c>
      <c r="AA19" s="8">
        <f>SUBTOTAL(109,T_MAIN_DC1920[(AC)
TOTAL Excluding VAT - Y5
((E*N*Q)+((E*V)*12))])</f>
        <v>0</v>
      </c>
      <c r="AB19" s="8">
        <f>SUBTOTAL(109,T_MAIN_DC1920[(AF)
TOTAL Excluding VAT])</f>
        <v>0</v>
      </c>
      <c r="AC19" s="131">
        <f>SUBTOTAL(103,T_MAIN_DC1920[Comments])</f>
        <v>0</v>
      </c>
    </row>
  </sheetData>
  <mergeCells count="6">
    <mergeCell ref="A9:L9"/>
    <mergeCell ref="A1:AC4"/>
    <mergeCell ref="A5:D5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6A79A53E7D142BE0A5628DDE9BC92" ma:contentTypeVersion="3" ma:contentTypeDescription="Create a new document." ma:contentTypeScope="" ma:versionID="a2bf5657e801950363d64bb591b374c0">
  <xsd:schema xmlns:xsd="http://www.w3.org/2001/XMLSchema" xmlns:xs="http://www.w3.org/2001/XMLSchema" xmlns:p="http://schemas.microsoft.com/office/2006/metadata/properties" xmlns:ns2="fae2d8f6-6481-451e-828c-bb269d87ff9f" targetNamespace="http://schemas.microsoft.com/office/2006/metadata/properties" ma:root="true" ma:fieldsID="bb99a8c2512c4fcf0868b4dbce6e8bae" ns2:_="">
    <xsd:import namespace="fae2d8f6-6481-451e-828c-bb269d87f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2d8f6-6481-451e-828c-bb269d87f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N c E A A B Q S w M E F A A C A A g A Z q t y T 2 n r M z C o A A A A + Q A A A B I A H A B D b 2 5 m a W c v U G F j a 2 F n Z S 5 4 b W w g o h g A K K A U A A A A A A A A A A A A A A A A A A A A A A A A A A A A h Y / R C o I w G I V f R X b v N p W k 5 H c S 3 S Y E Q U R 3 w 5 a O 9 D f c b L 5 b F z 1 S r 5 B Q V n d d n s P 3 w T m P 2 x 2 y o a m 9 q + q M b j E l A e X E U 1 i 0 R 4 1 l S n p 7 8 u c k E 7 C R x V m W y h t h N M l g d E o q a y 8 J Y 8 4 5 6 i L a d i U L O Q / Y P l 9 v i 0 o 1 0 t d o r M R C k Y 9 1 / G 8 R A b v X G B H S m N N Z E C 9 o N C L A p h 5 y j V 8 m H C d T D u y n h F V f 2 7 5 T Q q F / W A K b I r D 3 D f E E U E s D B B Q A A g A I A G a r c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q 3 J P B W Z A v 8 0 B A A A L B A A A E w A c A E Z v c m 1 1 b G F z L 1 N l Y 3 R p b 2 4 x L m 0 g o h g A K K A U A A A A A A A A A A A A A A A A A A A A A A A A A A A A j V L B b t p A E L 0 j 8 Q 8 j 5 w K S h W q k S m k j H 6 i h K l I E q Z a e Q o U W 7 4 S s s t 5 F u 7 N u U J R / 7 x h I S Y W p 6 o v t e W / f m 5 l 9 A U v S z o I 4 v L O b b q f b C Y / S o 4 K r Z G o D S W P W M u B q X q O v N f 5 a T Z 6 3 z h O s R o U Y r b I s u x 5 + y D 4 l k I N B 6 n a A H + G i L 5 E r R a g H Y 1 f G C i 3 1 v m q D g 8 J Z 4 p / Q S 4 r P y x 8 B f V g G L c N y j O G J 3 H b 5 / 4 6 D M t R J P 7 0 f o 9 G V J v R 5 k i Y p F M 7 E y o Y 8 u 0 5 h Y k u n t N 3 k 2 f D j M I X v 0 R E K 2 h n M T 5 + D m b P 4 s 5 8 e O r 9 K 7 r y r G F P w D a X i 9 p r B F n L N x C N y r P c O Q 6 Z w f 6 y P j B G l N N K H n H x 8 L 1 k 8 S r t h x c V u i y e 5 h Z c 2 P D h f H T p u w N B r 8 U 9 f X p q i i i X B V P G E x E w g f K b X F E 7 Q T J d P V l Z 4 R t h v 1 P J 1 T M d n m O C 9 s S h v L Q Z y F X q Y t U m 8 e e w H u N j A R X N j 4 A v f J w i S F M O / O a P N u Q h n x j b x r D X t L o m 8 c T j K b R J C G g w w 9 6 o Z M V Z r 9 G e U W x k I j j L 4 Z 8 9 K E p K u 8 M 2 E v O R Z L z Q h m r z y p u + M t H C L N Z q 2 P g 8 S E 6 t g z O L v j f a M B n A P j Y V V 0 i s Q c b t P f 2 8 y F 6 L f f q b g z b R Y R f b 6 u / 7 a 7 3 a 0 b Q 3 m z W 9 Q S w E C L Q A U A A I A C A B m q 3 J P a e s z M K g A A A D 5 A A A A E g A A A A A A A A A A A A A A A A A A A A A A Q 2 9 u Z m l n L 1 B h Y 2 t h Z 2 U u e G 1 s U E s B A i 0 A F A A C A A g A Z q t y T w / K 6 a u k A A A A 6 Q A A A B M A A A A A A A A A A A A A A A A A 9 A A A A F t D b 2 5 0 Z W 5 0 X 1 R 5 c G V z X S 5 4 b W x Q S w E C L Q A U A A I A C A B m q 3 J P B W Z A v 8 0 B A A A L B A A A E w A A A A A A A A A A A A A A A A D l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G A A A A A A A A O M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d G F s b G J h c 2 V f T 3 Z l c n Z p Z X d f R X h w b 3 J 0 J T I w X 0 F D U 0 F f M T E x O D I w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E t M T h U M T k 6 M j c 6 M D Q u N D U y N T k 0 N V o i I C 8 + P E V u d H J 5 I F R 5 c G U 9 I k Z p b G x D b 2 x 1 b W 5 U e X B l c y I g V m F s d W U 9 I n N C Z 1 l H Q m d Z R 0 J n W U d C Z 1 l I Q m d Z S k N R W U c i I C 8 + P E V u d H J 5 I F R 5 c G U 9 I k Z p b G x D b 2 x 1 b W 5 O Y W 1 l c y I g V m F s d W U 9 I n N b J n F 1 b 3 Q 7 U H J v Z H V j d C B J Z C Z x d W 9 0 O y w m c X V v d D t Q c m 9 k d W N 0 I E 5 p Y 2 t u Y W 1 l J n F 1 b 3 Q 7 L C Z x d W 9 0 O 0 l u c 3 R h b m N l I E l E J n F 1 b 3 Q 7 L C Z x d W 9 0 O 1 N p d G U g S W Q s I E N 1 c 3 R v b W V y I E 5 h b W U m c X V v d D s s J n F 1 b 3 Q 7 U H J v Z H V j d C B U e X B l J n F 1 b 3 Q 7 L C Z x d W 9 0 O 1 B y b 2 R 1 Y 3 Q g T m F t Z S Z x d W 9 0 O y w m c X V v d D t J b n N 0 Y W x s I E J h c 2 U g U 3 R h d H V z J n F 1 b 3 Q 7 L C Z x d W 9 0 O 0 l u c 3 R h b G w g Q m F z Z S B B Z 2 U m c X V v d D s s J n F 1 b 3 Q 7 Q 2 9 u b m V j d G l 2 a X R 5 I F N 0 Y X R 1 c y Z x d W 9 0 O y w m c X V v d D t D b 2 5 u Z W N 0 a W 9 u I E F n Z S Z x d W 9 0 O y w m c X V v d D t T Y W x l c y B P c m R l c i B O d W 1 i Z X I m c X V v d D s s J n F 1 b 3 Q 7 T G F z d C B D b 2 5 u Z W N 0 Z W Q m c X V v d D s s J n F 1 b 3 Q 7 Q 2 9 u d H J h Y 3 Q g U 3 R h d H V z J n F 1 b 3 Q 7 L C Z x d W 9 0 O 1 N l c n Z p Y 2 U g U G x h b i B M Z X Z l b C Z x d W 9 0 O y w m c X V v d D t D b 2 5 0 c m F j d C B F b m Q g R G F 0 Z S Z x d W 9 0 O y w m c X V v d D t F b m Q g b 2 Y g U 3 R h b m R h c m Q g U 3 V w c G 9 y d C A o R U 9 T U y k g R G F 0 Z S Z x d W 9 0 O y w m c X V v d D t D a X R 5 J n F 1 b 3 Q 7 L C Z x d W 9 0 O 0 N v d W 5 0 c n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d G F s b G J h c 2 V f T 3 Z l c n Z p Z X d f R X h w b 3 J 0 I F 9 B Q 1 N B X z E x M T g y M D E 5 L 0 N o Y W 5 n Z W Q g V H l w Z S 5 7 U H J v Z H V j d C B J Z C w w f S Z x d W 9 0 O y w m c X V v d D t T Z W N 0 a W 9 u M S 9 J b n N 0 Y W x s Y m F z Z V 9 P d m V y d m l l d 1 9 F e H B v c n Q g X 0 F D U 0 F f M T E x O D I w M T k v Q 2 h h b m d l Z C B U e X B l L n t Q c m 9 k d W N 0 I E 5 p Y 2 t u Y W 1 l L D F 9 J n F 1 b 3 Q 7 L C Z x d W 9 0 O 1 N l Y 3 R p b 2 4 x L 0 l u c 3 R h b G x i Y X N l X 0 9 2 Z X J 2 a W V 3 X 0 V 4 c G 9 y d C B f Q U N T Q V 8 x M T E 4 M j A x O S 9 D a G F u Z 2 V k I F R 5 c G U u e 0 l u c 3 R h b m N l I E l E L D J 9 J n F 1 b 3 Q 7 L C Z x d W 9 0 O 1 N l Y 3 R p b 2 4 x L 0 l u c 3 R h b G x i Y X N l X 0 9 2 Z X J 2 a W V 3 X 0 V 4 c G 9 y d C B f Q U N T Q V 8 x M T E 4 M j A x O S 9 D a G F u Z 2 V k I F R 5 c G U u e 1 N p d G U g S W Q s I E N 1 c 3 R v b W V y I E 5 h b W U s M 3 0 m c X V v d D s s J n F 1 b 3 Q 7 U 2 V j d G l v b j E v S W 5 z d G F s b G J h c 2 V f T 3 Z l c n Z p Z X d f R X h w b 3 J 0 I F 9 B Q 1 N B X z E x M T g y M D E 5 L 0 N o Y W 5 n Z W Q g V H l w Z S 5 7 U H J v Z H V j d C B U e X B l L D R 9 J n F 1 b 3 Q 7 L C Z x d W 9 0 O 1 N l Y 3 R p b 2 4 x L 0 l u c 3 R h b G x i Y X N l X 0 9 2 Z X J 2 a W V 3 X 0 V 4 c G 9 y d C B f Q U N T Q V 8 x M T E 4 M j A x O S 9 D a G F u Z 2 V k I F R 5 c G U u e 1 B y b 2 R 1 Y 3 Q g T m F t Z S w 1 f S Z x d W 9 0 O y w m c X V v d D t T Z W N 0 a W 9 u M S 9 J b n N 0 Y W x s Y m F z Z V 9 P d m V y d m l l d 1 9 F e H B v c n Q g X 0 F D U 0 F f M T E x O D I w M T k v Q 2 h h b m d l Z C B U e X B l L n t J b n N 0 Y W x s I E J h c 2 U g U 3 R h d H V z L D Z 9 J n F 1 b 3 Q 7 L C Z x d W 9 0 O 1 N l Y 3 R p b 2 4 x L 0 l u c 3 R h b G x i Y X N l X 0 9 2 Z X J 2 a W V 3 X 0 V 4 c G 9 y d C B f Q U N T Q V 8 x M T E 4 M j A x O S 9 D a G F u Z 2 V k I F R 5 c G U u e 0 l u c 3 R h b G w g Q m F z Z S B B Z 2 U s N 3 0 m c X V v d D s s J n F 1 b 3 Q 7 U 2 V j d G l v b j E v S W 5 z d G F s b G J h c 2 V f T 3 Z l c n Z p Z X d f R X h w b 3 J 0 I F 9 B Q 1 N B X z E x M T g y M D E 5 L 0 N o Y W 5 n Z W Q g V H l w Z S 5 7 Q 2 9 u b m V j d G l 2 a X R 5 I F N 0 Y X R 1 c y w 4 f S Z x d W 9 0 O y w m c X V v d D t T Z W N 0 a W 9 u M S 9 J b n N 0 Y W x s Y m F z Z V 9 P d m V y d m l l d 1 9 F e H B v c n Q g X 0 F D U 0 F f M T E x O D I w M T k v Q 2 h h b m d l Z C B U e X B l L n t D b 2 5 u Z W N 0 a W 9 u I E F n Z S w 5 f S Z x d W 9 0 O y w m c X V v d D t T Z W N 0 a W 9 u M S 9 J b n N 0 Y W x s Y m F z Z V 9 P d m V y d m l l d 1 9 F e H B v c n Q g X 0 F D U 0 F f M T E x O D I w M T k v Q 2 h h b m d l Z C B U e X B l L n t T Y W x l c y B P c m R l c i B O d W 1 i Z X I s M T B 9 J n F 1 b 3 Q 7 L C Z x d W 9 0 O 1 N l Y 3 R p b 2 4 x L 0 l u c 3 R h b G x i Y X N l X 0 9 2 Z X J 2 a W V 3 X 0 V 4 c G 9 y d C B f Q U N T Q V 8 x M T E 4 M j A x O S 9 D a G F u Z 2 V k I F R 5 c G U u e 0 x h c 3 Q g Q 2 9 u b m V j d G V k L D E x f S Z x d W 9 0 O y w m c X V v d D t T Z W N 0 a W 9 u M S 9 J b n N 0 Y W x s Y m F z Z V 9 P d m V y d m l l d 1 9 F e H B v c n Q g X 0 F D U 0 F f M T E x O D I w M T k v Q 2 h h b m d l Z C B U e X B l L n t D b 2 5 0 c m F j d C B T d G F 0 d X M s M T J 9 J n F 1 b 3 Q 7 L C Z x d W 9 0 O 1 N l Y 3 R p b 2 4 x L 0 l u c 3 R h b G x i Y X N l X 0 9 2 Z X J 2 a W V 3 X 0 V 4 c G 9 y d C B f Q U N T Q V 8 x M T E 4 M j A x O S 9 D a G F u Z 2 V k I F R 5 c G U u e 1 N l c n Z p Y 2 U g U G x h b i B M Z X Z l b C w x M 3 0 m c X V v d D s s J n F 1 b 3 Q 7 U 2 V j d G l v b j E v S W 5 z d G F s b G J h c 2 V f T 3 Z l c n Z p Z X d f R X h w b 3 J 0 I F 9 B Q 1 N B X z E x M T g y M D E 5 L 0 N o Y W 5 n Z W Q g V H l w Z S 5 7 Q 2 9 u d H J h Y 3 Q g R W 5 k I E R h d G U s M T R 9 J n F 1 b 3 Q 7 L C Z x d W 9 0 O 1 N l Y 3 R p b 2 4 x L 0 l u c 3 R h b G x i Y X N l X 0 9 2 Z X J 2 a W V 3 X 0 V 4 c G 9 y d C B f Q U N T Q V 8 x M T E 4 M j A x O S 9 D a G F u Z 2 V k I F R 5 c G U u e 0 V u Z C B v Z i B T d G F u Z G F y Z C B T d X B w b 3 J 0 I C h F T 1 N T K S B E Y X R l L D E 1 f S Z x d W 9 0 O y w m c X V v d D t T Z W N 0 a W 9 u M S 9 J b n N 0 Y W x s Y m F z Z V 9 P d m V y d m l l d 1 9 F e H B v c n Q g X 0 F D U 0 F f M T E x O D I w M T k v Q 2 h h b m d l Z C B U e X B l L n t D a X R 5 L D E 2 f S Z x d W 9 0 O y w m c X V v d D t T Z W N 0 a W 9 u M S 9 J b n N 0 Y W x s Y m F z Z V 9 P d m V y d m l l d 1 9 F e H B v c n Q g X 0 F D U 0 F f M T E x O D I w M T k v Q 2 h h b m d l Z C B U e X B l L n t D b 3 V u d H J 5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S W 5 z d G F s b G J h c 2 V f T 3 Z l c n Z p Z X d f R X h w b 3 J 0 I F 9 B Q 1 N B X z E x M T g y M D E 5 L 0 N o Y W 5 n Z W Q g V H l w Z S 5 7 U H J v Z H V j d C B J Z C w w f S Z x d W 9 0 O y w m c X V v d D t T Z W N 0 a W 9 u M S 9 J b n N 0 Y W x s Y m F z Z V 9 P d m V y d m l l d 1 9 F e H B v c n Q g X 0 F D U 0 F f M T E x O D I w M T k v Q 2 h h b m d l Z C B U e X B l L n t Q c m 9 k d W N 0 I E 5 p Y 2 t u Y W 1 l L D F 9 J n F 1 b 3 Q 7 L C Z x d W 9 0 O 1 N l Y 3 R p b 2 4 x L 0 l u c 3 R h b G x i Y X N l X 0 9 2 Z X J 2 a W V 3 X 0 V 4 c G 9 y d C B f Q U N T Q V 8 x M T E 4 M j A x O S 9 D a G F u Z 2 V k I F R 5 c G U u e 0 l u c 3 R h b m N l I E l E L D J 9 J n F 1 b 3 Q 7 L C Z x d W 9 0 O 1 N l Y 3 R p b 2 4 x L 0 l u c 3 R h b G x i Y X N l X 0 9 2 Z X J 2 a W V 3 X 0 V 4 c G 9 y d C B f Q U N T Q V 8 x M T E 4 M j A x O S 9 D a G F u Z 2 V k I F R 5 c G U u e 1 N p d G U g S W Q s I E N 1 c 3 R v b W V y I E 5 h b W U s M 3 0 m c X V v d D s s J n F 1 b 3 Q 7 U 2 V j d G l v b j E v S W 5 z d G F s b G J h c 2 V f T 3 Z l c n Z p Z X d f R X h w b 3 J 0 I F 9 B Q 1 N B X z E x M T g y M D E 5 L 0 N o Y W 5 n Z W Q g V H l w Z S 5 7 U H J v Z H V j d C B U e X B l L D R 9 J n F 1 b 3 Q 7 L C Z x d W 9 0 O 1 N l Y 3 R p b 2 4 x L 0 l u c 3 R h b G x i Y X N l X 0 9 2 Z X J 2 a W V 3 X 0 V 4 c G 9 y d C B f Q U N T Q V 8 x M T E 4 M j A x O S 9 D a G F u Z 2 V k I F R 5 c G U u e 1 B y b 2 R 1 Y 3 Q g T m F t Z S w 1 f S Z x d W 9 0 O y w m c X V v d D t T Z W N 0 a W 9 u M S 9 J b n N 0 Y W x s Y m F z Z V 9 P d m V y d m l l d 1 9 F e H B v c n Q g X 0 F D U 0 F f M T E x O D I w M T k v Q 2 h h b m d l Z C B U e X B l L n t J b n N 0 Y W x s I E J h c 2 U g U 3 R h d H V z L D Z 9 J n F 1 b 3 Q 7 L C Z x d W 9 0 O 1 N l Y 3 R p b 2 4 x L 0 l u c 3 R h b G x i Y X N l X 0 9 2 Z X J 2 a W V 3 X 0 V 4 c G 9 y d C B f Q U N T Q V 8 x M T E 4 M j A x O S 9 D a G F u Z 2 V k I F R 5 c G U u e 0 l u c 3 R h b G w g Q m F z Z S B B Z 2 U s N 3 0 m c X V v d D s s J n F 1 b 3 Q 7 U 2 V j d G l v b j E v S W 5 z d G F s b G J h c 2 V f T 3 Z l c n Z p Z X d f R X h w b 3 J 0 I F 9 B Q 1 N B X z E x M T g y M D E 5 L 0 N o Y W 5 n Z W Q g V H l w Z S 5 7 Q 2 9 u b m V j d G l 2 a X R 5 I F N 0 Y X R 1 c y w 4 f S Z x d W 9 0 O y w m c X V v d D t T Z W N 0 a W 9 u M S 9 J b n N 0 Y W x s Y m F z Z V 9 P d m V y d m l l d 1 9 F e H B v c n Q g X 0 F D U 0 F f M T E x O D I w M T k v Q 2 h h b m d l Z C B U e X B l L n t D b 2 5 u Z W N 0 a W 9 u I E F n Z S w 5 f S Z x d W 9 0 O y w m c X V v d D t T Z W N 0 a W 9 u M S 9 J b n N 0 Y W x s Y m F z Z V 9 P d m V y d m l l d 1 9 F e H B v c n Q g X 0 F D U 0 F f M T E x O D I w M T k v Q 2 h h b m d l Z C B U e X B l L n t T Y W x l c y B P c m R l c i B O d W 1 i Z X I s M T B 9 J n F 1 b 3 Q 7 L C Z x d W 9 0 O 1 N l Y 3 R p b 2 4 x L 0 l u c 3 R h b G x i Y X N l X 0 9 2 Z X J 2 a W V 3 X 0 V 4 c G 9 y d C B f Q U N T Q V 8 x M T E 4 M j A x O S 9 D a G F u Z 2 V k I F R 5 c G U u e 0 x h c 3 Q g Q 2 9 u b m V j d G V k L D E x f S Z x d W 9 0 O y w m c X V v d D t T Z W N 0 a W 9 u M S 9 J b n N 0 Y W x s Y m F z Z V 9 P d m V y d m l l d 1 9 F e H B v c n Q g X 0 F D U 0 F f M T E x O D I w M T k v Q 2 h h b m d l Z C B U e X B l L n t D b 2 5 0 c m F j d C B T d G F 0 d X M s M T J 9 J n F 1 b 3 Q 7 L C Z x d W 9 0 O 1 N l Y 3 R p b 2 4 x L 0 l u c 3 R h b G x i Y X N l X 0 9 2 Z X J 2 a W V 3 X 0 V 4 c G 9 y d C B f Q U N T Q V 8 x M T E 4 M j A x O S 9 D a G F u Z 2 V k I F R 5 c G U u e 1 N l c n Z p Y 2 U g U G x h b i B M Z X Z l b C w x M 3 0 m c X V v d D s s J n F 1 b 3 Q 7 U 2 V j d G l v b j E v S W 5 z d G F s b G J h c 2 V f T 3 Z l c n Z p Z X d f R X h w b 3 J 0 I F 9 B Q 1 N B X z E x M T g y M D E 5 L 0 N o Y W 5 n Z W Q g V H l w Z S 5 7 Q 2 9 u d H J h Y 3 Q g R W 5 k I E R h d G U s M T R 9 J n F 1 b 3 Q 7 L C Z x d W 9 0 O 1 N l Y 3 R p b 2 4 x L 0 l u c 3 R h b G x i Y X N l X 0 9 2 Z X J 2 a W V 3 X 0 V 4 c G 9 y d C B f Q U N T Q V 8 x M T E 4 M j A x O S 9 D a G F u Z 2 V k I F R 5 c G U u e 0 V u Z C B v Z i B T d G F u Z G F y Z C B T d X B w b 3 J 0 I C h F T 1 N T K S B E Y X R l L D E 1 f S Z x d W 9 0 O y w m c X V v d D t T Z W N 0 a W 9 u M S 9 J b n N 0 Y W x s Y m F z Z V 9 P d m V y d m l l d 1 9 F e H B v c n Q g X 0 F D U 0 F f M T E x O D I w M T k v Q 2 h h b m d l Z C B U e X B l L n t D a X R 5 L D E 2 f S Z x d W 9 0 O y w m c X V v d D t T Z W N 0 a W 9 u M S 9 J b n N 0 Y W x s Y m F z Z V 9 P d m V y d m l l d 1 9 F e H B v c n Q g X 0 F D U 0 F f M T E x O D I w M T k v Q 2 h h b m d l Z C B U e X B l L n t D b 3 V u d H J 5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z d G F s b G J h c 2 V f T 3 Z l c n Z p Z X d f R X h w b 3 J 0 J T I w X 0 F D U 0 F f M T E x O D I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d G F s b G J h c 2 V f T 3 Z l c n Z p Z X d f R X h w b 3 J 0 J T I w X 0 F D U 0 F f M T E x O D I w M T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d G F s b G J h c 2 V f T 3 Z l c n Z p Z X d f R X h w b 3 J 0 J T I w X 0 F D U 0 F f M T E x O D I w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P z n R / 6 x j U i W 0 w g m 0 X S P x Q A A A A A C A A A A A A A D Z g A A w A A A A B A A A A B D o c Z m k G h S l z a C 0 W s m u R D E A A A A A A S A A A C g A A A A E A A A A J U P a e p R H 8 5 Q e n L y f f R 4 J N d Q A A A A B 7 1 5 t m h p O N + 2 t + n i z I Z / 9 F n Z 8 f t 7 J A + W x r D G / F s O 9 J k H d T Y Q 7 6 z q 5 6 V G O e k E N R X y p D H 8 R Y g p p S 5 5 t a p V r I m 4 1 E / L i E L G a N B + 8 V 4 E j Q e 3 y 6 g U A A A A m e b D Z 5 J T P R g I e E a O M 9 x H W 3 F e O t 8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44D13-472F-4946-A3FC-DAE41A8DD057}"/>
</file>

<file path=customXml/itemProps2.xml><?xml version="1.0" encoding="utf-8"?>
<ds:datastoreItem xmlns:ds="http://schemas.openxmlformats.org/officeDocument/2006/customXml" ds:itemID="{B3041D6A-19E2-40DF-A4BF-B8629EDC2A10}"/>
</file>

<file path=customXml/itemProps3.xml><?xml version="1.0" encoding="utf-8"?>
<ds:datastoreItem xmlns:ds="http://schemas.openxmlformats.org/officeDocument/2006/customXml" ds:itemID="{64656C0B-3CD1-4B94-BA4F-AE9B22948FAE}"/>
</file>

<file path=customXml/itemProps4.xml><?xml version="1.0" encoding="utf-8"?>
<ds:datastoreItem xmlns:ds="http://schemas.openxmlformats.org/officeDocument/2006/customXml" ds:itemID="{9006E759-63DD-475C-B77C-825B256502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Scheepers</dc:creator>
  <cp:keywords/>
  <dc:description/>
  <cp:lastModifiedBy>Sydney Mfeka</cp:lastModifiedBy>
  <cp:revision/>
  <dcterms:created xsi:type="dcterms:W3CDTF">2015-10-09T09:53:26Z</dcterms:created>
  <dcterms:modified xsi:type="dcterms:W3CDTF">2025-12-03T15:03:02Z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0x01010075B6A79A53E7D142BE0A5628DDE9BC92</vt:lpwstr>
  </property>
  <property fmtid="{D5CDD505-2E9C-101B-9397-08002B2CF9AE}" pid="5" name="MSIP_Label_a11864d1-c16a-45ad-949f-bdea3b8c9e66_Enabled">
    <vt:lpwstr>true</vt:lpwstr>
  </property>
  <property fmtid="{D5CDD505-2E9C-101B-9397-08002B2CF9AE}" pid="6" name="MSIP_Label_a11864d1-c16a-45ad-949f-bdea3b8c9e66_SetDate">
    <vt:lpwstr>2025-09-17T12:42:06Z</vt:lpwstr>
  </property>
  <property fmtid="{D5CDD505-2E9C-101B-9397-08002B2CF9AE}" pid="7" name="MSIP_Label_a11864d1-c16a-45ad-949f-bdea3b8c9e66_Method">
    <vt:lpwstr>Standard</vt:lpwstr>
  </property>
  <property fmtid="{D5CDD505-2E9C-101B-9397-08002B2CF9AE}" pid="8" name="MSIP_Label_a11864d1-c16a-45ad-949f-bdea3b8c9e66_Name">
    <vt:lpwstr>Confidential</vt:lpwstr>
  </property>
  <property fmtid="{D5CDD505-2E9C-101B-9397-08002B2CF9AE}" pid="9" name="MSIP_Label_a11864d1-c16a-45ad-949f-bdea3b8c9e66_SiteId">
    <vt:lpwstr>fb62d46e-e86e-4673-ba82-b27b61d8202b</vt:lpwstr>
  </property>
  <property fmtid="{D5CDD505-2E9C-101B-9397-08002B2CF9AE}" pid="10" name="MSIP_Label_a11864d1-c16a-45ad-949f-bdea3b8c9e66_ActionId">
    <vt:lpwstr>3a7e85ec-a945-43e5-b7de-a7b93e70091d</vt:lpwstr>
  </property>
  <property fmtid="{D5CDD505-2E9C-101B-9397-08002B2CF9AE}" pid="11" name="MSIP_Label_a11864d1-c16a-45ad-949f-bdea3b8c9e66_ContentBits">
    <vt:lpwstr>3</vt:lpwstr>
  </property>
  <property fmtid="{D5CDD505-2E9C-101B-9397-08002B2CF9AE}" pid="12" name="MSIP_Label_a11864d1-c16a-45ad-949f-bdea3b8c9e66_Tag">
    <vt:lpwstr>10, 3, 0, 1</vt:lpwstr>
  </property>
</Properties>
</file>