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shokweniP\Documents\Prudence Van\MIG Projects\2023-24fy\Rapotokwane road and stormwater phase 1\Tender Document\Final Tender Document\"/>
    </mc:Choice>
  </mc:AlternateContent>
  <xr:revisionPtr revIDLastSave="0" documentId="13_ncr:1_{D0AE5151-708C-4E23-BEA6-52A326D2A89E}" xr6:coauthVersionLast="47" xr6:coauthVersionMax="47" xr10:uidLastSave="{00000000-0000-0000-0000-000000000000}"/>
  <bookViews>
    <workbookView xWindow="-110" yWindow="-110" windowWidth="19420" windowHeight="10300" tabRatio="829" firstSheet="6" activeTab="6" xr2:uid="{00000000-000D-0000-FFFF-FFFF00000000}"/>
  </bookViews>
  <sheets>
    <sheet name="Checklist" sheetId="36" state="hidden" r:id="rId1"/>
    <sheet name="RECONCILIATION" sheetId="37" state="hidden" r:id="rId2"/>
    <sheet name="JRA CERTIFICATE" sheetId="38" state="hidden" r:id="rId3"/>
    <sheet name="SUNDRY" sheetId="39" state="hidden" r:id="rId4"/>
    <sheet name="STATEMENT" sheetId="40" state="hidden" r:id="rId5"/>
    <sheet name="Material on Site" sheetId="41" state="hidden" r:id="rId6"/>
    <sheet name="SECTION 1200" sheetId="47" r:id="rId7"/>
    <sheet name="SECTION 1300" sheetId="48" r:id="rId8"/>
    <sheet name="SECTION 1400 " sheetId="49" r:id="rId9"/>
    <sheet name="SECTION 1500 " sheetId="6" r:id="rId10"/>
    <sheet name="SECTION 1700  " sheetId="8" r:id="rId11"/>
    <sheet name="SECTION 1800" sheetId="35" r:id="rId12"/>
    <sheet name="SECTION 2100 (LIC)  " sheetId="9" r:id="rId13"/>
    <sheet name="SECTION 2200 (LIC)    " sheetId="10" r:id="rId14"/>
    <sheet name="SECTION 2300 (LIC)   " sheetId="11" r:id="rId15"/>
    <sheet name="SECTION 3100 " sheetId="42" r:id="rId16"/>
    <sheet name="SECTION 3300   " sheetId="13" r:id="rId17"/>
    <sheet name="SECTION 3400    " sheetId="14" r:id="rId18"/>
    <sheet name="SECTION 3500 " sheetId="15" r:id="rId19"/>
    <sheet name="SECTION 4100" sheetId="51" r:id="rId20"/>
    <sheet name="SECTION 4500" sheetId="50" r:id="rId21"/>
    <sheet name="SECTION 5100 (LIC)    " sheetId="19" r:id="rId22"/>
    <sheet name="SECTION 5400 (LIC)" sheetId="46" r:id="rId23"/>
    <sheet name="SECTION 5600 (LIC)    " sheetId="21" r:id="rId24"/>
    <sheet name="SECTION 5700     " sheetId="22" r:id="rId25"/>
    <sheet name="SECTION 5900" sheetId="43" r:id="rId26"/>
    <sheet name="SECTION 7300 (LIC)       " sheetId="25" r:id="rId27"/>
    <sheet name="SECTION 8100     " sheetId="27" r:id="rId28"/>
    <sheet name="SUMMARY" sheetId="29" r:id="rId29"/>
    <sheet name="SECTION 7400       " sheetId="26" state="hidden" r:id="rId30"/>
  </sheets>
  <externalReferences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</externalReferences>
  <definedNames>
    <definedName name="\A" localSheetId="0">[1]Sched2!#REF!</definedName>
    <definedName name="\A" localSheetId="2">[1]Sched2!#REF!</definedName>
    <definedName name="\A" localSheetId="5">[1]Sched2!#REF!</definedName>
    <definedName name="\A" localSheetId="1">[1]Sched2!#REF!</definedName>
    <definedName name="\A" localSheetId="4">[1]Sched2!#REF!</definedName>
    <definedName name="\A" localSheetId="3">[1]Sched2!#REF!</definedName>
    <definedName name="\A">[1]Sched2!#REF!</definedName>
    <definedName name="\B" localSheetId="0">[1]Sched2!#REF!</definedName>
    <definedName name="\B">[1]Sched2!#REF!</definedName>
    <definedName name="\C" localSheetId="0">[1]Sched2!#REF!</definedName>
    <definedName name="\C">[1]Sched2!#REF!</definedName>
    <definedName name="\D" localSheetId="0">[1]Sched2!#REF!</definedName>
    <definedName name="\D">[1]Sched2!#REF!</definedName>
    <definedName name="\E" localSheetId="0">[1]Sched2!#REF!</definedName>
    <definedName name="\E">[1]Sched2!#REF!</definedName>
    <definedName name="\F">[1]Sched2!#REF!</definedName>
    <definedName name="\G">[1]Sched2!#REF!</definedName>
    <definedName name="\H">[1]Sched2!#REF!</definedName>
    <definedName name="\J">[1]Sched2!#REF!</definedName>
    <definedName name="\K">[1]Sched2!#REF!</definedName>
    <definedName name="\Q">[1]Sched2!#REF!</definedName>
    <definedName name="__123Graph_A" localSheetId="4" hidden="1">[2]PROGRESS!#REF!</definedName>
    <definedName name="__123Graph_A" hidden="1">[3]PROGRESS!#REF!</definedName>
    <definedName name="__123Graph_B" localSheetId="4" hidden="1">[2]PROGRESS!#REF!</definedName>
    <definedName name="__123Graph_B" hidden="1">[3]PROGRESS!#REF!</definedName>
    <definedName name="__123Graph_C" hidden="1">[2]PROGRESS!#REF!</definedName>
    <definedName name="__123Graph_X" localSheetId="4" hidden="1">[2]PROGRESS!#REF!</definedName>
    <definedName name="__123Graph_X" hidden="1">[3]PROGRESS!#REF!</definedName>
    <definedName name="__IntlFixup" hidden="1">TRUE</definedName>
    <definedName name="__SEC1200" localSheetId="0">#REF!</definedName>
    <definedName name="__SEC1200" localSheetId="2">#REF!</definedName>
    <definedName name="__SEC1200" localSheetId="5">#REF!</definedName>
    <definedName name="__SEC1200" localSheetId="1">#REF!</definedName>
    <definedName name="__SEC1200" localSheetId="4">#REF!</definedName>
    <definedName name="__SEC1200" localSheetId="3">#REF!</definedName>
    <definedName name="__SEC1200">#REF!</definedName>
    <definedName name="_11__123Graph_A1_94" localSheetId="0" hidden="1">[4]PROGRESS!#REF!</definedName>
    <definedName name="_11__123Graph_A1_94" localSheetId="2" hidden="1">[4]PROGRESS!#REF!</definedName>
    <definedName name="_11__123Graph_A1_94" localSheetId="5" hidden="1">[4]PROGRESS!#REF!</definedName>
    <definedName name="_11__123Graph_A1_94" localSheetId="1" hidden="1">[4]PROGRESS!#REF!</definedName>
    <definedName name="_11__123Graph_A1_94" localSheetId="4" hidden="1">[4]PROGRESS!#REF!</definedName>
    <definedName name="_11__123Graph_A1_94" localSheetId="3" hidden="1">[4]PROGRESS!#REF!</definedName>
    <definedName name="_11__123Graph_A1_94" hidden="1">[4]PROGRESS!#REF!</definedName>
    <definedName name="_12__123Graph_B1_94" localSheetId="4" hidden="1">[2]PROGRESS!#REF!</definedName>
    <definedName name="_12__123Graph_B1_94" hidden="1">[2]PROGRESS!#REF!</definedName>
    <definedName name="_12__123raph_B1_94a" hidden="1">[2]PROGRESS!#REF!</definedName>
    <definedName name="_15__123Graph_BPROGRESS_4_95" hidden="1">[2]PROGRESS!#REF!</definedName>
    <definedName name="_18__123Graph_APROGRESS_4_95" hidden="1">[3]PROGRESS!#REF!</definedName>
    <definedName name="_18__123Graph_BTEM1_94" hidden="1">[2]PROGRESS!#REF!</definedName>
    <definedName name="_1SCHEDULE_1" localSheetId="0">#REF!</definedName>
    <definedName name="_1SCHEDULE_1" localSheetId="2">#REF!</definedName>
    <definedName name="_1SCHEDULE_1" localSheetId="5">#REF!</definedName>
    <definedName name="_1SCHEDULE_1" localSheetId="1">#REF!</definedName>
    <definedName name="_1SCHEDULE_1" localSheetId="4">#REF!</definedName>
    <definedName name="_1SCHEDULE_1" localSheetId="3">#REF!</definedName>
    <definedName name="_1SCHEDULE_1">#REF!</definedName>
    <definedName name="_21__123Graph_X1_94" localSheetId="0" hidden="1">[2]PROGRESS!#REF!</definedName>
    <definedName name="_21__123Graph_X1_94" localSheetId="2" hidden="1">[2]PROGRESS!#REF!</definedName>
    <definedName name="_21__123Graph_X1_94" localSheetId="5" hidden="1">[2]PROGRESS!#REF!</definedName>
    <definedName name="_21__123Graph_X1_94" localSheetId="1" hidden="1">[2]PROGRESS!#REF!</definedName>
    <definedName name="_21__123Graph_X1_94" localSheetId="4" hidden="1">[2]PROGRESS!#REF!</definedName>
    <definedName name="_21__123Graph_X1_94" localSheetId="3" hidden="1">[2]PROGRESS!#REF!</definedName>
    <definedName name="_21__123Graph_X1_94" hidden="1">[2]PROGRESS!#REF!</definedName>
    <definedName name="_22__123Graph_APROGRESS_4_95" hidden="1">[4]PROGRESS!#REF!</definedName>
    <definedName name="_24__123Graph_XPROGRESS_4_95" hidden="1">[2]PROGRESS!#REF!</definedName>
    <definedName name="_27__123Graph_ATEM1_94" hidden="1">[3]PROGRESS!#REF!</definedName>
    <definedName name="_27__123Graph_XTEM1_94" hidden="1">[2]PROGRESS!#REF!</definedName>
    <definedName name="_2SCHEDULE_2" localSheetId="0">#REF!</definedName>
    <definedName name="_2SCHEDULE_2" localSheetId="2">#REF!</definedName>
    <definedName name="_2SCHEDULE_2" localSheetId="5">#REF!</definedName>
    <definedName name="_2SCHEDULE_2" localSheetId="1">#REF!</definedName>
    <definedName name="_2SCHEDULE_2" localSheetId="4">#REF!</definedName>
    <definedName name="_2SCHEDULE_2" localSheetId="3">#REF!</definedName>
    <definedName name="_2SCHEDULE_2">#REF!</definedName>
    <definedName name="_3__123Graph_A1_94" localSheetId="0" hidden="1">[2]PROGRESS!#REF!</definedName>
    <definedName name="_3__123Graph_A1_94" localSheetId="2" hidden="1">[2]PROGRESS!#REF!</definedName>
    <definedName name="_3__123Graph_A1_94" localSheetId="5" hidden="1">[2]PROGRESS!#REF!</definedName>
    <definedName name="_3__123Graph_A1_94" localSheetId="1" hidden="1">[2]PROGRESS!#REF!</definedName>
    <definedName name="_3__123Graph_A1_94" localSheetId="4" hidden="1">[2]PROGRESS!#REF!</definedName>
    <definedName name="_3__123Graph_A1_94" localSheetId="3" hidden="1">[2]PROGRESS!#REF!</definedName>
    <definedName name="_3__123Graph_A1_94" hidden="1">[2]PROGRESS!#REF!</definedName>
    <definedName name="_33__123Graph_ATEM1_94" hidden="1">[4]PROGRESS!#REF!</definedName>
    <definedName name="_36__123Graph_B1_94" hidden="1">[3]PROGRESS!#REF!</definedName>
    <definedName name="_44__123Graph_B1_94" hidden="1">[4]PROGRESS!#REF!</definedName>
    <definedName name="_45__123Graph_BPROGRESS_4_95" hidden="1">[3]PROGRESS!#REF!</definedName>
    <definedName name="_54__123Graph_BTEM1_94" hidden="1">[3]PROGRESS!#REF!</definedName>
    <definedName name="_55__123Graph_BPROGRESS_4_95" hidden="1">[4]PROGRESS!#REF!</definedName>
    <definedName name="_6__123Graph_APROGRESS_4_95" hidden="1">[2]PROGRESS!#REF!</definedName>
    <definedName name="_63__123Graph_X1_94" hidden="1">[3]PROGRESS!#REF!</definedName>
    <definedName name="_66__123Graph_BTEM1_94" hidden="1">[4]PROGRESS!#REF!</definedName>
    <definedName name="_72__123Graph_XPROGRESS_4_95" hidden="1">[3]PROGRESS!#REF!</definedName>
    <definedName name="_77__123Graph_X1_94" hidden="1">[4]PROGRESS!#REF!</definedName>
    <definedName name="_81__123Graph_XTEM1_94" hidden="1">[3]PROGRESS!#REF!</definedName>
    <definedName name="_88__123Graph_XPROGRESS_4_95" hidden="1">[4]PROGRESS!#REF!</definedName>
    <definedName name="_9__123Graph_A1_94" hidden="1">[3]PROGRESS!#REF!</definedName>
    <definedName name="_9__123Graph_ATEM1_94" hidden="1">[2]PROGRESS!#REF!</definedName>
    <definedName name="_99__123Graph_XTEM1_94" hidden="1">[4]PROGRESS!#REF!</definedName>
    <definedName name="_Order1" hidden="1">255</definedName>
    <definedName name="_Parse_Out" localSheetId="0" hidden="1">#REF!</definedName>
    <definedName name="_Parse_Out" localSheetId="2" hidden="1">#REF!</definedName>
    <definedName name="_Parse_Out" localSheetId="5" hidden="1">#REF!</definedName>
    <definedName name="_Parse_Out" localSheetId="1" hidden="1">#REF!</definedName>
    <definedName name="_Parse_Out" localSheetId="4" hidden="1">#REF!</definedName>
    <definedName name="_Parse_Out" localSheetId="3" hidden="1">#REF!</definedName>
    <definedName name="_Parse_Out" hidden="1">#REF!</definedName>
    <definedName name="_SEC1200" localSheetId="0">#REF!</definedName>
    <definedName name="_SEC1200" localSheetId="2">#REF!</definedName>
    <definedName name="_SEC1200" localSheetId="5">#REF!</definedName>
    <definedName name="_SEC1200" localSheetId="1">#REF!</definedName>
    <definedName name="_SEC1200" localSheetId="4">#REF!</definedName>
    <definedName name="_SEC1200" localSheetId="3">#REF!</definedName>
    <definedName name="_SEC1200">#REF!</definedName>
    <definedName name="_tax1" localSheetId="0">#REF!</definedName>
    <definedName name="_tax1" localSheetId="2">#REF!</definedName>
    <definedName name="_tax1" localSheetId="5">#REF!</definedName>
    <definedName name="_tax1" localSheetId="1">#REF!</definedName>
    <definedName name="_tax1" localSheetId="4">#REF!</definedName>
    <definedName name="_tax1" localSheetId="3">#REF!</definedName>
    <definedName name="_tax1">#REF!</definedName>
    <definedName name="_tax2">#REF!</definedName>
    <definedName name="_tax3">#REF!</definedName>
    <definedName name="_tax4">#REF!</definedName>
    <definedName name="A" localSheetId="0" hidden="1">[5]PROGRESS!#REF!</definedName>
    <definedName name="A" localSheetId="2" hidden="1">[5]PROGRESS!#REF!</definedName>
    <definedName name="A" localSheetId="5" hidden="1">[5]PROGRESS!#REF!</definedName>
    <definedName name="A" localSheetId="1" hidden="1">[5]PROGRESS!#REF!</definedName>
    <definedName name="A" localSheetId="4" hidden="1">[5]PROGRESS!#REF!</definedName>
    <definedName name="A" localSheetId="3" hidden="1">[5]PROGRESS!#REF!</definedName>
    <definedName name="A" hidden="1">[5]PROGRESS!#REF!</definedName>
    <definedName name="AA" localSheetId="0" hidden="1">{#N/A,#N/A,FALSE,"Cert"}</definedName>
    <definedName name="AA" localSheetId="2" hidden="1">{#N/A,#N/A,FALSE,"Cert"}</definedName>
    <definedName name="AA" localSheetId="5" hidden="1">{#N/A,#N/A,FALSE,"Cert"}</definedName>
    <definedName name="AA" localSheetId="1" hidden="1">{#N/A,#N/A,FALSE,"Cert"}</definedName>
    <definedName name="AA" localSheetId="4" hidden="1">{#N/A,#N/A,FALSE,"Cert"}</definedName>
    <definedName name="AA" localSheetId="3" hidden="1">{#N/A,#N/A,FALSE,"Cert"}</definedName>
    <definedName name="AA" hidden="1">{#N/A,#N/A,FALSE,"Cert"}</definedName>
    <definedName name="Address">'[6]Contract Info'!$F$29</definedName>
    <definedName name="ALL" localSheetId="0">#REF!</definedName>
    <definedName name="ALL" localSheetId="2">#REF!</definedName>
    <definedName name="ALL" localSheetId="5">#REF!</definedName>
    <definedName name="ALL" localSheetId="1">#REF!</definedName>
    <definedName name="ALL" localSheetId="4">#REF!</definedName>
    <definedName name="ALL" localSheetId="3">#REF!</definedName>
    <definedName name="ALL">#REF!</definedName>
    <definedName name="B" localSheetId="0" hidden="1">[5]PROGRESS!#REF!</definedName>
    <definedName name="B" localSheetId="2" hidden="1">[5]PROGRESS!#REF!</definedName>
    <definedName name="B" localSheetId="5" hidden="1">[5]PROGRESS!#REF!</definedName>
    <definedName name="B" localSheetId="1" hidden="1">[5]PROGRESS!#REF!</definedName>
    <definedName name="B" localSheetId="4" hidden="1">[5]PROGRESS!#REF!</definedName>
    <definedName name="B" localSheetId="3" hidden="1">[5]PROGRESS!#REF!</definedName>
    <definedName name="B" hidden="1">[5]PROGRESS!#REF!</definedName>
    <definedName name="BKS_Invoice_Number">[7]Input!$C$14</definedName>
    <definedName name="boxes" localSheetId="0">#REF!</definedName>
    <definedName name="boxes" localSheetId="2">#REF!</definedName>
    <definedName name="boxes" localSheetId="5">#REF!</definedName>
    <definedName name="boxes" localSheetId="1">#REF!</definedName>
    <definedName name="boxes" localSheetId="4">#REF!</definedName>
    <definedName name="boxes" localSheetId="3">#REF!</definedName>
    <definedName name="boxes">#REF!</definedName>
    <definedName name="BUILDING_WORK">'[8]Fee table'!$A$16:$D$22</definedName>
    <definedName name="button_area_1" localSheetId="0">#REF!</definedName>
    <definedName name="button_area_1" localSheetId="2">#REF!</definedName>
    <definedName name="button_area_1" localSheetId="5">#REF!</definedName>
    <definedName name="button_area_1" localSheetId="1">#REF!</definedName>
    <definedName name="button_area_1" localSheetId="4">#REF!</definedName>
    <definedName name="button_area_1" localSheetId="3">#REF!</definedName>
    <definedName name="button_area_1">#REF!</definedName>
    <definedName name="CC">'[9]Customize Your Invoice'!$G$22:$G$25</definedName>
    <definedName name="CCT" localSheetId="0">#REF!</definedName>
    <definedName name="CCT" localSheetId="2">#REF!</definedName>
    <definedName name="CCT" localSheetId="5">#REF!</definedName>
    <definedName name="CCT" localSheetId="1">#REF!</definedName>
    <definedName name="CCT" localSheetId="4">#REF!</definedName>
    <definedName name="CCT" localSheetId="3">#REF!</definedName>
    <definedName name="CCT">#REF!</definedName>
    <definedName name="celltips_area" localSheetId="0">#REF!</definedName>
    <definedName name="celltips_area" localSheetId="2">#REF!</definedName>
    <definedName name="celltips_area" localSheetId="5">#REF!</definedName>
    <definedName name="celltips_area" localSheetId="1">#REF!</definedName>
    <definedName name="celltips_area" localSheetId="4">#REF!</definedName>
    <definedName name="celltips_area" localSheetId="3">#REF!</definedName>
    <definedName name="celltips_area">#REF!</definedName>
    <definedName name="CIVIL_WORK">'[8]Fee table'!$A$3:$D$14</definedName>
    <definedName name="CIVIL_WORK_2000">'[10]Fee civil'!$A$4:$D$14</definedName>
    <definedName name="CIVIL_WORK_2005">'[10]Fee civil'!$A$19:$D$23</definedName>
    <definedName name="CONSULTANT">'[6]Contract Info'!$F$22</definedName>
    <definedName name="Contract_Description">'[6]Contract Info'!$F$14</definedName>
    <definedName name="contract_fuel">[11]Sheet4!$X$4</definedName>
    <definedName name="contract_mag">[11]Sheet4!$X$3</definedName>
    <definedName name="Contract_no">'[6]Contract Info'!$F$12</definedName>
    <definedName name="contract_urban">[11]Sheet4!$X$2</definedName>
    <definedName name="CONTRACTOR">'[6]Contract Info'!$F$27</definedName>
    <definedName name="cum_balance">#N/A</definedName>
    <definedName name="cum_interest">#N/A</definedName>
    <definedName name="cum_payments">#N/A</definedName>
    <definedName name="cum_principal">#N/A</definedName>
    <definedName name="D" localSheetId="0" hidden="1">[5]PROGRESS!#REF!</definedName>
    <definedName name="D" localSheetId="2" hidden="1">[5]PROGRESS!#REF!</definedName>
    <definedName name="D" localSheetId="5" hidden="1">[5]PROGRESS!#REF!</definedName>
    <definedName name="D" localSheetId="1" hidden="1">[5]PROGRESS!#REF!</definedName>
    <definedName name="D" localSheetId="4" hidden="1">[5]PROGRESS!#REF!</definedName>
    <definedName name="D" localSheetId="3" hidden="1">[5]PROGRESS!#REF!</definedName>
    <definedName name="D" hidden="1">[5]PROGRESS!#REF!</definedName>
    <definedName name="Data" localSheetId="0">#REF!</definedName>
    <definedName name="Data" localSheetId="2">#REF!</definedName>
    <definedName name="Data" localSheetId="5">#REF!</definedName>
    <definedName name="Data" localSheetId="1">#REF!</definedName>
    <definedName name="Data" localSheetId="4">#REF!</definedName>
    <definedName name="Data" localSheetId="3">#REF!</definedName>
    <definedName name="Data">#REF!</definedName>
    <definedName name="data1" localSheetId="0">#REF!</definedName>
    <definedName name="data1" localSheetId="2">#REF!</definedName>
    <definedName name="data1" localSheetId="5">#REF!</definedName>
    <definedName name="data1" localSheetId="1">#REF!</definedName>
    <definedName name="data1" localSheetId="4">#REF!</definedName>
    <definedName name="data1" localSheetId="3">#REF!</definedName>
    <definedName name="data1">#REF!</definedName>
    <definedName name="data10" localSheetId="0">#REF!</definedName>
    <definedName name="data10" localSheetId="2">#REF!</definedName>
    <definedName name="data10" localSheetId="5">#REF!</definedName>
    <definedName name="data10" localSheetId="1">#REF!</definedName>
    <definedName name="data10" localSheetId="4">#REF!</definedName>
    <definedName name="data10" localSheetId="3">#REF!</definedName>
    <definedName name="data10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21">#REF!</definedName>
    <definedName name="data22">#REF!</definedName>
    <definedName name="data23">#REF!</definedName>
    <definedName name="data24">#REF!</definedName>
    <definedName name="data25">#REF!</definedName>
    <definedName name="data26">#REF!</definedName>
    <definedName name="data27">#REF!</definedName>
    <definedName name="data28">#REF!</definedName>
    <definedName name="data29">#REF!</definedName>
    <definedName name="data3">#REF!</definedName>
    <definedName name="data30">#REF!</definedName>
    <definedName name="data31">#REF!</definedName>
    <definedName name="data32">#REF!</definedName>
    <definedName name="data33">#REF!</definedName>
    <definedName name="data34">#REF!</definedName>
    <definedName name="data35">#REF!</definedName>
    <definedName name="data36">#REF!</definedName>
    <definedName name="data37">#REF!</definedName>
    <definedName name="data38">#REF!</definedName>
    <definedName name="data39">#REF!</definedName>
    <definedName name="data4">#REF!</definedName>
    <definedName name="data40">#REF!</definedName>
    <definedName name="data41">#REF!</definedName>
    <definedName name="data42">#REF!</definedName>
    <definedName name="data43">#REF!</definedName>
    <definedName name="data44">#REF!</definedName>
    <definedName name="data45">#REF!</definedName>
    <definedName name="data46">#REF!</definedName>
    <definedName name="data47">#REF!</definedName>
    <definedName name="data48">#REF!</definedName>
    <definedName name="data49">#REF!</definedName>
    <definedName name="data5">#REF!</definedName>
    <definedName name="data50">#REF!</definedName>
    <definedName name="data51">#REF!</definedName>
    <definedName name="data52">#REF!</definedName>
    <definedName name="data53">#REF!</definedName>
    <definedName name="data54">#REF!</definedName>
    <definedName name="data55">#REF!</definedName>
    <definedName name="data56">#REF!</definedName>
    <definedName name="data57">#REF!</definedName>
    <definedName name="data58">#REF!</definedName>
    <definedName name="data59">#REF!</definedName>
    <definedName name="data6">#REF!</definedName>
    <definedName name="data60">#REF!</definedName>
    <definedName name="data61">#REF!</definedName>
    <definedName name="data62">#REF!</definedName>
    <definedName name="data63">#REF!</definedName>
    <definedName name="data64">#REF!</definedName>
    <definedName name="data65">#REF!</definedName>
    <definedName name="data66">#REF!</definedName>
    <definedName name="data67">#REF!</definedName>
    <definedName name="data68">#REF!</definedName>
    <definedName name="data69">#REF!</definedName>
    <definedName name="data7">#REF!</definedName>
    <definedName name="data70">#REF!</definedName>
    <definedName name="data8">#REF!</definedName>
    <definedName name="data9">#REF!</definedName>
    <definedName name="Date">'[6]Cover Sheet'!$H$13</definedName>
    <definedName name="date_QA_approved" localSheetId="0">#REF!</definedName>
    <definedName name="date_QA_approved" localSheetId="2">#REF!</definedName>
    <definedName name="date_QA_approved" localSheetId="5">#REF!</definedName>
    <definedName name="date_QA_approved" localSheetId="1">#REF!</definedName>
    <definedName name="date_QA_approved" localSheetId="4">#REF!</definedName>
    <definedName name="date_QA_approved" localSheetId="3">#REF!</definedName>
    <definedName name="date_QA_approved">#REF!</definedName>
    <definedName name="DEDA" localSheetId="0" hidden="1">#REF!</definedName>
    <definedName name="DEDA" localSheetId="2" hidden="1">#REF!</definedName>
    <definedName name="DEDA" localSheetId="5" hidden="1">#REF!</definedName>
    <definedName name="DEDA" localSheetId="1" hidden="1">#REF!</definedName>
    <definedName name="DEDA" localSheetId="4" hidden="1">#REF!</definedName>
    <definedName name="DEDA" localSheetId="3" hidden="1">#REF!</definedName>
    <definedName name="DEDA" hidden="1">#REF!</definedName>
    <definedName name="dflt4">'[9]Customize Your Invoice'!$E$26</definedName>
    <definedName name="display_area_2" localSheetId="0">#REF!</definedName>
    <definedName name="display_area_2" localSheetId="2">#REF!</definedName>
    <definedName name="display_area_2" localSheetId="5">#REF!</definedName>
    <definedName name="display_area_2" localSheetId="1">#REF!</definedName>
    <definedName name="display_area_2" localSheetId="4">#REF!</definedName>
    <definedName name="display_area_2" localSheetId="3">#REF!</definedName>
    <definedName name="display_area_2">#REF!</definedName>
    <definedName name="doc_number" localSheetId="0">#REF!</definedName>
    <definedName name="doc_number" localSheetId="2">#REF!</definedName>
    <definedName name="doc_number" localSheetId="5">#REF!</definedName>
    <definedName name="doc_number" localSheetId="1">#REF!</definedName>
    <definedName name="doc_number" localSheetId="4">#REF!</definedName>
    <definedName name="doc_number" localSheetId="3">#REF!</definedName>
    <definedName name="doc_number">#REF!</definedName>
    <definedName name="E" localSheetId="0" hidden="1">[5]PROGRESS!#REF!</definedName>
    <definedName name="E" localSheetId="2" hidden="1">[5]PROGRESS!#REF!</definedName>
    <definedName name="E" localSheetId="5" hidden="1">[5]PROGRESS!#REF!</definedName>
    <definedName name="E" localSheetId="1" hidden="1">[5]PROGRESS!#REF!</definedName>
    <definedName name="E" localSheetId="4" hidden="1">[2]PROGRESS!#REF!</definedName>
    <definedName name="E" localSheetId="3" hidden="1">[5]PROGRESS!#REF!</definedName>
    <definedName name="E" hidden="1">[5]PROGRESS!#REF!</definedName>
    <definedName name="Evaluation" localSheetId="0">#REF!</definedName>
    <definedName name="Evaluation" localSheetId="2">#REF!</definedName>
    <definedName name="Evaluation" localSheetId="5">#REF!</definedName>
    <definedName name="Evaluation" localSheetId="1">#REF!</definedName>
    <definedName name="Evaluation" localSheetId="4">#REF!</definedName>
    <definedName name="Evaluation" localSheetId="3">#REF!</definedName>
    <definedName name="Evaluation">#REF!</definedName>
    <definedName name="F" localSheetId="0" hidden="1">[5]PROGRESS!#REF!</definedName>
    <definedName name="F" localSheetId="2" hidden="1">[5]PROGRESS!#REF!</definedName>
    <definedName name="F" localSheetId="5" hidden="1">[5]PROGRESS!#REF!</definedName>
    <definedName name="F" localSheetId="1" hidden="1">[5]PROGRESS!#REF!</definedName>
    <definedName name="F" localSheetId="4" hidden="1">[5]PROGRESS!#REF!</definedName>
    <definedName name="F" localSheetId="3" hidden="1">[5]PROGRESS!#REF!</definedName>
    <definedName name="F" hidden="1">[5]PROGRESS!#REF!</definedName>
    <definedName name="fpdate" localSheetId="0">#REF!</definedName>
    <definedName name="fpdate" localSheetId="2">#REF!</definedName>
    <definedName name="fpdate" localSheetId="5">#REF!</definedName>
    <definedName name="fpdate" localSheetId="1">#REF!</definedName>
    <definedName name="fpdate" localSheetId="4">#REF!</definedName>
    <definedName name="fpdate" localSheetId="3">#REF!</definedName>
    <definedName name="fpdate">#REF!</definedName>
    <definedName name="G" localSheetId="0" hidden="1">[5]PROGRESS!#REF!</definedName>
    <definedName name="G" localSheetId="2" hidden="1">[5]PROGRESS!#REF!</definedName>
    <definedName name="G" localSheetId="5" hidden="1">[5]PROGRESS!#REF!</definedName>
    <definedName name="G" localSheetId="1" hidden="1">[5]PROGRESS!#REF!</definedName>
    <definedName name="G" localSheetId="4" hidden="1">[5]PROGRESS!#REF!</definedName>
    <definedName name="G" localSheetId="3" hidden="1">[5]PROGRESS!#REF!</definedName>
    <definedName name="G" hidden="1">[5]PROGRESS!#REF!</definedName>
    <definedName name="GG" localSheetId="0" hidden="1">{#N/A,#N/A,FALSE,"Cert"}</definedName>
    <definedName name="GG" localSheetId="2" hidden="1">{#N/A,#N/A,FALSE,"Cert"}</definedName>
    <definedName name="GG" localSheetId="5" hidden="1">{#N/A,#N/A,FALSE,"Cert"}</definedName>
    <definedName name="GG" localSheetId="1" hidden="1">{#N/A,#N/A,FALSE,"Cert"}</definedName>
    <definedName name="GG" localSheetId="4" hidden="1">{#N/A,#N/A,FALSE,"Cert"}</definedName>
    <definedName name="GG" localSheetId="3" hidden="1">{#N/A,#N/A,FALSE,"Cert"}</definedName>
    <definedName name="GG" hidden="1">{#N/A,#N/A,FALSE,"Cert"}</definedName>
    <definedName name="H" localSheetId="4" hidden="1">[5]PROGRESS!#REF!</definedName>
    <definedName name="H" hidden="1">[5]PROGRESS!#REF!</definedName>
    <definedName name="I" localSheetId="4" hidden="1">[3]PROGRESS!#REF!</definedName>
    <definedName name="I" hidden="1">[3]PROGRESS!#REF!</definedName>
    <definedName name="int_rate_history">#N/A</definedName>
    <definedName name="Items_01" localSheetId="0">#REF!</definedName>
    <definedName name="Items_01" localSheetId="2">#REF!</definedName>
    <definedName name="Items_01" localSheetId="5">#REF!</definedName>
    <definedName name="Items_01" localSheetId="1">#REF!</definedName>
    <definedName name="Items_01" localSheetId="4">#REF!</definedName>
    <definedName name="Items_01" localSheetId="3">#REF!</definedName>
    <definedName name="Items_01">#REF!</definedName>
    <definedName name="J" localSheetId="0" hidden="1">[5]PROGRESS!#REF!</definedName>
    <definedName name="J" localSheetId="2" hidden="1">[5]PROGRESS!#REF!</definedName>
    <definedName name="J" localSheetId="5" hidden="1">[5]PROGRESS!#REF!</definedName>
    <definedName name="J" localSheetId="1" hidden="1">[5]PROGRESS!#REF!</definedName>
    <definedName name="J" localSheetId="4" hidden="1">[5]PROGRESS!#REF!</definedName>
    <definedName name="J" localSheetId="3" hidden="1">[5]PROGRESS!#REF!</definedName>
    <definedName name="J" hidden="1">[5]PROGRESS!#REF!</definedName>
    <definedName name="K" hidden="1">[5]PROGRESS!#REF!</definedName>
    <definedName name="L" hidden="1">[5]PROGRESS!#REF!</definedName>
    <definedName name="M" hidden="1">[5]PROGRESS!#REF!</definedName>
    <definedName name="mk" localSheetId="0" hidden="1">{#N/A,#N/A,FALSE,"Cert"}</definedName>
    <definedName name="mk" localSheetId="2" hidden="1">{#N/A,#N/A,FALSE,"Cert"}</definedName>
    <definedName name="mk" localSheetId="5" hidden="1">{#N/A,#N/A,FALSE,"Cert"}</definedName>
    <definedName name="mk" localSheetId="1" hidden="1">{#N/A,#N/A,FALSE,"Cert"}</definedName>
    <definedName name="mk" localSheetId="4" hidden="1">{#N/A,#N/A,FALSE,"Cert"}</definedName>
    <definedName name="mk" localSheetId="3" hidden="1">{#N/A,#N/A,FALSE,"Cert"}</definedName>
    <definedName name="mk" hidden="1">{#N/A,#N/A,FALSE,"Cert"}</definedName>
    <definedName name="N" hidden="1">[5]PROGRESS!#REF!</definedName>
    <definedName name="NO" localSheetId="0">#REF!</definedName>
    <definedName name="NO" localSheetId="2">#REF!</definedName>
    <definedName name="NO" localSheetId="5">#REF!</definedName>
    <definedName name="NO" localSheetId="1">#REF!</definedName>
    <definedName name="NO" localSheetId="4">#REF!</definedName>
    <definedName name="NO" localSheetId="3">#REF!</definedName>
    <definedName name="NO">#REF!</definedName>
    <definedName name="Nor_serv">'[12]CIVIL FEE SCALES 2008'!$A$3:$D$9</definedName>
    <definedName name="nper">#N/A</definedName>
    <definedName name="O" localSheetId="0" hidden="1">[3]PROGRESS!#REF!</definedName>
    <definedName name="O" localSheetId="2" hidden="1">[3]PROGRESS!#REF!</definedName>
    <definedName name="O" localSheetId="5" hidden="1">[3]PROGRESS!#REF!</definedName>
    <definedName name="O" localSheetId="1" hidden="1">[3]PROGRESS!#REF!</definedName>
    <definedName name="O" localSheetId="4" hidden="1">[3]PROGRESS!#REF!</definedName>
    <definedName name="O" localSheetId="3" hidden="1">[3]PROGRESS!#REF!</definedName>
    <definedName name="O" hidden="1">[3]PROGRESS!#REF!</definedName>
    <definedName name="_xlnm.Print_Area" localSheetId="0">#REF!</definedName>
    <definedName name="_xlnm.Print_Area" localSheetId="2">'JRA CERTIFICATE'!$A$1:$J$64</definedName>
    <definedName name="_xlnm.Print_Area" localSheetId="5">'Material on Site'!$B$2:$S$67</definedName>
    <definedName name="_xlnm.Print_Area" localSheetId="1">RECONCILIATION!$A$1:$I$42</definedName>
    <definedName name="_xlnm.Print_Area" localSheetId="7">'SECTION 1300'!$A$1:$G$38</definedName>
    <definedName name="_xlnm.Print_Area" localSheetId="8">'SECTION 1400 '!$A$1:$G$85</definedName>
    <definedName name="_xlnm.Print_Area" localSheetId="9">'SECTION 1500 '!$A$1:$G$51</definedName>
    <definedName name="_xlnm.Print_Area" localSheetId="10">'SECTION 1700  '!$A$1:$H$42</definedName>
    <definedName name="_xlnm.Print_Area" localSheetId="11">'SECTION 1800'!$A$1:$G$59</definedName>
    <definedName name="_xlnm.Print_Area" localSheetId="12">'SECTION 2100 (LIC)  '!$A$1:$G$53</definedName>
    <definedName name="_xlnm.Print_Area" localSheetId="13">'SECTION 2200 (LIC)    '!$A$1:$G$47</definedName>
    <definedName name="_xlnm.Print_Area" localSheetId="14">'SECTION 2300 (LIC)   '!$A$1:$H$50</definedName>
    <definedName name="_xlnm.Print_Area" localSheetId="15">'SECTION 3100 '!$A$1:$G$33</definedName>
    <definedName name="_xlnm.Print_Area" localSheetId="16">'SECTION 3300   '!$A$1:$J$75</definedName>
    <definedName name="_xlnm.Print_Area" localSheetId="17">'SECTION 3400    '!$A$1:$G$40</definedName>
    <definedName name="_xlnm.Print_Area" localSheetId="18">'SECTION 3500 '!$A$1:$G$42</definedName>
    <definedName name="_xlnm.Print_Area" localSheetId="19">'SECTION 4100'!$A$1:$G$29</definedName>
    <definedName name="_xlnm.Print_Area" localSheetId="20">'SECTION 4500'!$A$1:$H$31</definedName>
    <definedName name="_xlnm.Print_Area" localSheetId="21">'SECTION 5100 (LIC)    '!$A$1:$G$25</definedName>
    <definedName name="_xlnm.Print_Area" localSheetId="22">'SECTION 5400 (LIC)'!$A$1:$G$32</definedName>
    <definedName name="_xlnm.Print_Area" localSheetId="23">'SECTION 5600 (LIC)    '!$A$1:$G$51</definedName>
    <definedName name="_xlnm.Print_Area" localSheetId="24">'SECTION 5700     '!$A$1:$G$65</definedName>
    <definedName name="_xlnm.Print_Area" localSheetId="26">'SECTION 7300 (LIC)       '!$A$1:$H$60</definedName>
    <definedName name="_xlnm.Print_Area" localSheetId="29">'SECTION 7400       '!$A$1:$G$57</definedName>
    <definedName name="_xlnm.Print_Area" localSheetId="27">'SECTION 8100     '!$A$1:$G$69</definedName>
    <definedName name="_xlnm.Print_Area" localSheetId="4">STATEMENT!$A$1:$H$39</definedName>
    <definedName name="_xlnm.Print_Area" localSheetId="28">SUMMARY!$A$1:$I$41</definedName>
    <definedName name="_xlnm.Print_Area" localSheetId="3">#REF!</definedName>
    <definedName name="_xlnm.Print_Area">#REF!</definedName>
    <definedName name="_xlnm.Print_Titles">#N/A</definedName>
    <definedName name="Q" hidden="1">[2]PROGRESS!#REF!</definedName>
    <definedName name="qqqq" hidden="1">[2]PROGRESS!#REF!</definedName>
    <definedName name="qzqzqz10" localSheetId="0">#REF!</definedName>
    <definedName name="qzqzqz10" localSheetId="2">#REF!</definedName>
    <definedName name="qzqzqz10" localSheetId="5">#REF!</definedName>
    <definedName name="qzqzqz10" localSheetId="1">#REF!</definedName>
    <definedName name="qzqzqz10" localSheetId="4">#REF!</definedName>
    <definedName name="qzqzqz10" localSheetId="3">#REF!</definedName>
    <definedName name="qzqzqz10">#REF!</definedName>
    <definedName name="qzqzqz11" localSheetId="0">#REF!</definedName>
    <definedName name="qzqzqz11" localSheetId="2">#REF!</definedName>
    <definedName name="qzqzqz11" localSheetId="5">#REF!</definedName>
    <definedName name="qzqzqz11" localSheetId="1">#REF!</definedName>
    <definedName name="qzqzqz11" localSheetId="4">#REF!</definedName>
    <definedName name="qzqzqz11" localSheetId="3">#REF!</definedName>
    <definedName name="qzqzqz11">#REF!</definedName>
    <definedName name="qzqzqz12" localSheetId="0">#REF!</definedName>
    <definedName name="qzqzqz12" localSheetId="2">#REF!</definedName>
    <definedName name="qzqzqz12" localSheetId="5">#REF!</definedName>
    <definedName name="qzqzqz12" localSheetId="1">#REF!</definedName>
    <definedName name="qzqzqz12" localSheetId="4">#REF!</definedName>
    <definedName name="qzqzqz12" localSheetId="3">#REF!</definedName>
    <definedName name="qzqzqz12">#REF!</definedName>
    <definedName name="qzqzqz13">#REF!</definedName>
    <definedName name="qzqzqz14">#REF!</definedName>
    <definedName name="qzqzqz15">#REF!</definedName>
    <definedName name="qzqzqz16">#REF!</definedName>
    <definedName name="qzqzqz17">#REF!</definedName>
    <definedName name="qzqzqz18">#REF!</definedName>
    <definedName name="qzqzqz19">#REF!</definedName>
    <definedName name="qzqzqz20">#REF!</definedName>
    <definedName name="qzqzqz21">#REF!</definedName>
    <definedName name="qzqzqz22">#REF!</definedName>
    <definedName name="qzqzqz23">#REF!</definedName>
    <definedName name="qzqzqz24">#REF!</definedName>
    <definedName name="qzqzqz25">#REF!</definedName>
    <definedName name="qzqzqz26">#REF!</definedName>
    <definedName name="qzqzqz27">#REF!</definedName>
    <definedName name="qzqzqz28">#REF!</definedName>
    <definedName name="qzqzqz29">#REF!</definedName>
    <definedName name="qzqzqz30">#REF!</definedName>
    <definedName name="qzqzqz31">#REF!</definedName>
    <definedName name="qzqzqz32">#REF!</definedName>
    <definedName name="qzqzqz6">#REF!</definedName>
    <definedName name="qzqzqz7">#REF!</definedName>
    <definedName name="qzqzqz8">#REF!</definedName>
    <definedName name="qzqzqz9">#REF!</definedName>
    <definedName name="Revision_Date">'[6]Contract Info'!$E$2</definedName>
    <definedName name="RIC_SS">'[12]CIVIL FEE SCALES 2008'!$A$11:$D$17</definedName>
    <definedName name="SCHED1" localSheetId="0">#REF!</definedName>
    <definedName name="SCHED1" localSheetId="2">#REF!</definedName>
    <definedName name="SCHED1" localSheetId="5">#REF!</definedName>
    <definedName name="SCHED1" localSheetId="1">#REF!</definedName>
    <definedName name="SCHED1" localSheetId="4">#REF!</definedName>
    <definedName name="SCHED1" localSheetId="3">#REF!</definedName>
    <definedName name="SCHED1">#REF!</definedName>
    <definedName name="SCHED2" localSheetId="0">#REF!</definedName>
    <definedName name="SCHED2" localSheetId="2">#REF!</definedName>
    <definedName name="SCHED2" localSheetId="5">#REF!</definedName>
    <definedName name="SCHED2" localSheetId="1">#REF!</definedName>
    <definedName name="SCHED2" localSheetId="4">#REF!</definedName>
    <definedName name="SCHED2" localSheetId="3">#REF!</definedName>
    <definedName name="SCHED2">#REF!</definedName>
    <definedName name="STATEMENT_3" localSheetId="0" hidden="1">[2]PROGRESS!#REF!</definedName>
    <definedName name="STATEMENT_3" localSheetId="2" hidden="1">[2]PROGRESS!#REF!</definedName>
    <definedName name="STATEMENT_3" localSheetId="5" hidden="1">[2]PROGRESS!#REF!</definedName>
    <definedName name="STATEMENT_3" localSheetId="1" hidden="1">[2]PROGRESS!#REF!</definedName>
    <definedName name="STATEMENT_3" localSheetId="4" hidden="1">[2]PROGRESS!#REF!</definedName>
    <definedName name="STATEMENT_3" localSheetId="3" hidden="1">[2]PROGRESS!#REF!</definedName>
    <definedName name="STATEMENT_3" hidden="1">[2]PROGRESS!#REF!</definedName>
    <definedName name="Tender" localSheetId="0">#REF!</definedName>
    <definedName name="Tender" localSheetId="2">#REF!</definedName>
    <definedName name="Tender" localSheetId="5">#REF!</definedName>
    <definedName name="Tender" localSheetId="1">#REF!</definedName>
    <definedName name="Tender" localSheetId="4">#REF!</definedName>
    <definedName name="Tender" localSheetId="3">#REF!</definedName>
    <definedName name="Tender">#REF!</definedName>
    <definedName name="term" localSheetId="0">#REF!</definedName>
    <definedName name="term" localSheetId="2">#REF!</definedName>
    <definedName name="term" localSheetId="5">#REF!</definedName>
    <definedName name="term" localSheetId="1">#REF!</definedName>
    <definedName name="term" localSheetId="4">#REF!</definedName>
    <definedName name="term" localSheetId="3">#REF!</definedName>
    <definedName name="term">#REF!</definedName>
    <definedName name="TOT" localSheetId="0">#REF!</definedName>
    <definedName name="TOT" localSheetId="2">#REF!</definedName>
    <definedName name="TOT" localSheetId="5">#REF!</definedName>
    <definedName name="TOT" localSheetId="1">#REF!</definedName>
    <definedName name="TOT" localSheetId="4">#REF!</definedName>
    <definedName name="TOT" localSheetId="3">#REF!</definedName>
    <definedName name="TOT">#REF!</definedName>
    <definedName name="W" localSheetId="0" hidden="1">[2]PROGRESS!#REF!</definedName>
    <definedName name="W" localSheetId="2" hidden="1">[2]PROGRESS!#REF!</definedName>
    <definedName name="W" localSheetId="5" hidden="1">[2]PROGRESS!#REF!</definedName>
    <definedName name="W" localSheetId="1" hidden="1">[2]PROGRESS!#REF!</definedName>
    <definedName name="W" localSheetId="4" hidden="1">[2]PROGRESS!#REF!</definedName>
    <definedName name="W" localSheetId="3" hidden="1">[2]PROGRESS!#REF!</definedName>
    <definedName name="W" hidden="1">[2]PROGRESS!#REF!</definedName>
    <definedName name="wrn.Cert." localSheetId="0" hidden="1">{#N/A,#N/A,FALSE,"Cert"}</definedName>
    <definedName name="wrn.Cert." localSheetId="2" hidden="1">{#N/A,#N/A,FALSE,"Cert"}</definedName>
    <definedName name="wrn.Cert." localSheetId="5" hidden="1">{#N/A,#N/A,FALSE,"Cert"}</definedName>
    <definedName name="wrn.Cert." localSheetId="1" hidden="1">{#N/A,#N/A,FALSE,"Cert"}</definedName>
    <definedName name="wrn.Cert." localSheetId="4" hidden="1">{#N/A,#N/A,FALSE,"Cert"}</definedName>
    <definedName name="wrn.Cert." localSheetId="3" hidden="1">{#N/A,#N/A,FALSE,"Cert"}</definedName>
    <definedName name="wrn.Cert." hidden="1">{#N/A,#N/A,FALSE,"Cert"}</definedName>
    <definedName name="wrn.Sert." localSheetId="0" hidden="1">{#N/A,#N/A,FALSE,"1.1";#N/A,#N/A,FALSE,"2.1";#N/A,#N/A,FALSE,"3.1";#N/A,#N/A,FALSE,"7.1";#N/A,#N/A,FALSE,"9.1";#N/A,#N/A,FALSE,"10.1";#N/A,#N/A,FALSE,"11.1";#N/A,#N/A,FALSE,"VAT";#N/A,#N/A,FALSE,"BILL"}</definedName>
    <definedName name="wrn.Sert." localSheetId="2" hidden="1">{#N/A,#N/A,FALSE,"1.1";#N/A,#N/A,FALSE,"2.1";#N/A,#N/A,FALSE,"3.1";#N/A,#N/A,FALSE,"7.1";#N/A,#N/A,FALSE,"9.1";#N/A,#N/A,FALSE,"10.1";#N/A,#N/A,FALSE,"11.1";#N/A,#N/A,FALSE,"VAT";#N/A,#N/A,FALSE,"BILL"}</definedName>
    <definedName name="wrn.Sert." localSheetId="5" hidden="1">{#N/A,#N/A,FALSE,"1.1";#N/A,#N/A,FALSE,"2.1";#N/A,#N/A,FALSE,"3.1";#N/A,#N/A,FALSE,"7.1";#N/A,#N/A,FALSE,"9.1";#N/A,#N/A,FALSE,"10.1";#N/A,#N/A,FALSE,"11.1";#N/A,#N/A,FALSE,"VAT";#N/A,#N/A,FALSE,"BILL"}</definedName>
    <definedName name="wrn.Sert." localSheetId="1" hidden="1">{#N/A,#N/A,FALSE,"1.1";#N/A,#N/A,FALSE,"2.1";#N/A,#N/A,FALSE,"3.1";#N/A,#N/A,FALSE,"7.1";#N/A,#N/A,FALSE,"9.1";#N/A,#N/A,FALSE,"10.1";#N/A,#N/A,FALSE,"11.1";#N/A,#N/A,FALSE,"VAT";#N/A,#N/A,FALSE,"BILL"}</definedName>
    <definedName name="wrn.Sert." localSheetId="4" hidden="1">{#N/A,#N/A,FALSE,"1.1";#N/A,#N/A,FALSE,"2.1";#N/A,#N/A,FALSE,"3.1";#N/A,#N/A,FALSE,"7.1";#N/A,#N/A,FALSE,"9.1";#N/A,#N/A,FALSE,"10.1";#N/A,#N/A,FALSE,"11.1";#N/A,#N/A,FALSE,"VAT";#N/A,#N/A,FALSE,"BILL"}</definedName>
    <definedName name="wrn.Sert." localSheetId="3" hidden="1">{#N/A,#N/A,FALSE,"1.1";#N/A,#N/A,FALSE,"2.1";#N/A,#N/A,FALSE,"3.1";#N/A,#N/A,FALSE,"7.1";#N/A,#N/A,FALSE,"9.1";#N/A,#N/A,FALSE,"10.1";#N/A,#N/A,FALSE,"11.1";#N/A,#N/A,FALSE,"VAT";#N/A,#N/A,FALSE,"BILL"}</definedName>
    <definedName name="wrn.Sert." hidden="1">{#N/A,#N/A,FALSE,"1.1";#N/A,#N/A,FALSE,"2.1";#N/A,#N/A,FALSE,"3.1";#N/A,#N/A,FALSE,"7.1";#N/A,#N/A,FALSE,"9.1";#N/A,#N/A,FALSE,"10.1";#N/A,#N/A,FALSE,"11.1";#N/A,#N/A,FALSE,"VAT";#N/A,#N/A,FALSE,"BILL"}</definedName>
    <definedName name="wrn.Turnaround." localSheetId="0" hidden="1">{#N/A,#N/A,FALSE,"Cert"}</definedName>
    <definedName name="wrn.Turnaround." localSheetId="2" hidden="1">{#N/A,#N/A,FALSE,"Cert"}</definedName>
    <definedName name="wrn.Turnaround." localSheetId="5" hidden="1">{#N/A,#N/A,FALSE,"Cert"}</definedName>
    <definedName name="wrn.Turnaround." localSheetId="1" hidden="1">{#N/A,#N/A,FALSE,"Cert"}</definedName>
    <definedName name="wrn.Turnaround." localSheetId="4" hidden="1">{#N/A,#N/A,FALSE,"Cert"}</definedName>
    <definedName name="wrn.Turnaround." localSheetId="3" hidden="1">{#N/A,#N/A,FALSE,"Cert"}</definedName>
    <definedName name="wrn.Turnaround." hidden="1">{#N/A,#N/A,FALSE,"Cert"}</definedName>
    <definedName name="ww" hidden="1">[2]PROGRESS!#REF!</definedName>
    <definedName name="X" hidden="1">[3]PROGRESS!#REF!</definedName>
    <definedName name="XX" hidden="1">[5]PROGRESS!#REF!</definedName>
    <definedName name="Y" hidden="1">[3]PROGRESS!#REF!</definedName>
    <definedName name="yy" localSheetId="4" hidden="1">[2]PROGRESS!#REF!</definedName>
    <definedName name="YY" hidden="1">[5]PROGRESS!#REF!</definedName>
  </definedNames>
  <calcPr calcId="191028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5" i="49" l="1"/>
  <c r="G67" i="49"/>
  <c r="G47" i="49"/>
  <c r="E32" i="47"/>
  <c r="G36" i="47"/>
  <c r="G14" i="47"/>
  <c r="G21" i="47"/>
  <c r="G23" i="47"/>
  <c r="G28" i="47"/>
  <c r="G30" i="47"/>
  <c r="G38" i="47"/>
  <c r="G44" i="47"/>
  <c r="G49" i="47"/>
  <c r="G51" i="47"/>
  <c r="E19" i="6"/>
  <c r="G12" i="48" l="1"/>
  <c r="E24" i="13" l="1"/>
  <c r="E11" i="42"/>
  <c r="F37" i="11"/>
  <c r="M43" i="10"/>
  <c r="E43" i="10"/>
  <c r="E29" i="10"/>
  <c r="F23" i="11"/>
  <c r="F17" i="11"/>
  <c r="E14" i="14"/>
  <c r="E38" i="21"/>
  <c r="G14" i="21"/>
  <c r="E13" i="15"/>
  <c r="E18" i="14"/>
  <c r="E14" i="13"/>
  <c r="E45" i="13"/>
  <c r="E41" i="13"/>
  <c r="I11" i="51"/>
  <c r="G29" i="22"/>
  <c r="G20" i="50" l="1"/>
  <c r="E26" i="50"/>
  <c r="E12" i="50"/>
  <c r="E11" i="51"/>
  <c r="E45" i="6"/>
  <c r="E46" i="47"/>
  <c r="G46" i="47" s="1"/>
  <c r="G32" i="47"/>
  <c r="E40" i="47" l="1"/>
  <c r="G40" i="47" s="1"/>
  <c r="G51" i="49"/>
  <c r="E52" i="49" s="1"/>
  <c r="G63" i="49"/>
  <c r="G57" i="49"/>
  <c r="G45" i="49"/>
  <c r="G43" i="49"/>
  <c r="G41" i="49"/>
  <c r="G39" i="49"/>
  <c r="G37" i="49"/>
  <c r="G35" i="49"/>
  <c r="G33" i="49"/>
  <c r="G31" i="49"/>
  <c r="G29" i="49"/>
  <c r="G23" i="49"/>
  <c r="G21" i="49"/>
  <c r="G19" i="49"/>
  <c r="G17" i="49"/>
  <c r="G13" i="49"/>
  <c r="G11" i="49"/>
  <c r="G29" i="48"/>
  <c r="G27" i="48"/>
  <c r="G25" i="48"/>
  <c r="G23" i="48"/>
  <c r="I21" i="48"/>
  <c r="G21" i="48"/>
  <c r="I13" i="48"/>
  <c r="G13" i="48"/>
  <c r="I12" i="48"/>
  <c r="J12" i="48" s="1"/>
  <c r="I11" i="48"/>
  <c r="G11" i="48"/>
  <c r="M13" i="11"/>
  <c r="M11" i="11"/>
  <c r="E9" i="25"/>
  <c r="J13" i="48" l="1"/>
  <c r="G52" i="49"/>
  <c r="J11" i="48"/>
  <c r="J21" i="48"/>
  <c r="G38" i="48"/>
  <c r="I38" i="48"/>
  <c r="J38" i="48" l="1"/>
  <c r="G27" i="22" l="1"/>
  <c r="G23" i="22"/>
  <c r="G21" i="22"/>
  <c r="G26" i="46"/>
  <c r="L26" i="46"/>
  <c r="G24" i="46"/>
  <c r="E24" i="46"/>
  <c r="E25" i="22"/>
  <c r="M25" i="22"/>
  <c r="N27" i="22"/>
  <c r="N26" i="22"/>
  <c r="N28" i="22" s="1"/>
  <c r="M27" i="22"/>
  <c r="M26" i="22"/>
  <c r="L17" i="22"/>
  <c r="L21" i="22"/>
  <c r="G17" i="22"/>
  <c r="G26" i="50"/>
  <c r="G22" i="50"/>
  <c r="G16" i="50"/>
  <c r="G12" i="50"/>
  <c r="G11" i="51"/>
  <c r="G29" i="51" s="1"/>
  <c r="E25" i="15"/>
  <c r="F13" i="15"/>
  <c r="G31" i="50" l="1"/>
  <c r="M28" i="22"/>
  <c r="E68" i="13"/>
  <c r="E66" i="13"/>
  <c r="E49" i="13"/>
  <c r="U19" i="13"/>
  <c r="U21" i="13" s="1"/>
  <c r="U22" i="13" s="1"/>
  <c r="T19" i="13"/>
  <c r="T21" i="13" s="1"/>
  <c r="T22" i="13" s="1"/>
  <c r="S19" i="13"/>
  <c r="S21" i="13" s="1"/>
  <c r="S22" i="13" s="1"/>
  <c r="R19" i="13"/>
  <c r="R21" i="13" s="1"/>
  <c r="R22" i="13" s="1"/>
  <c r="Q19" i="13"/>
  <c r="Q21" i="13" s="1"/>
  <c r="Q22" i="13" s="1"/>
  <c r="P20" i="13"/>
  <c r="P19" i="13"/>
  <c r="O20" i="13"/>
  <c r="O19" i="13"/>
  <c r="F29" i="11"/>
  <c r="I15" i="19"/>
  <c r="G15" i="19"/>
  <c r="G11" i="42"/>
  <c r="J15" i="19" l="1"/>
  <c r="E20" i="13"/>
  <c r="E70" i="13"/>
  <c r="G70" i="13" s="1"/>
  <c r="O21" i="13"/>
  <c r="O22" i="13" s="1"/>
  <c r="P21" i="13"/>
  <c r="P22" i="13" s="1"/>
  <c r="P25" i="13" s="1"/>
  <c r="P26" i="13"/>
  <c r="G45" i="10" l="1"/>
  <c r="O17" i="11"/>
  <c r="J17" i="11"/>
  <c r="H13" i="11"/>
  <c r="H11" i="11"/>
  <c r="O11" i="11"/>
  <c r="Q9" i="11"/>
  <c r="I39" i="10"/>
  <c r="G39" i="10"/>
  <c r="K31" i="9"/>
  <c r="E17" i="9"/>
  <c r="E15" i="9"/>
  <c r="G15" i="9" s="1"/>
  <c r="G18" i="8"/>
  <c r="F10" i="8"/>
  <c r="H10" i="8" s="1"/>
  <c r="I47" i="6"/>
  <c r="I45" i="6"/>
  <c r="G45" i="6"/>
  <c r="F18" i="8" l="1"/>
  <c r="J45" i="6"/>
  <c r="H17" i="11"/>
  <c r="K17" i="11" s="1"/>
  <c r="F39" i="11"/>
  <c r="F19" i="11"/>
  <c r="J39" i="10"/>
  <c r="E47" i="6"/>
  <c r="G47" i="6" s="1"/>
  <c r="J47" i="6" s="1"/>
  <c r="G15" i="6" l="1"/>
  <c r="G31" i="9" l="1"/>
  <c r="E31" i="9"/>
  <c r="E25" i="9"/>
  <c r="G25" i="9" s="1"/>
  <c r="E33" i="9"/>
  <c r="G33" i="9" s="1"/>
  <c r="E27" i="9"/>
  <c r="G27" i="9" s="1"/>
  <c r="G34" i="21"/>
  <c r="G41" i="13"/>
  <c r="E28" i="13"/>
  <c r="E26" i="13"/>
  <c r="E18" i="13"/>
  <c r="F33" i="11"/>
  <c r="F31" i="11"/>
  <c r="G43" i="10"/>
  <c r="E37" i="10"/>
  <c r="E13" i="10"/>
  <c r="E19" i="10" s="1"/>
  <c r="G21" i="9"/>
  <c r="E19" i="9"/>
  <c r="E41" i="9" s="1"/>
  <c r="N19" i="9"/>
  <c r="N18" i="9"/>
  <c r="G19" i="15"/>
  <c r="G18" i="14"/>
  <c r="G22" i="46"/>
  <c r="G17" i="46"/>
  <c r="G13" i="46"/>
  <c r="I11" i="46"/>
  <c r="I32" i="46" s="1"/>
  <c r="G11" i="46"/>
  <c r="B56" i="13"/>
  <c r="B55" i="13"/>
  <c r="G32" i="46" l="1"/>
  <c r="F25" i="11"/>
  <c r="E23" i="10"/>
  <c r="E25" i="10" s="1"/>
  <c r="G14" i="14"/>
  <c r="J11" i="46"/>
  <c r="E23" i="15" l="1"/>
  <c r="E17" i="15"/>
  <c r="J32" i="46"/>
  <c r="G26" i="21"/>
  <c r="G22" i="21"/>
  <c r="I11" i="43"/>
  <c r="G11" i="43"/>
  <c r="G38" i="43" s="1"/>
  <c r="B2" i="43"/>
  <c r="B2" i="22"/>
  <c r="E15" i="25"/>
  <c r="I38" i="43" l="1"/>
  <c r="J11" i="43"/>
  <c r="J38" i="43" l="1"/>
  <c r="E41" i="6" l="1"/>
  <c r="G15" i="42" l="1"/>
  <c r="I19" i="42"/>
  <c r="J19" i="42" s="1"/>
  <c r="I17" i="42"/>
  <c r="J17" i="42" s="1"/>
  <c r="I13" i="42"/>
  <c r="G13" i="42"/>
  <c r="G17" i="10"/>
  <c r="G45" i="9"/>
  <c r="G41" i="9"/>
  <c r="G19" i="9"/>
  <c r="G17" i="9"/>
  <c r="G39" i="9"/>
  <c r="G37" i="9"/>
  <c r="J13" i="42" l="1"/>
  <c r="J33" i="42" s="1"/>
  <c r="I33" i="42"/>
  <c r="H18" i="8"/>
  <c r="G20" i="13" l="1"/>
  <c r="G45" i="13"/>
  <c r="G13" i="6" l="1"/>
  <c r="E31" i="22"/>
  <c r="G31" i="22" s="1"/>
  <c r="G13" i="25"/>
  <c r="G15" i="25" s="1"/>
  <c r="G9" i="25"/>
  <c r="O26" i="41"/>
  <c r="O23" i="41"/>
  <c r="A30" i="40"/>
  <c r="H66" i="41"/>
  <c r="Q66" i="41" s="1"/>
  <c r="N23" i="41"/>
  <c r="L26" i="41"/>
  <c r="N26" i="41"/>
  <c r="N65" i="41"/>
  <c r="G28" i="40"/>
  <c r="G29" i="40"/>
  <c r="H59" i="38"/>
  <c r="A18" i="37"/>
  <c r="A19" i="37"/>
  <c r="A20" i="37"/>
  <c r="A21" i="37"/>
  <c r="A22" i="37"/>
  <c r="I20" i="37"/>
  <c r="H20" i="37"/>
  <c r="G20" i="37"/>
  <c r="G19" i="37"/>
  <c r="F20" i="37"/>
  <c r="H12" i="37"/>
  <c r="H13" i="37"/>
  <c r="H14" i="37"/>
  <c r="H15" i="37"/>
  <c r="H16" i="37"/>
  <c r="H17" i="37"/>
  <c r="H18" i="37"/>
  <c r="H19" i="37"/>
  <c r="F12" i="37"/>
  <c r="I12" i="37"/>
  <c r="F13" i="37"/>
  <c r="I13" i="37"/>
  <c r="F14" i="37"/>
  <c r="I14" i="37"/>
  <c r="F15" i="37"/>
  <c r="I15" i="37"/>
  <c r="F16" i="37"/>
  <c r="I16" i="37"/>
  <c r="I17" i="37"/>
  <c r="F18" i="37"/>
  <c r="I18" i="37"/>
  <c r="F19" i="37"/>
  <c r="I19" i="37"/>
  <c r="F22" i="37"/>
  <c r="G12" i="37"/>
  <c r="G13" i="37"/>
  <c r="G14" i="37"/>
  <c r="G15" i="37"/>
  <c r="G16" i="37"/>
  <c r="G17" i="37"/>
  <c r="G18" i="37"/>
  <c r="A16" i="37"/>
  <c r="A17" i="37"/>
  <c r="F24" i="40"/>
  <c r="F25" i="40"/>
  <c r="F26" i="40"/>
  <c r="F27" i="40"/>
  <c r="F38" i="40"/>
  <c r="A23" i="37"/>
  <c r="A24" i="37"/>
  <c r="F10" i="41"/>
  <c r="F8" i="41" a="1"/>
  <c r="F8" i="41"/>
  <c r="A31" i="40"/>
  <c r="C58" i="38"/>
  <c r="G27" i="40"/>
  <c r="G26" i="40"/>
  <c r="B13" i="40"/>
  <c r="G25" i="40"/>
  <c r="I23" i="40"/>
  <c r="I24" i="40"/>
  <c r="I25" i="40"/>
  <c r="I26" i="40"/>
  <c r="I22" i="40"/>
  <c r="B21" i="37"/>
  <c r="A25" i="37"/>
  <c r="A26" i="37"/>
  <c r="A27" i="37"/>
  <c r="A28" i="37"/>
  <c r="A29" i="37"/>
  <c r="A30" i="37"/>
  <c r="A31" i="37"/>
  <c r="A32" i="37"/>
  <c r="A33" i="37"/>
  <c r="A34" i="37"/>
  <c r="A35" i="37"/>
  <c r="A36" i="37"/>
  <c r="A37" i="37"/>
  <c r="A38" i="37"/>
  <c r="A39" i="37"/>
  <c r="A40" i="37"/>
  <c r="N19" i="41"/>
  <c r="N20" i="41"/>
  <c r="N21" i="41"/>
  <c r="L22" i="41"/>
  <c r="N22" i="41"/>
  <c r="L24" i="41"/>
  <c r="N24" i="41"/>
  <c r="L25" i="41"/>
  <c r="N25" i="41"/>
  <c r="N27" i="41"/>
  <c r="N28" i="41"/>
  <c r="N29" i="41"/>
  <c r="N30" i="41"/>
  <c r="N31" i="41"/>
  <c r="N32" i="41"/>
  <c r="N33" i="41"/>
  <c r="N34" i="41"/>
  <c r="N35" i="41"/>
  <c r="N36" i="41"/>
  <c r="N37" i="41"/>
  <c r="N38" i="41"/>
  <c r="N39" i="41"/>
  <c r="N40" i="41"/>
  <c r="N41" i="41"/>
  <c r="N42" i="41"/>
  <c r="N43" i="41"/>
  <c r="N44" i="41"/>
  <c r="N45" i="41"/>
  <c r="N46" i="41"/>
  <c r="N47" i="41"/>
  <c r="N48" i="41"/>
  <c r="N49" i="41"/>
  <c r="N50" i="41"/>
  <c r="N51" i="41"/>
  <c r="N52" i="41"/>
  <c r="N53" i="41"/>
  <c r="N54" i="41"/>
  <c r="N55" i="41"/>
  <c r="N56" i="41"/>
  <c r="N57" i="41"/>
  <c r="N58" i="41"/>
  <c r="N59" i="41"/>
  <c r="N60" i="41"/>
  <c r="N61" i="41"/>
  <c r="N62" i="41"/>
  <c r="N63" i="41"/>
  <c r="B10" i="40"/>
  <c r="Q24" i="41"/>
  <c r="H60" i="38"/>
  <c r="I60" i="38"/>
  <c r="Q19" i="41"/>
  <c r="Q20" i="41"/>
  <c r="Q21" i="41"/>
  <c r="Q22" i="41"/>
  <c r="Q23" i="41"/>
  <c r="Q25" i="41"/>
  <c r="Q26" i="41"/>
  <c r="Q27" i="41"/>
  <c r="Q28" i="41"/>
  <c r="Q29" i="41"/>
  <c r="Q30" i="41"/>
  <c r="Q31" i="41"/>
  <c r="Q32" i="41"/>
  <c r="Q33" i="41"/>
  <c r="Q34" i="41"/>
  <c r="Q35" i="41"/>
  <c r="Q36" i="41"/>
  <c r="Q37" i="41"/>
  <c r="Q38" i="41"/>
  <c r="Q39" i="41"/>
  <c r="Q40" i="41"/>
  <c r="Q41" i="41"/>
  <c r="Q42" i="41"/>
  <c r="Q43" i="41"/>
  <c r="Q44" i="41"/>
  <c r="Q45" i="41"/>
  <c r="Q46" i="41"/>
  <c r="Q47" i="41"/>
  <c r="Q48" i="41"/>
  <c r="Q49" i="41"/>
  <c r="Q50" i="41"/>
  <c r="Q51" i="41"/>
  <c r="Q52" i="41"/>
  <c r="Q53" i="41"/>
  <c r="Q54" i="41"/>
  <c r="Q55" i="41"/>
  <c r="Q56" i="41"/>
  <c r="Q57" i="41"/>
  <c r="Q58" i="41"/>
  <c r="Q59" i="41"/>
  <c r="Q60" i="41"/>
  <c r="Q61" i="41"/>
  <c r="Q62" i="41"/>
  <c r="Q63" i="41"/>
  <c r="K19" i="41"/>
  <c r="K20" i="41"/>
  <c r="K21" i="41"/>
  <c r="K22" i="41"/>
  <c r="K65" i="41"/>
  <c r="K23" i="41"/>
  <c r="K24" i="41"/>
  <c r="K25" i="41"/>
  <c r="K26" i="41"/>
  <c r="U19" i="41"/>
  <c r="A1" i="41"/>
  <c r="G22" i="40"/>
  <c r="G23" i="40"/>
  <c r="K25" i="40"/>
  <c r="K35" i="40"/>
  <c r="D24" i="40"/>
  <c r="D23" i="40"/>
  <c r="D22" i="40"/>
  <c r="W20" i="39"/>
  <c r="V20" i="39"/>
  <c r="U20" i="39"/>
  <c r="T20" i="39"/>
  <c r="S20" i="39"/>
  <c r="R20" i="39"/>
  <c r="Q20" i="39"/>
  <c r="P20" i="39"/>
  <c r="O20" i="39"/>
  <c r="N20" i="39"/>
  <c r="M20" i="39"/>
  <c r="L20" i="39"/>
  <c r="K20" i="39"/>
  <c r="J20" i="39"/>
  <c r="I20" i="39"/>
  <c r="H20" i="39"/>
  <c r="AA18" i="39"/>
  <c r="I59" i="38"/>
  <c r="J59" i="38"/>
  <c r="G52" i="38"/>
  <c r="F37" i="38"/>
  <c r="F38" i="38"/>
  <c r="D36" i="38"/>
  <c r="J24" i="38"/>
  <c r="J18" i="38"/>
  <c r="C9" i="37"/>
  <c r="K14" i="37" s="1"/>
  <c r="F23" i="37"/>
  <c r="F24" i="37"/>
  <c r="F25" i="37"/>
  <c r="F26" i="37"/>
  <c r="F27" i="37"/>
  <c r="F28" i="37"/>
  <c r="F29" i="37"/>
  <c r="F30" i="37"/>
  <c r="F31" i="37"/>
  <c r="F32" i="37"/>
  <c r="F33" i="37"/>
  <c r="F34" i="37"/>
  <c r="F35" i="37"/>
  <c r="F36" i="37"/>
  <c r="F37" i="37"/>
  <c r="F38" i="37"/>
  <c r="F39" i="37"/>
  <c r="F40" i="37"/>
  <c r="I49" i="9"/>
  <c r="I41" i="9"/>
  <c r="J41" i="9" s="1"/>
  <c r="I47" i="9"/>
  <c r="I13" i="10"/>
  <c r="I15" i="10"/>
  <c r="I17" i="10"/>
  <c r="J17" i="10" s="1"/>
  <c r="I19" i="10"/>
  <c r="I23" i="10"/>
  <c r="I25" i="10"/>
  <c r="I29" i="10"/>
  <c r="I37" i="10"/>
  <c r="J19" i="11"/>
  <c r="J23" i="11"/>
  <c r="J25" i="11"/>
  <c r="J31" i="11"/>
  <c r="J33" i="11"/>
  <c r="J37" i="11"/>
  <c r="J39" i="11"/>
  <c r="I11" i="19"/>
  <c r="I14" i="19"/>
  <c r="I16" i="21"/>
  <c r="I32" i="21"/>
  <c r="I36" i="21"/>
  <c r="I38" i="21"/>
  <c r="I40" i="21"/>
  <c r="I9" i="25"/>
  <c r="I13" i="25"/>
  <c r="I15" i="25"/>
  <c r="G47" i="9"/>
  <c r="G49" i="9"/>
  <c r="G13" i="10"/>
  <c r="G15" i="10"/>
  <c r="G19" i="10"/>
  <c r="G25" i="10"/>
  <c r="G29" i="10"/>
  <c r="G37" i="10"/>
  <c r="H19" i="11"/>
  <c r="H23" i="11"/>
  <c r="H25" i="11"/>
  <c r="H29" i="11"/>
  <c r="H31" i="11"/>
  <c r="H33" i="11"/>
  <c r="H37" i="11"/>
  <c r="H39" i="11"/>
  <c r="G11" i="19"/>
  <c r="G25" i="19" s="1"/>
  <c r="G16" i="21"/>
  <c r="G32" i="21"/>
  <c r="G36" i="21"/>
  <c r="G38" i="21"/>
  <c r="G40" i="21"/>
  <c r="G13" i="22"/>
  <c r="G15" i="22"/>
  <c r="G25" i="22"/>
  <c r="G33" i="22"/>
  <c r="I13" i="22"/>
  <c r="I15" i="22"/>
  <c r="I25" i="22"/>
  <c r="I31" i="22"/>
  <c r="I33" i="22"/>
  <c r="I13" i="15"/>
  <c r="I17" i="15"/>
  <c r="I19" i="15"/>
  <c r="I23" i="15"/>
  <c r="I25" i="15"/>
  <c r="I14" i="13"/>
  <c r="I18" i="13"/>
  <c r="I20" i="13"/>
  <c r="J20" i="13" s="1"/>
  <c r="I24" i="13"/>
  <c r="I26" i="13"/>
  <c r="I28" i="13"/>
  <c r="I35" i="13"/>
  <c r="I37" i="13"/>
  <c r="I45" i="13"/>
  <c r="J45" i="13" s="1"/>
  <c r="I64" i="13"/>
  <c r="I66" i="13"/>
  <c r="I68" i="13"/>
  <c r="J24" i="8"/>
  <c r="H24" i="8"/>
  <c r="H60" i="25"/>
  <c r="H26" i="29"/>
  <c r="G10" i="27"/>
  <c r="E12" i="27" s="1"/>
  <c r="G12" i="27" s="1"/>
  <c r="G25" i="15"/>
  <c r="G68" i="13"/>
  <c r="G66" i="13"/>
  <c r="G64" i="13"/>
  <c r="G49" i="13"/>
  <c r="G37" i="13"/>
  <c r="G35" i="13"/>
  <c r="G28" i="13"/>
  <c r="G14" i="13"/>
  <c r="G18" i="13"/>
  <c r="G24" i="13"/>
  <c r="G26" i="13"/>
  <c r="I48" i="35"/>
  <c r="G48" i="35"/>
  <c r="I44" i="35"/>
  <c r="I40" i="35"/>
  <c r="G40" i="35"/>
  <c r="I38" i="35"/>
  <c r="G38" i="35"/>
  <c r="I36" i="35"/>
  <c r="G36" i="35"/>
  <c r="J36" i="35" s="1"/>
  <c r="I34" i="35"/>
  <c r="G34" i="35"/>
  <c r="I32" i="35"/>
  <c r="G32" i="35"/>
  <c r="J32" i="35" s="1"/>
  <c r="I30" i="35"/>
  <c r="G30" i="35"/>
  <c r="I28" i="35"/>
  <c r="G28" i="35"/>
  <c r="I26" i="35"/>
  <c r="G26" i="35"/>
  <c r="I24" i="35"/>
  <c r="G24" i="35"/>
  <c r="J24" i="35" s="1"/>
  <c r="I20" i="35"/>
  <c r="G20" i="35"/>
  <c r="I18" i="35"/>
  <c r="G18" i="35"/>
  <c r="J18" i="35" s="1"/>
  <c r="I16" i="35"/>
  <c r="G16" i="35"/>
  <c r="I14" i="35"/>
  <c r="G14" i="35"/>
  <c r="J14" i="35" s="1"/>
  <c r="I12" i="35"/>
  <c r="G12" i="35"/>
  <c r="J12" i="35" s="1"/>
  <c r="J10" i="8"/>
  <c r="J14" i="8"/>
  <c r="H14" i="8"/>
  <c r="J16" i="8"/>
  <c r="H16" i="8"/>
  <c r="J18" i="8"/>
  <c r="K18" i="8" s="1"/>
  <c r="J20" i="8"/>
  <c r="H20" i="8"/>
  <c r="I9" i="6"/>
  <c r="G9" i="6"/>
  <c r="I13" i="6"/>
  <c r="I15" i="6"/>
  <c r="I19" i="6"/>
  <c r="G19" i="6"/>
  <c r="I21" i="6"/>
  <c r="G21" i="6"/>
  <c r="I23" i="6"/>
  <c r="G23" i="6"/>
  <c r="I25" i="6"/>
  <c r="G25" i="6"/>
  <c r="I27" i="6"/>
  <c r="G27" i="6"/>
  <c r="I29" i="6"/>
  <c r="G29" i="6"/>
  <c r="J29" i="6" s="1"/>
  <c r="I33" i="6"/>
  <c r="G33" i="6"/>
  <c r="I35" i="6"/>
  <c r="G35" i="6"/>
  <c r="I39" i="6"/>
  <c r="G39" i="6"/>
  <c r="I41" i="6"/>
  <c r="G41" i="6"/>
  <c r="I48" i="6"/>
  <c r="G48" i="6"/>
  <c r="I11" i="26"/>
  <c r="I57" i="26"/>
  <c r="G11" i="26"/>
  <c r="G57" i="26" s="1"/>
  <c r="G13" i="27"/>
  <c r="Q65" i="41"/>
  <c r="G24" i="40"/>
  <c r="J26" i="40"/>
  <c r="J60" i="38"/>
  <c r="G53" i="9" l="1"/>
  <c r="J38" i="35"/>
  <c r="J20" i="35"/>
  <c r="H49" i="11"/>
  <c r="J40" i="35"/>
  <c r="J16" i="35"/>
  <c r="J26" i="35"/>
  <c r="J34" i="35"/>
  <c r="J48" i="35"/>
  <c r="J32" i="21"/>
  <c r="J16" i="21"/>
  <c r="J13" i="22"/>
  <c r="J25" i="22"/>
  <c r="J28" i="35"/>
  <c r="K24" i="8"/>
  <c r="J35" i="13"/>
  <c r="K31" i="11"/>
  <c r="J25" i="10"/>
  <c r="J19" i="10"/>
  <c r="J23" i="10"/>
  <c r="J15" i="10"/>
  <c r="I28" i="19"/>
  <c r="H20" i="29" s="1"/>
  <c r="J36" i="21"/>
  <c r="J15" i="22"/>
  <c r="G69" i="27"/>
  <c r="I26" i="29" s="1"/>
  <c r="K33" i="11"/>
  <c r="K37" i="11"/>
  <c r="J49" i="11"/>
  <c r="K23" i="11"/>
  <c r="K39" i="11"/>
  <c r="K19" i="11"/>
  <c r="K25" i="11"/>
  <c r="J37" i="10"/>
  <c r="J13" i="10"/>
  <c r="J30" i="35"/>
  <c r="E44" i="35"/>
  <c r="G44" i="35" s="1"/>
  <c r="K14" i="8"/>
  <c r="K20" i="8"/>
  <c r="J33" i="6"/>
  <c r="J23" i="6"/>
  <c r="J21" i="6"/>
  <c r="J28" i="13"/>
  <c r="J68" i="13"/>
  <c r="J66" i="13"/>
  <c r="J15" i="25"/>
  <c r="J13" i="25"/>
  <c r="J9" i="25"/>
  <c r="I65" i="22"/>
  <c r="H23" i="29" s="1"/>
  <c r="J33" i="22"/>
  <c r="J40" i="21"/>
  <c r="I51" i="21"/>
  <c r="H22" i="29" s="1"/>
  <c r="G51" i="21"/>
  <c r="J14" i="19"/>
  <c r="I42" i="15"/>
  <c r="H17" i="29" s="1"/>
  <c r="G13" i="15"/>
  <c r="G17" i="15"/>
  <c r="J17" i="15" s="1"/>
  <c r="G23" i="15"/>
  <c r="J23" i="15" s="1"/>
  <c r="J19" i="15"/>
  <c r="I39" i="14"/>
  <c r="H16" i="29" s="1"/>
  <c r="J14" i="13"/>
  <c r="J24" i="13"/>
  <c r="J26" i="13"/>
  <c r="I47" i="10"/>
  <c r="J29" i="10"/>
  <c r="J49" i="9"/>
  <c r="J47" i="9"/>
  <c r="J41" i="8"/>
  <c r="H9" i="29" s="1"/>
  <c r="K16" i="8"/>
  <c r="J27" i="6"/>
  <c r="J35" i="6"/>
  <c r="J15" i="6"/>
  <c r="J19" i="6"/>
  <c r="J13" i="6"/>
  <c r="J25" i="6"/>
  <c r="J48" i="6"/>
  <c r="J41" i="6"/>
  <c r="J39" i="6"/>
  <c r="J25" i="15"/>
  <c r="H41" i="8"/>
  <c r="K66" i="41"/>
  <c r="N66" i="41"/>
  <c r="I51" i="6"/>
  <c r="H8" i="29" s="1"/>
  <c r="J9" i="6"/>
  <c r="G52" i="13"/>
  <c r="G60" i="13" s="1"/>
  <c r="G75" i="13" s="1"/>
  <c r="J11" i="19"/>
  <c r="J38" i="21"/>
  <c r="J31" i="22"/>
  <c r="J11" i="26"/>
  <c r="J57" i="26" s="1"/>
  <c r="G39" i="14"/>
  <c r="J37" i="13"/>
  <c r="J18" i="13"/>
  <c r="J64" i="13"/>
  <c r="I52" i="13"/>
  <c r="I60" i="13" s="1"/>
  <c r="I75" i="13" s="1"/>
  <c r="H15" i="29" s="1"/>
  <c r="I53" i="9"/>
  <c r="K10" i="8"/>
  <c r="I60" i="25"/>
  <c r="J44" i="35" l="1"/>
  <c r="I20" i="29"/>
  <c r="J39" i="14"/>
  <c r="J28" i="19"/>
  <c r="I22" i="29"/>
  <c r="J53" i="9"/>
  <c r="K49" i="11"/>
  <c r="J47" i="10"/>
  <c r="J51" i="21"/>
  <c r="G42" i="35"/>
  <c r="I42" i="35"/>
  <c r="I59" i="35" s="1"/>
  <c r="H10" i="29" s="1"/>
  <c r="I23" i="29"/>
  <c r="J65" i="22"/>
  <c r="I16" i="29"/>
  <c r="I9" i="29"/>
  <c r="J60" i="25"/>
  <c r="G42" i="15"/>
  <c r="I17" i="29" s="1"/>
  <c r="J13" i="15"/>
  <c r="J42" i="15" s="1"/>
  <c r="K41" i="8"/>
  <c r="J52" i="13"/>
  <c r="J60" i="13" s="1"/>
  <c r="J75" i="13" s="1"/>
  <c r="J51" i="6"/>
  <c r="N69" i="41"/>
  <c r="J35" i="38"/>
  <c r="I15" i="29"/>
  <c r="H25" i="29"/>
  <c r="I25" i="29" s="1"/>
  <c r="J27" i="38"/>
  <c r="J31" i="38" s="1"/>
  <c r="I8" i="29" l="1"/>
  <c r="J42" i="35"/>
  <c r="J59" i="35" s="1"/>
  <c r="G37" i="29"/>
  <c r="G38" i="29" s="1"/>
  <c r="J32" i="38"/>
  <c r="J34" i="38"/>
  <c r="E36" i="38" s="1"/>
  <c r="I10" i="29" l="1"/>
  <c r="L14" i="48"/>
  <c r="J36" i="38"/>
  <c r="J38" i="38" s="1"/>
  <c r="J39" i="38" s="1"/>
  <c r="I58" i="38" s="1"/>
  <c r="I61" i="38" s="1"/>
  <c r="I63" i="38" s="1"/>
  <c r="H62" i="38"/>
  <c r="J62" i="38" s="1"/>
  <c r="E37" i="38"/>
  <c r="I62" i="38" s="1"/>
  <c r="E38" i="38"/>
  <c r="G36" i="38"/>
  <c r="G39" i="29" l="1"/>
  <c r="H58" i="38"/>
  <c r="J58" i="38" s="1"/>
  <c r="J61" i="38" s="1"/>
  <c r="J63" i="38" s="1"/>
  <c r="G8" i="36"/>
  <c r="D21" i="37"/>
  <c r="G21" i="37" s="1"/>
  <c r="G22" i="37" s="1"/>
  <c r="G23" i="37" s="1"/>
  <c r="G24" i="37" s="1"/>
  <c r="G25" i="37" s="1"/>
  <c r="G26" i="37" s="1"/>
  <c r="G27" i="37" s="1"/>
  <c r="G28" i="37" s="1"/>
  <c r="G29" i="37" s="1"/>
  <c r="G30" i="37" s="1"/>
  <c r="G31" i="37" s="1"/>
  <c r="G32" i="37" s="1"/>
  <c r="G33" i="37" s="1"/>
  <c r="G34" i="37" s="1"/>
  <c r="G35" i="37" s="1"/>
  <c r="G36" i="37" s="1"/>
  <c r="G37" i="37" s="1"/>
  <c r="G38" i="37" s="1"/>
  <c r="G39" i="37" s="1"/>
  <c r="G40" i="37" s="1"/>
  <c r="G41" i="37" s="1"/>
  <c r="H5" i="29"/>
  <c r="J40" i="38"/>
  <c r="E21" i="37"/>
  <c r="G37" i="38"/>
  <c r="G38" i="38"/>
  <c r="G44" i="38" s="1"/>
  <c r="X20" i="39" s="1"/>
  <c r="G40" i="29" l="1"/>
  <c r="G41" i="29" s="1"/>
  <c r="D41" i="37"/>
  <c r="F21" i="37"/>
  <c r="I21" i="37" s="1"/>
  <c r="I22" i="37" s="1"/>
  <c r="I23" i="37" s="1"/>
  <c r="I24" i="37" s="1"/>
  <c r="I25" i="37" s="1"/>
  <c r="I26" i="37" s="1"/>
  <c r="I27" i="37" s="1"/>
  <c r="I28" i="37" s="1"/>
  <c r="I29" i="37" s="1"/>
  <c r="I30" i="37" s="1"/>
  <c r="I31" i="37" s="1"/>
  <c r="I32" i="37" s="1"/>
  <c r="I33" i="37" s="1"/>
  <c r="I34" i="37" s="1"/>
  <c r="I35" i="37" s="1"/>
  <c r="I36" i="37" s="1"/>
  <c r="I37" i="37" s="1"/>
  <c r="I38" i="37" s="1"/>
  <c r="I39" i="37" s="1"/>
  <c r="I40" i="37" s="1"/>
  <c r="H61" i="38"/>
  <c r="H63" i="38" s="1"/>
  <c r="E31" i="40"/>
  <c r="G42" i="38"/>
  <c r="G45" i="38" s="1"/>
  <c r="X18" i="39"/>
  <c r="X22" i="39" s="1"/>
  <c r="H37" i="29"/>
  <c r="H39" i="29" s="1"/>
  <c r="I5" i="29"/>
  <c r="I37" i="29" s="1"/>
  <c r="I39" i="29" s="1"/>
  <c r="E41" i="37"/>
  <c r="H21" i="37"/>
  <c r="H22" i="37" s="1"/>
  <c r="H23" i="37" s="1"/>
  <c r="H24" i="37" s="1"/>
  <c r="H25" i="37" s="1"/>
  <c r="H26" i="37" s="1"/>
  <c r="H27" i="37" s="1"/>
  <c r="H28" i="37" s="1"/>
  <c r="H29" i="37" s="1"/>
  <c r="H30" i="37" s="1"/>
  <c r="H31" i="37" s="1"/>
  <c r="H32" i="37" s="1"/>
  <c r="H33" i="37" s="1"/>
  <c r="H34" i="37" s="1"/>
  <c r="H35" i="37" s="1"/>
  <c r="H36" i="37" s="1"/>
  <c r="H37" i="37" s="1"/>
  <c r="H38" i="37" s="1"/>
  <c r="H39" i="37" s="1"/>
  <c r="H40" i="37" s="1"/>
  <c r="H41" i="37" s="1"/>
  <c r="I41" i="37" s="1"/>
  <c r="F41" i="37" l="1"/>
  <c r="I42" i="37"/>
  <c r="H65" i="38"/>
  <c r="H40" i="29"/>
  <c r="H41" i="29" s="1"/>
  <c r="I40" i="29"/>
  <c r="I41" i="29" s="1"/>
  <c r="E38" i="40"/>
  <c r="G31" i="40"/>
  <c r="G38" i="40" s="1"/>
  <c r="I31" i="4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 van der Walt</author>
    <author>JH van der Schyff</author>
    <author xml:space="preserve"> </author>
  </authors>
  <commentList>
    <comment ref="F6" authorId="0" shapeId="0" xr:uid="{00000000-0006-0000-0200-000001000000}">
      <text>
        <r>
          <rPr>
            <b/>
            <sz val="14"/>
            <color indexed="81"/>
            <rFont val="Tahoma"/>
            <family val="2"/>
          </rPr>
          <t>Enter the official contract number.</t>
        </r>
        <r>
          <rPr>
            <b/>
            <sz val="8"/>
            <color indexed="81"/>
            <rFont val="Tahoma"/>
            <family val="2"/>
          </rPr>
          <t xml:space="preserve">
</t>
        </r>
      </text>
    </comment>
    <comment ref="F7" authorId="0" shapeId="0" xr:uid="{00000000-0006-0000-0200-000002000000}">
      <text>
        <r>
          <rPr>
            <b/>
            <sz val="14"/>
            <color indexed="81"/>
            <rFont val="Tahoma"/>
            <family val="2"/>
          </rPr>
          <t>Enter this certificate number.</t>
        </r>
        <r>
          <rPr>
            <b/>
            <sz val="8"/>
            <color indexed="81"/>
            <rFont val="Tahoma"/>
            <family val="2"/>
          </rPr>
          <t xml:space="preserve">
</t>
        </r>
      </text>
    </comment>
    <comment ref="F8" authorId="0" shapeId="0" xr:uid="{00000000-0006-0000-0200-000003000000}">
      <text>
        <r>
          <rPr>
            <b/>
            <sz val="14"/>
            <color indexed="81"/>
            <rFont val="Tahoma"/>
            <family val="2"/>
          </rPr>
          <t>Enter the name of the Contractor.</t>
        </r>
      </text>
    </comment>
    <comment ref="F9" authorId="0" shapeId="0" xr:uid="{00000000-0006-0000-0200-000004000000}">
      <text>
        <r>
          <rPr>
            <b/>
            <sz val="14"/>
            <color indexed="81"/>
            <rFont val="Tahoma"/>
            <family val="2"/>
          </rPr>
          <t>Enter the description of the project</t>
        </r>
      </text>
    </comment>
    <comment ref="D15" authorId="1" shapeId="0" xr:uid="{00000000-0006-0000-0200-000005000000}">
      <text>
        <r>
          <rPr>
            <b/>
            <sz val="10"/>
            <color indexed="81"/>
            <rFont val="Tahoma"/>
            <family val="2"/>
          </rPr>
          <t>Enter the description of the project as described on the previous years budget.</t>
        </r>
      </text>
    </comment>
    <comment ref="D16" authorId="1" shapeId="0" xr:uid="{00000000-0006-0000-0200-000006000000}">
      <text>
        <r>
          <rPr>
            <b/>
            <sz val="10"/>
            <color indexed="81"/>
            <rFont val="Tahoma"/>
            <family val="2"/>
          </rPr>
          <t>Enter the description of the project as described on the current years budget.</t>
        </r>
      </text>
    </comment>
    <comment ref="C21" authorId="0" shapeId="0" xr:uid="{00000000-0006-0000-0200-000007000000}">
      <text>
        <r>
          <rPr>
            <b/>
            <sz val="10"/>
            <color indexed="81"/>
            <rFont val="Tahoma"/>
            <family val="2"/>
          </rPr>
          <t>Previous financial year.</t>
        </r>
      </text>
    </comment>
    <comment ref="J21" authorId="0" shapeId="0" xr:uid="{00000000-0006-0000-0200-000008000000}">
      <text>
        <r>
          <rPr>
            <b/>
            <sz val="14"/>
            <color indexed="81"/>
            <rFont val="Tahoma"/>
            <family val="2"/>
          </rPr>
          <t>Enter the amount allocated 
on the previous financial year's budget.</t>
        </r>
      </text>
    </comment>
    <comment ref="C22" authorId="1" shapeId="0" xr:uid="{00000000-0006-0000-0200-000009000000}">
      <text>
        <r>
          <rPr>
            <b/>
            <sz val="10"/>
            <color indexed="81"/>
            <rFont val="Tahoma"/>
            <family val="2"/>
          </rPr>
          <t>Current financial year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J28" authorId="0" shapeId="0" xr:uid="{00000000-0006-0000-0200-00000A000000}">
      <text>
        <r>
          <rPr>
            <b/>
            <sz val="14"/>
            <color indexed="81"/>
            <rFont val="Tahoma"/>
            <family val="2"/>
          </rPr>
          <t>Enter calculated escalation value.</t>
        </r>
      </text>
    </comment>
    <comment ref="J29" authorId="0" shapeId="0" xr:uid="{00000000-0006-0000-0200-00000B000000}">
      <text>
        <r>
          <rPr>
            <b/>
            <sz val="14"/>
            <color indexed="81"/>
            <rFont val="Tahoma"/>
            <family val="2"/>
          </rPr>
          <t>Enter the total amount of the contractor's claims to date.</t>
        </r>
        <r>
          <rPr>
            <b/>
            <sz val="8"/>
            <color indexed="81"/>
            <rFont val="Tahoma"/>
            <family val="2"/>
          </rPr>
          <t xml:space="preserve">
</t>
        </r>
      </text>
    </comment>
    <comment ref="E32" authorId="2" shapeId="0" xr:uid="{00000000-0006-0000-0200-00000C000000}">
      <text>
        <r>
          <rPr>
            <b/>
            <sz val="14"/>
            <color indexed="81"/>
            <rFont val="Tahoma"/>
            <family val="2"/>
          </rPr>
          <t>Insert % retention limit of contract</t>
        </r>
      </text>
    </comment>
    <comment ref="I32" authorId="0" shapeId="0" xr:uid="{00000000-0006-0000-0200-00000D000000}">
      <text>
        <r>
          <rPr>
            <b/>
            <sz val="14"/>
            <color indexed="81"/>
            <rFont val="Tahoma"/>
            <family val="2"/>
          </rPr>
          <t>Enter the percentage discount offered by the Contractor.</t>
        </r>
      </text>
    </comment>
    <comment ref="J33" authorId="0" shapeId="0" xr:uid="{00000000-0006-0000-0200-00000E000000}">
      <text>
        <r>
          <rPr>
            <b/>
            <sz val="14"/>
            <color indexed="81"/>
            <rFont val="Tahoma"/>
            <family val="2"/>
          </rPr>
          <t>Enter the total penalties payable to date.</t>
        </r>
      </text>
    </comment>
    <comment ref="I34" authorId="2" shapeId="0" xr:uid="{00000000-0006-0000-0200-00000F000000}">
      <text>
        <r>
          <rPr>
            <b/>
            <sz val="8"/>
            <color indexed="81"/>
            <rFont val="Tahoma"/>
            <family val="2"/>
          </rPr>
          <t xml:space="preserve"> :Inseret Certificate Retention %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35" authorId="0" shapeId="0" xr:uid="{00000000-0006-0000-0200-000010000000}">
      <text>
        <r>
          <rPr>
            <b/>
            <sz val="14"/>
            <color indexed="81"/>
            <rFont val="Tahoma"/>
            <family val="2"/>
          </rPr>
          <t>Enter 80% of the value of the MOS.</t>
        </r>
      </text>
    </comment>
    <comment ref="F36" authorId="2" shapeId="0" xr:uid="{00000000-0006-0000-0200-000011000000}">
      <text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Tahoma"/>
            <family val="2"/>
          </rPr>
          <t>Enter Cumulative Retention amount indicated on the previous certifiacte</t>
        </r>
      </text>
    </comment>
    <comment ref="J37" authorId="0" shapeId="0" xr:uid="{00000000-0006-0000-0200-000012000000}">
      <text>
        <r>
          <rPr>
            <b/>
            <sz val="14"/>
            <color indexed="81"/>
            <rFont val="Tahoma"/>
            <family val="2"/>
          </rPr>
          <t xml:space="preserve">Enter the total amount paid to date on the previous certificate
</t>
        </r>
      </text>
    </comment>
    <comment ref="D42" authorId="0" shapeId="0" xr:uid="{00000000-0006-0000-0200-000013000000}">
      <text>
        <r>
          <rPr>
            <b/>
            <sz val="14"/>
            <color indexed="81"/>
            <rFont val="Tahoma"/>
            <family val="2"/>
          </rPr>
          <t>Enter the approved vote number issued by the Finance Cluster.</t>
        </r>
        <r>
          <rPr>
            <b/>
            <sz val="8"/>
            <color indexed="81"/>
            <rFont val="Tahoma"/>
            <family val="2"/>
          </rPr>
          <t xml:space="preserve">
</t>
        </r>
      </text>
    </comment>
    <comment ref="D43" authorId="0" shapeId="0" xr:uid="{00000000-0006-0000-0200-000014000000}">
      <text>
        <r>
          <rPr>
            <b/>
            <sz val="11"/>
            <color indexed="81"/>
            <rFont val="Tahoma"/>
            <family val="2"/>
          </rPr>
          <t>Enter the approved vote number issued by the Finance Cluster.</t>
        </r>
        <r>
          <rPr>
            <b/>
            <sz val="8"/>
            <color indexed="81"/>
            <rFont val="Tahoma"/>
            <family val="2"/>
          </rPr>
          <t xml:space="preserve">
</t>
        </r>
      </text>
    </comment>
    <comment ref="G43" authorId="2" shapeId="0" xr:uid="{00000000-0006-0000-0200-000015000000}">
      <text>
        <r>
          <rPr>
            <b/>
            <sz val="8"/>
            <color indexed="81"/>
            <rFont val="Tahoma"/>
            <family val="2"/>
          </rPr>
          <t xml:space="preserve"> :Enter split amount if the vote number is split</t>
        </r>
      </text>
    </comment>
    <comment ref="D44" authorId="0" shapeId="0" xr:uid="{00000000-0006-0000-0200-000016000000}">
      <text>
        <r>
          <rPr>
            <b/>
            <sz val="11"/>
            <color indexed="81"/>
            <rFont val="Tahoma"/>
            <family val="2"/>
          </rPr>
          <t>Enter the approved vote number issued by the Finance Cluster, this is the CLF vote number.</t>
        </r>
        <r>
          <rPr>
            <b/>
            <sz val="8"/>
            <color indexed="81"/>
            <rFont val="Tahoma"/>
            <family val="2"/>
          </rPr>
          <t xml:space="preserve">
</t>
        </r>
      </text>
    </comment>
    <comment ref="H60" authorId="0" shapeId="0" xr:uid="{00000000-0006-0000-0200-000017000000}">
      <text>
        <r>
          <rPr>
            <b/>
            <sz val="11"/>
            <color indexed="81"/>
            <rFont val="Tahoma"/>
            <family val="2"/>
          </rPr>
          <t>Enter the total amount paid during the previous financial years on the project.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<sst xmlns="http://schemas.openxmlformats.org/spreadsheetml/2006/main" count="1344" uniqueCount="790">
  <si>
    <t>Number</t>
  </si>
  <si>
    <t>LIC</t>
  </si>
  <si>
    <t>Item Description</t>
  </si>
  <si>
    <t>Unit</t>
  </si>
  <si>
    <t>Quantity</t>
  </si>
  <si>
    <t>Rate</t>
  </si>
  <si>
    <t>Amount R</t>
  </si>
  <si>
    <t>LI</t>
  </si>
  <si>
    <t>Prov sum</t>
  </si>
  <si>
    <t>%</t>
  </si>
  <si>
    <t>No</t>
  </si>
  <si>
    <t>m²</t>
  </si>
  <si>
    <t>SECTION 1500</t>
  </si>
  <si>
    <t>ACCOMODATION OF TRAFFIC</t>
  </si>
  <si>
    <t>Accommodating traffic and maintaining temporary deviations</t>
  </si>
  <si>
    <t>km</t>
  </si>
  <si>
    <t>Earthworks for temporary deviations</t>
  </si>
  <si>
    <t>(a) Shaping of temporary deviations</t>
  </si>
  <si>
    <t>(b) Cut and borrow to fill</t>
  </si>
  <si>
    <t>m³</t>
  </si>
  <si>
    <t>(a) Flagmen</t>
  </si>
  <si>
    <t>man-day</t>
  </si>
  <si>
    <t>(b) Portable STOP and GO-RY signs</t>
  </si>
  <si>
    <t>(c) Temporary traffic-control signals as specified or as shown on the drawings</t>
  </si>
  <si>
    <t>(e) Road signs, R- and TR-series, (size indicated)</t>
  </si>
  <si>
    <t>(f) Road signs, TW-series, (size indicated)</t>
  </si>
  <si>
    <t>(g) Road signs, STW-, DTG-, TGS- AND TG-series (excluding delineators and barricades)</t>
  </si>
  <si>
    <t>(h) Delineators (DTG50J) (size indicated):</t>
  </si>
  <si>
    <t>(1) Single</t>
  </si>
  <si>
    <t>(j) Traffic cones (size indicated)</t>
  </si>
  <si>
    <t>Gravelling and repair of temporary deviations and existing gravel shoulders used as temporary deviations:</t>
  </si>
  <si>
    <t>(a) Temporary deviations</t>
  </si>
  <si>
    <t>Watering of temporary deviations</t>
  </si>
  <si>
    <t>kℓ</t>
  </si>
  <si>
    <t>Blading by road grader of:</t>
  </si>
  <si>
    <t>km-pass</t>
  </si>
  <si>
    <t>(b) Existing roads used as temporary deviations</t>
  </si>
  <si>
    <t>Repairs, alterations and/or additions to existing roads used as temporary deviations</t>
  </si>
  <si>
    <t>m</t>
  </si>
  <si>
    <t>m³-km</t>
  </si>
  <si>
    <t>SECTION 1700</t>
  </si>
  <si>
    <t>CLEARING AND GRUBBING</t>
  </si>
  <si>
    <t>Clearing and grubbing</t>
  </si>
  <si>
    <t>ha</t>
  </si>
  <si>
    <t>(a) Girth exceeding 1m up to and including 2m</t>
  </si>
  <si>
    <t>(b) Girth exceeding 2m up to and including 3m</t>
  </si>
  <si>
    <t>Re-clearing of surfaces (on the written instructions of the Engineer only)</t>
  </si>
  <si>
    <t>Clearing and grubbing at inlets and outlets of hydraulic structures</t>
  </si>
  <si>
    <t>Cleaning out of hydraulic structures</t>
  </si>
  <si>
    <t>(a) Pipes with an internal diameter up to and including 750 mm</t>
  </si>
  <si>
    <t>DRAINS</t>
  </si>
  <si>
    <t>Clearing and shaping existing open drains</t>
  </si>
  <si>
    <t>(a) Excavating soft material situated within the following depth ranges below the surface level:</t>
  </si>
  <si>
    <t>(2) Exceeding 1,5 m and up to 3,0 m</t>
  </si>
  <si>
    <t>Concrete outlet structures, manhole boxes, junction boxes and cleaning eyes  for subsoil drainage systems:</t>
  </si>
  <si>
    <t xml:space="preserve">(a) Outlet structures </t>
  </si>
  <si>
    <t>Repairing or replacing existing drainage systems</t>
  </si>
  <si>
    <t>Overhaul for material hauled in excess of 1,0 km free-haul (normal overhaul)</t>
  </si>
  <si>
    <t>SECTION 2200</t>
  </si>
  <si>
    <t>PREFABRICATED CULVERTS</t>
  </si>
  <si>
    <t>Excavation</t>
  </si>
  <si>
    <t>(1) 0 m up to 1.5 m</t>
  </si>
  <si>
    <t>(3) Exceeding 3,0 m and up to 4,5 m</t>
  </si>
  <si>
    <t>(b) Extra over subitem 22.01(a) for excavation in hard material, irrespective of depth</t>
  </si>
  <si>
    <t>Backfilling:</t>
  </si>
  <si>
    <t>(a) Using the excavated material</t>
  </si>
  <si>
    <t>(b) Using imported selected material</t>
  </si>
  <si>
    <t>Concrete pipe culverts:</t>
  </si>
  <si>
    <t>Cast in situ concrete and formwork</t>
  </si>
  <si>
    <t>(c) In inlet and outlet structures, skewed ends, catchpits, manholes, thrust and anchor blocks, excluding formwork but including class U2 surface finish</t>
  </si>
  <si>
    <t>(1) Class 30/19</t>
  </si>
  <si>
    <t>kg</t>
  </si>
  <si>
    <t>SECTION 2300</t>
  </si>
  <si>
    <t>CONCRETE KERBING, CONCRETE CHANNELLING, CHUTES AND DOWNPIPES, AND CONCRETE LININGS FOR OPEN DRAINS</t>
  </si>
  <si>
    <t>SECTION 3300</t>
  </si>
  <si>
    <t>MASS EARTHWORKS</t>
  </si>
  <si>
    <t>Cut and borrow to fill, including free-haul up to 0.5km</t>
  </si>
  <si>
    <t>(a) Gravel material in compacted layer thickness of 200 mm and less:</t>
  </si>
  <si>
    <t>Extra over item 33.01 for excavating and breaking down material in:</t>
  </si>
  <si>
    <t>(a) Intermediate excavation</t>
  </si>
  <si>
    <t>(b) Hard excavation</t>
  </si>
  <si>
    <t>Cut to spoil, including free-haul up to 0,5 km. Material obtained from:</t>
  </si>
  <si>
    <t>(a) Soft excavation</t>
  </si>
  <si>
    <t>(b) Intermediate excavation</t>
  </si>
  <si>
    <t>(c) Hard excavation</t>
  </si>
  <si>
    <t>Removal of unsuitable material (including free-haul of 0.5 km):</t>
  </si>
  <si>
    <t>Three-roller-passes compaction:</t>
  </si>
  <si>
    <t>(a) Vibratory roller</t>
  </si>
  <si>
    <t>In situ treatment of roadbed:</t>
  </si>
  <si>
    <t>(a) In situ treatment by ripping</t>
  </si>
  <si>
    <t>(a) Item 33.10 for roadbed preparation and the compaction of material</t>
  </si>
  <si>
    <t>(b) Item 33.11 for three roller passes compaction</t>
  </si>
  <si>
    <t>(c) Item 33.12 for in situ treatment of roadbed</t>
  </si>
  <si>
    <t>SECTION 3400</t>
  </si>
  <si>
    <t>PAVEMENT LAYERS OF GRAVEL MATERIAL</t>
  </si>
  <si>
    <t>SECTION 3500</t>
  </si>
  <si>
    <t>STABILIZATION</t>
  </si>
  <si>
    <t>Chemical stabilizing agent:</t>
  </si>
  <si>
    <t>(a) Ordinary portland cement</t>
  </si>
  <si>
    <t>t</t>
  </si>
  <si>
    <t>Extra over item 35.01 for chemical stabilization in restricted areas:</t>
  </si>
  <si>
    <t xml:space="preserve">(b) In situ mixing </t>
  </si>
  <si>
    <t>Extra over items 35.01 for trial sections</t>
  </si>
  <si>
    <t>SECTION 5100</t>
  </si>
  <si>
    <t>PITCHING, STONEWORK AND PROTECTION AGAINST EROSION</t>
  </si>
  <si>
    <t>Stone pitching:</t>
  </si>
  <si>
    <t>(b) Grouted stone pitching</t>
  </si>
  <si>
    <t>SECTION 5600</t>
  </si>
  <si>
    <t>ROAD SIGNS</t>
  </si>
  <si>
    <t>Road sign boards with painted or coloured semi-matt background. Symbols, lettering and borders in semi-matt black or in Class 1 retro-reflective material, where the sign board is constructed from:</t>
  </si>
  <si>
    <t>(a) Aluminium sheet (2,0 mm thick)</t>
  </si>
  <si>
    <t>Road sign supports  (overhead road sign structures excluded):</t>
  </si>
  <si>
    <t>Excavation and backfilling for road sign supports (not applicable to kilometre posts)</t>
  </si>
  <si>
    <t>Extra over item 56.05 for cement-treated soil backfill</t>
  </si>
  <si>
    <t>Extra over item 56.05 for rock excavation</t>
  </si>
  <si>
    <t>SECTION 5700</t>
  </si>
  <si>
    <t>ROAD MARKINGS</t>
  </si>
  <si>
    <t>Road marking paint:</t>
  </si>
  <si>
    <t>(a) White lines (broken or unbroken)</t>
  </si>
  <si>
    <t>(d) White lettering and symbols</t>
  </si>
  <si>
    <t>Setting out and premarking the lines (Excluding traffic-island markings, lettering and symbols)</t>
  </si>
  <si>
    <t>SECTION 5900</t>
  </si>
  <si>
    <t>CONCRETE BLOCK PAVING FOR ROADS</t>
  </si>
  <si>
    <t>PATENTED EARTH RETAINING SYSTEMS</t>
  </si>
  <si>
    <t>Patented earth retaining systems.Rate to include for compacted backfill of 93% Mod AASHTO, laying stacking and drainage and base requirements :</t>
  </si>
  <si>
    <t>(c) Terrace Blok precast concrete blocks of type (TB500)</t>
  </si>
  <si>
    <t>SECTION 8100</t>
  </si>
  <si>
    <t>TESTING MATERIALS AND WORKMANSHIP</t>
  </si>
  <si>
    <t>Personnel</t>
  </si>
  <si>
    <t>(a) Unskilled labour</t>
  </si>
  <si>
    <t>(b) Semi-skilled labour</t>
  </si>
  <si>
    <t>(c) Skilled labour</t>
  </si>
  <si>
    <t>(d) Ganger</t>
  </si>
  <si>
    <t>(e) Flagmen</t>
  </si>
  <si>
    <t>(a) Bulldozer with rippers (minimum 125kW)</t>
  </si>
  <si>
    <t>(b) Front end loader (minimum 60kW)</t>
  </si>
  <si>
    <t>(c) Tractor loader backhoe 4 x 4 (50kW)</t>
  </si>
  <si>
    <t>(d) Track excavator (125kW)</t>
  </si>
  <si>
    <t>(e) Smooth drum roller (12 ton)</t>
  </si>
  <si>
    <t>(f) Water bowser (10 000 litre)</t>
  </si>
  <si>
    <t>(g) Tip truck 6 m³ capacity</t>
  </si>
  <si>
    <t>(h) Tip truck 10 m³ capacity</t>
  </si>
  <si>
    <t>(j) Water pump (75mm diameter with 50m hose)</t>
  </si>
  <si>
    <t>GENERAL REQUIREMENTS AND PROVISIONS</t>
  </si>
  <si>
    <t>DAYWORKS</t>
  </si>
  <si>
    <t xml:space="preserve"> Total Carried Forward to Summary</t>
  </si>
  <si>
    <t xml:space="preserve"> Total Carried Forward </t>
  </si>
  <si>
    <t>Tendered Amount R</t>
  </si>
  <si>
    <t>1200</t>
  </si>
  <si>
    <t>1500</t>
  </si>
  <si>
    <t>1700</t>
  </si>
  <si>
    <t>2100</t>
  </si>
  <si>
    <t>2200</t>
  </si>
  <si>
    <t>2300</t>
  </si>
  <si>
    <t>3300</t>
  </si>
  <si>
    <t>3400</t>
  </si>
  <si>
    <t>3500</t>
  </si>
  <si>
    <t>5100</t>
  </si>
  <si>
    <t>5600</t>
  </si>
  <si>
    <t>5700</t>
  </si>
  <si>
    <t>7300</t>
  </si>
  <si>
    <t>8100</t>
  </si>
  <si>
    <t>SUBTOTAL</t>
  </si>
  <si>
    <t>TOTAL</t>
  </si>
  <si>
    <t>SECTION 1800</t>
  </si>
  <si>
    <t>1800</t>
  </si>
  <si>
    <t>TOTAL SCHEDULED ITEMS</t>
  </si>
  <si>
    <t>15% VAT</t>
  </si>
  <si>
    <t>B18.01</t>
  </si>
  <si>
    <t>B18.02</t>
  </si>
  <si>
    <t>Transport</t>
  </si>
  <si>
    <t>(a)Concrete block paving (221 x 110 x 60mm thick "Infraset Crazy E G Block" or similar approved)</t>
  </si>
  <si>
    <t>B18,04</t>
  </si>
  <si>
    <t>23.08</t>
  </si>
  <si>
    <t>33.04</t>
  </si>
  <si>
    <t>33.07</t>
  </si>
  <si>
    <t>34.01</t>
  </si>
  <si>
    <t>57,06</t>
  </si>
  <si>
    <t>74.01</t>
  </si>
  <si>
    <t>Re-establishing the painting unit at the end of the maintenance period</t>
  </si>
  <si>
    <t>Trimming of excavations for concrete-lined open drains:</t>
  </si>
  <si>
    <t>(a) In soft material</t>
  </si>
  <si>
    <t>(b) In hard material</t>
  </si>
  <si>
    <t>Concrete lining for open drains:</t>
  </si>
  <si>
    <t>23.09</t>
  </si>
  <si>
    <t>Formwork to cast in situ concrete for open drains (class F2 surface finish):</t>
  </si>
  <si>
    <t>(a) To sides with formwork on internal face only</t>
  </si>
  <si>
    <t>(c) To ends of slabs</t>
  </si>
  <si>
    <t>23.10</t>
  </si>
  <si>
    <t>23.12</t>
  </si>
  <si>
    <t>Steel reinforcement:</t>
  </si>
  <si>
    <t>23.13</t>
  </si>
  <si>
    <t>Polyethylene sheeting (0,15mm thick) for concrete-lined open drains</t>
  </si>
  <si>
    <t>23.07</t>
  </si>
  <si>
    <t>No.</t>
  </si>
  <si>
    <t>PC Sum</t>
  </si>
  <si>
    <t>(b) Handling costs and profit in respect of subitem</t>
  </si>
  <si>
    <t xml:space="preserve"> B81.02(a)</t>
  </si>
  <si>
    <t>(4) 600mm dia 100D. Spigot and Socket</t>
  </si>
  <si>
    <t>L/Sum</t>
  </si>
  <si>
    <t>Provision and application of water for curing</t>
  </si>
  <si>
    <t>kl</t>
  </si>
  <si>
    <t>Provision of approved herbicide and ant poison:</t>
  </si>
  <si>
    <t xml:space="preserve">(a) Provision of materials </t>
  </si>
  <si>
    <t>(b) Contractor's charges and profit added to the prime cost sum</t>
  </si>
  <si>
    <t>Upgrading Of Gravel Roads To Surface Standards Inclusive of Associated Stormwater</t>
  </si>
  <si>
    <t>17.01</t>
  </si>
  <si>
    <t>Prov</t>
  </si>
  <si>
    <t xml:space="preserve">Materials </t>
  </si>
  <si>
    <t>57.07</t>
  </si>
  <si>
    <t>Contractor's handling cost</t>
  </si>
  <si>
    <t>B18,03</t>
  </si>
  <si>
    <t xml:space="preserve"> Total Brought Forward </t>
  </si>
  <si>
    <t>Total Amount</t>
  </si>
  <si>
    <t xml:space="preserve"> </t>
  </si>
  <si>
    <t>Final Amount R</t>
  </si>
  <si>
    <t>Final Amount</t>
  </si>
  <si>
    <t>Final Quantity</t>
  </si>
  <si>
    <t>Savings</t>
  </si>
  <si>
    <t>CHECKLIST FOR PAYMENT CERTIFICATES</t>
  </si>
  <si>
    <t>INFRASTRUCTURE DEVELOPMENT</t>
  </si>
  <si>
    <t>SUPPLIER:</t>
  </si>
  <si>
    <t>BAGAPHALA PROJECTS TRADING</t>
  </si>
  <si>
    <t>PROJECT DESCRIPTION:</t>
  </si>
  <si>
    <t>UPGRADING OF GRAVEL ROADS TO SURFACE STANDARDS IN WARD 4 AND 131, ORANGE FARM FOR TWO FINANCIAL YEARS</t>
  </si>
  <si>
    <t>CERTIFICATE NUMBER:</t>
  </si>
  <si>
    <t>AMOUNT (EXCL VAT):</t>
  </si>
  <si>
    <t>Item Checked</t>
  </si>
  <si>
    <t>Yes</t>
  </si>
  <si>
    <t>Comments</t>
  </si>
  <si>
    <t>Name and Address of Contractor / Consultant</t>
  </si>
  <si>
    <t>ü</t>
  </si>
  <si>
    <t>Contractor / Consultant VAT Number</t>
  </si>
  <si>
    <t>"Tax Invoice" clearly Indicated</t>
  </si>
  <si>
    <t>Statement attached</t>
  </si>
  <si>
    <t>Tax Invoice Number</t>
  </si>
  <si>
    <t>Tax Invoice Date</t>
  </si>
  <si>
    <t>Full Name &amp; Address of JRA</t>
  </si>
  <si>
    <t>JRA VAT Number (4370192314)</t>
  </si>
  <si>
    <t>Amount</t>
  </si>
  <si>
    <t>VAT Charged</t>
  </si>
  <si>
    <t>Evidence of Work</t>
  </si>
  <si>
    <t>Project Managers Report</t>
  </si>
  <si>
    <t>Consultant/Contractors Report</t>
  </si>
  <si>
    <t>BOQ (where necessary)</t>
  </si>
  <si>
    <t>Appointment Letter (where necessary)</t>
  </si>
  <si>
    <t>Vote Number</t>
  </si>
  <si>
    <t>Current invoice is within the contract value</t>
  </si>
  <si>
    <t>Signed by Project Manager</t>
  </si>
  <si>
    <t>SIGNATURE</t>
  </si>
  <si>
    <t>DATE</t>
  </si>
  <si>
    <t>Signed by Ops Manager</t>
  </si>
  <si>
    <t>RECONCILIATION OF CONTRACTOR PAYMENTS</t>
  </si>
  <si>
    <t>Contract No. :</t>
  </si>
  <si>
    <t>JRA/20/133B</t>
  </si>
  <si>
    <t xml:space="preserve">Project Name : </t>
  </si>
  <si>
    <t>Upgrading Of Gravel Roads To Surface Standards Inclusive of Associated Stormwater  In Ward 4 and Ward 131 in Orange Farm Phase 3B For 2020/21 and 2021/22 Financial Years</t>
  </si>
  <si>
    <t xml:space="preserve">Contractor : </t>
  </si>
  <si>
    <t>BAGAPHALA PROJECTS TRADING CC</t>
  </si>
  <si>
    <t xml:space="preserve">Appointment Value : </t>
  </si>
  <si>
    <t>Cert. No.</t>
  </si>
  <si>
    <t>Month / Date</t>
  </si>
  <si>
    <t>Invoice
No.</t>
  </si>
  <si>
    <t>Certificate
Amount
(Excl VAT)</t>
  </si>
  <si>
    <t>Retention
(Excl VAT)</t>
  </si>
  <si>
    <t>Total
(Excl VAT)</t>
  </si>
  <si>
    <t>Cumulative
Certificate
(Excl VAT)</t>
  </si>
  <si>
    <t>Cumulative
Retention
(Excl VAT)</t>
  </si>
  <si>
    <t>Cumulative
Total
(Excl VAT)</t>
  </si>
  <si>
    <t>INAJRA00001</t>
  </si>
  <si>
    <t>INAJRA00002</t>
  </si>
  <si>
    <t>INAJRA00003</t>
  </si>
  <si>
    <t>INAJRA00004</t>
  </si>
  <si>
    <t>INAJRA00005</t>
  </si>
  <si>
    <t>Totals</t>
  </si>
  <si>
    <t>BALANCE (OVER(-)/ UNDER(+) APPOINTMENT VALUE)</t>
  </si>
  <si>
    <t xml:space="preserve">         JOHANNESBURG ROADS AGENCY</t>
  </si>
  <si>
    <t xml:space="preserve">                          INFRASTRUCTURE DEVELOPMENT 2021/2022 FINANCIAL YEAR</t>
  </si>
  <si>
    <t>Payment Certificate</t>
  </si>
  <si>
    <t xml:space="preserve">Contract no:  </t>
  </si>
  <si>
    <t xml:space="preserve">Payment Cert.no:  </t>
  </si>
  <si>
    <t xml:space="preserve">Contractor:  </t>
  </si>
  <si>
    <t xml:space="preserve">Description of work:  </t>
  </si>
  <si>
    <t xml:space="preserve">Upgrading Of Gravel Roads To Surface Standards Inclusive of Associated Stormwater </t>
  </si>
  <si>
    <t xml:space="preserve">  Date:   </t>
  </si>
  <si>
    <t xml:space="preserve">     Company Reg. No.: 2000/028993/07</t>
  </si>
  <si>
    <t xml:space="preserve"> C a p i t a l  B u d g e t  A l l o c a t i o n </t>
  </si>
  <si>
    <t>Item No</t>
  </si>
  <si>
    <t>Description</t>
  </si>
  <si>
    <t>Description on budget: Previous Financial Year (Excld VAT)</t>
  </si>
  <si>
    <t>Description on budget: Current Financial Year (Excld VAT)</t>
  </si>
  <si>
    <t xml:space="preserve">Total  </t>
  </si>
  <si>
    <t xml:space="preserve"> V a l u e    o f    t h i s    c o n t r a c t</t>
  </si>
  <si>
    <t>Value of assignment in previous financial year (Excld VAT)</t>
  </si>
  <si>
    <t xml:space="preserve">Value of appointment in current financial year (Excld VAT)                                                                                               </t>
  </si>
  <si>
    <t xml:space="preserve"> V a l u e    o f    t h i s    C e r t i f i c a t e</t>
  </si>
  <si>
    <t>% Complete</t>
  </si>
  <si>
    <t>Value of Work Completed</t>
  </si>
  <si>
    <t>Escalation</t>
  </si>
  <si>
    <t xml:space="preserve">Sub total  </t>
  </si>
  <si>
    <t>Retention Limit</t>
  </si>
  <si>
    <t>of Contract value Excl VAT</t>
  </si>
  <si>
    <t xml:space="preserve">Discount   </t>
  </si>
  <si>
    <t xml:space="preserve"> D e d u c t i o n s</t>
  </si>
  <si>
    <t xml:space="preserve">Penalties   </t>
  </si>
  <si>
    <t>Details</t>
  </si>
  <si>
    <t>Cumulative Retention Amount</t>
  </si>
  <si>
    <t>Previous Certificate Cumulative Amount</t>
  </si>
  <si>
    <t>This Certtificate Amount</t>
  </si>
  <si>
    <t xml:space="preserve">Less Retention   </t>
  </si>
  <si>
    <t xml:space="preserve">80% Materials on site  </t>
  </si>
  <si>
    <t>Retention @</t>
  </si>
  <si>
    <t xml:space="preserve"> VAT</t>
  </si>
  <si>
    <t>Less previous payments (VAT excluded)</t>
  </si>
  <si>
    <t>Total</t>
  </si>
  <si>
    <t xml:space="preserve">Value of work: Subtotal  </t>
  </si>
  <si>
    <t xml:space="preserve">Plus 15% VAT  </t>
  </si>
  <si>
    <t xml:space="preserve"> A l l o c a t i o n s</t>
  </si>
  <si>
    <t xml:space="preserve"> Amount due ( This certificate)  </t>
  </si>
  <si>
    <t>Allocations</t>
  </si>
  <si>
    <t>Job or Vote Numbers</t>
  </si>
  <si>
    <t>Contractor</t>
  </si>
  <si>
    <t>31082022.24100.315</t>
  </si>
  <si>
    <t>Retention</t>
  </si>
  <si>
    <t>Recommended :</t>
  </si>
  <si>
    <t>JRA PROJECT MANAGER</t>
  </si>
  <si>
    <t>I hereby certify that this account is in order,that the goods or services have been supplied, or that the</t>
  </si>
  <si>
    <t xml:space="preserve">work had been carried out in an efficient manner,that the price is fair and reasonable and in accordance </t>
  </si>
  <si>
    <t>with the contract and is within the limits of the approved project budget for the current financial year.</t>
  </si>
  <si>
    <t>Authorized</t>
  </si>
  <si>
    <t xml:space="preserve">OPERATIONAL MANAGER </t>
  </si>
  <si>
    <t>Winstone Masango</t>
  </si>
  <si>
    <t>Metsweding Consulting Engineers</t>
  </si>
  <si>
    <t>Consultant                Signature                      Date</t>
  </si>
  <si>
    <t xml:space="preserve">Approved  </t>
  </si>
  <si>
    <t>:</t>
  </si>
  <si>
    <t>for Payment</t>
  </si>
  <si>
    <t>JRA : FINANCE</t>
  </si>
  <si>
    <t xml:space="preserve"> H i s t o r y</t>
  </si>
  <si>
    <t>Date</t>
  </si>
  <si>
    <t>Certificate  No</t>
  </si>
  <si>
    <t>Value of work</t>
  </si>
  <si>
    <t>VAT on Cert</t>
  </si>
  <si>
    <t>Certificate Total</t>
  </si>
  <si>
    <t>5</t>
  </si>
  <si>
    <t>Previous Certificates: Current Financial Year</t>
  </si>
  <si>
    <t>Previous Certificates: Previous Financial Years</t>
  </si>
  <si>
    <t>Certificate Totals</t>
  </si>
  <si>
    <t>Cumulative Retention</t>
  </si>
  <si>
    <t xml:space="preserve">Job Totals </t>
  </si>
  <si>
    <t>JOHANNESBURG ROADS AGENCY (PTY) LTD</t>
  </si>
  <si>
    <t>REGISTRATION NUMBER 2000/028993/07</t>
  </si>
  <si>
    <t>SUNDRY PAYMENT REQUEST</t>
  </si>
  <si>
    <t>DESIGNATION</t>
  </si>
  <si>
    <t>NAME</t>
  </si>
  <si>
    <t>COMMENTS</t>
  </si>
  <si>
    <t>RECOMMENDED : PROJECT MANAGER</t>
  </si>
  <si>
    <t>S MAKATU</t>
  </si>
  <si>
    <t>CAPTURED ON PSFT</t>
  </si>
  <si>
    <t>MANAGER : FINANCE</t>
  </si>
  <si>
    <t>T NGOBENI</t>
  </si>
  <si>
    <t>DETAIL</t>
  </si>
  <si>
    <t>JOB NUMBER</t>
  </si>
  <si>
    <t>AMOUNT</t>
  </si>
  <si>
    <t>R</t>
  </si>
  <si>
    <t>AMOUNT PAYABLE TO CONTRACTOR</t>
  </si>
  <si>
    <t>Bagaphala Projects Trading CC</t>
  </si>
  <si>
    <t>Retention on this Certificate</t>
  </si>
  <si>
    <t>Total of this Certificate</t>
  </si>
  <si>
    <t>DESCRIPTION OF PROJECT</t>
  </si>
  <si>
    <t xml:space="preserve"> In Ward 4 and Ward 131 in Orange Farm Phase 3B For 2020/21 and 2021/22 Financial Years</t>
  </si>
  <si>
    <t>RECOMMENDED BY</t>
  </si>
  <si>
    <t>AUTHORISED BY</t>
  </si>
  <si>
    <t>ACCOUNTANT</t>
  </si>
  <si>
    <t>OPS MANAGER : INFRASTRUCTURE DEVELOPMENT</t>
  </si>
  <si>
    <t>HEAD : INFRASTRUCTURE DEVELOPMENT</t>
  </si>
  <si>
    <t>A/CFO : FINANCE</t>
  </si>
  <si>
    <t>CHIEF EXECUTIVE OFFICER</t>
  </si>
  <si>
    <t>Managing Director</t>
  </si>
  <si>
    <t xml:space="preserve">J WHITE </t>
  </si>
  <si>
    <t xml:space="preserve"> S GENU</t>
  </si>
  <si>
    <t>H NDIWENI</t>
  </si>
  <si>
    <t>RS MONAKEDI</t>
  </si>
  <si>
    <t>BUDGET PROVISION:                                   OPS MANAGER : CORPORATE FINANCE</t>
  </si>
  <si>
    <t>VAT NO: 4840262564</t>
  </si>
  <si>
    <t>Plot 143 Tulip Road, Mnandi, Centurion</t>
  </si>
  <si>
    <t>Tel:        012 - 111 1974</t>
  </si>
  <si>
    <t>Mobile Fax : 086 692 8746</t>
  </si>
  <si>
    <t>Mobile:  0824770223</t>
  </si>
  <si>
    <t>e-mail:  maduker@bagaphala.co.za</t>
  </si>
  <si>
    <t>Date:</t>
  </si>
  <si>
    <t xml:space="preserve">Our Ref: </t>
  </si>
  <si>
    <t>Your Ref:</t>
  </si>
  <si>
    <t xml:space="preserve">STATEMENT OF PAYMENTS </t>
  </si>
  <si>
    <t>Project name</t>
  </si>
  <si>
    <t xml:space="preserve">UPGRADING OF GRAVEL ROADS TO SURFACE STANDARDS INCLUSIVE OF ASSOCIATED STORMWATER IN ORANGE FARM </t>
  </si>
  <si>
    <t>WARD 4 AND WARD 131 PHASE 3B</t>
  </si>
  <si>
    <t>Invoice Date</t>
  </si>
  <si>
    <t>Paid Date</t>
  </si>
  <si>
    <t>Age (days)</t>
  </si>
  <si>
    <t>Invoice Number</t>
  </si>
  <si>
    <t>Invoice Value (Including VAT)</t>
  </si>
  <si>
    <t>Paid Value (Including VAT)</t>
  </si>
  <si>
    <t>Balance Owing (Including VAT)</t>
  </si>
  <si>
    <t>Paid</t>
  </si>
  <si>
    <t>Not paid</t>
  </si>
  <si>
    <t xml:space="preserve">Total </t>
  </si>
  <si>
    <t>Johannesburg Road Agency</t>
  </si>
  <si>
    <t>Materials on Site</t>
  </si>
  <si>
    <t>CERTIFICATE NO:</t>
  </si>
  <si>
    <t>DATE:</t>
  </si>
  <si>
    <t>CONTRACT NO:</t>
  </si>
  <si>
    <t>CONTRACT:</t>
  </si>
  <si>
    <t>Upgrading Of Gravel Roads To Surface Standards Inclusive of Associated Stormwater Ward 4 and Ward 131 Phase 3B</t>
  </si>
  <si>
    <t>TOTAL MATERIAL ONSITE</t>
  </si>
  <si>
    <t>CURRENT</t>
  </si>
  <si>
    <t>PREVIOUS - USED</t>
  </si>
  <si>
    <t>Item number</t>
  </si>
  <si>
    <t>Quanity</t>
  </si>
  <si>
    <t>Value</t>
  </si>
  <si>
    <t>1</t>
  </si>
  <si>
    <t>Bagaphala Projects Trading cc -450mm Dia IJ Class Class 100D per meter</t>
  </si>
  <si>
    <t>2</t>
  </si>
  <si>
    <t>Bagaphala Projects Trading cc -600mm Dia IJ Class Class 100D per meter</t>
  </si>
  <si>
    <t>3</t>
  </si>
  <si>
    <t>Bagaphala Projects Trading cc -525mm Dia IJ Class Class 100D per meter</t>
  </si>
  <si>
    <t>4</t>
  </si>
  <si>
    <t>Bagaphala Projects Trading cc -675mm Dia IJ Class Class 100D per meter</t>
  </si>
  <si>
    <t>Bagaphala Projects Trading cc -Ker001 Kerb 1000mm</t>
  </si>
  <si>
    <t>6</t>
  </si>
  <si>
    <t>Bagaphala Projects Trading cc -Ker001 Kerb 330mm</t>
  </si>
  <si>
    <t>7</t>
  </si>
  <si>
    <t>Bagaphala Projects Trading cc -G5 Material</t>
  </si>
  <si>
    <t>8</t>
  </si>
  <si>
    <t>Bagaphala Projects Trading cc -G2 Material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</si>
  <si>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</si>
  <si>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</si>
  <si>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</si>
  <si>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</si>
  <si>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</si>
  <si>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</si>
  <si>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</si>
  <si>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</si>
  <si>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</si>
  <si>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</si>
  <si>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</si>
  <si>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</si>
  <si>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</si>
  <si>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</si>
  <si>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</si>
  <si>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</si>
  <si>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</si>
  <si>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</si>
  <si>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</si>
  <si>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</si>
  <si>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</si>
  <si>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</si>
  <si>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</si>
  <si>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</si>
  <si>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</si>
  <si>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</si>
  <si>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</si>
  <si>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</si>
  <si>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</si>
  <si>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</si>
  <si>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</si>
  <si>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</si>
  <si>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</si>
  <si>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</si>
  <si>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</si>
  <si>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</si>
  <si>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</si>
  <si>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</si>
  <si>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 xml:space="preserve">TOTAL VALUE OF MATERIALS ON SITE </t>
  </si>
  <si>
    <t>INAJRA00006</t>
  </si>
  <si>
    <t>INAJRA00007</t>
  </si>
  <si>
    <t>INAJRA00008</t>
  </si>
  <si>
    <t>INAJRA00009</t>
  </si>
  <si>
    <t>INAJRA00010</t>
  </si>
  <si>
    <t>Contract No. JRA/22/21</t>
  </si>
  <si>
    <t>SUMMARY OF BILL OF QUANTITIES</t>
  </si>
  <si>
    <t>Equipment</t>
  </si>
  <si>
    <t>Construction of Road Paving and Stormwater in Rapotokwane</t>
  </si>
  <si>
    <t>Contract No. 9/3/1/340</t>
  </si>
  <si>
    <t>Prov. Sum</t>
  </si>
  <si>
    <t>(a) LDV (1 tonne)</t>
  </si>
  <si>
    <t>OPEN DRAINS</t>
  </si>
  <si>
    <t>2102</t>
  </si>
  <si>
    <t>21.01</t>
  </si>
  <si>
    <t>Excavation for open drains</t>
  </si>
  <si>
    <t>(i) 0 m up to 1,5 m</t>
  </si>
  <si>
    <t>(ii) Exceeding 1,5 m and up to 3,0 m</t>
  </si>
  <si>
    <t>(b) Extra over subitem 21.01(a) for excavation in hard material irrespective of depth</t>
  </si>
  <si>
    <t>21.02</t>
  </si>
  <si>
    <t>21.12</t>
  </si>
  <si>
    <t>21.14</t>
  </si>
  <si>
    <t>Excavation for the clearing of existing drainage system:</t>
  </si>
  <si>
    <t>(b) Culverts barrels</t>
  </si>
  <si>
    <t>(c) Concrete side drains</t>
  </si>
  <si>
    <t>(a) Inlet and outlet structures</t>
  </si>
  <si>
    <t>22.01</t>
  </si>
  <si>
    <t>22.02</t>
  </si>
  <si>
    <t>22.03</t>
  </si>
  <si>
    <t>3100</t>
  </si>
  <si>
    <t>BORROW MATERIALS</t>
  </si>
  <si>
    <t>31.01</t>
  </si>
  <si>
    <t>Excess overburden</t>
  </si>
  <si>
    <t>(a) From identified borrow pit</t>
  </si>
  <si>
    <t>B31.01</t>
  </si>
  <si>
    <t>B31.03</t>
  </si>
  <si>
    <t>Reinstatement of borrow pit</t>
  </si>
  <si>
    <t>Testing of borrow pit</t>
  </si>
  <si>
    <t>15.01</t>
  </si>
  <si>
    <t>15.02</t>
  </si>
  <si>
    <t>Temporary traffic-control facilities:</t>
  </si>
  <si>
    <t>15.03</t>
  </si>
  <si>
    <t>15.05</t>
  </si>
  <si>
    <t>15.06</t>
  </si>
  <si>
    <t>15.07</t>
  </si>
  <si>
    <t>15.08</t>
  </si>
  <si>
    <t>17.02</t>
  </si>
  <si>
    <t>17.03</t>
  </si>
  <si>
    <t>17.04</t>
  </si>
  <si>
    <t>17.05</t>
  </si>
  <si>
    <t>Removal and grubbing of large trees and tree stumps:</t>
  </si>
  <si>
    <t>hr</t>
  </si>
  <si>
    <t>22.07</t>
  </si>
  <si>
    <t>21.15</t>
  </si>
  <si>
    <t xml:space="preserve">  </t>
  </si>
  <si>
    <t>21.18</t>
  </si>
  <si>
    <t>B81.02</t>
  </si>
  <si>
    <t>(a) Other special tests requested by the engineer</t>
  </si>
  <si>
    <t>73.01</t>
  </si>
  <si>
    <t>SECTION 7300</t>
  </si>
  <si>
    <t xml:space="preserve">   </t>
  </si>
  <si>
    <t>73.03</t>
  </si>
  <si>
    <t>5900</t>
  </si>
  <si>
    <t>FINISHING THE ROAD AND ROAD RESERVE AND TREATING OLD ROADS</t>
  </si>
  <si>
    <t>59.01</t>
  </si>
  <si>
    <t>Finishing the road and road reserve:</t>
  </si>
  <si>
    <t>(b) Single carriageway road</t>
  </si>
  <si>
    <t>57.01</t>
  </si>
  <si>
    <t>(i) 100 mm wide</t>
  </si>
  <si>
    <t>(ii) 150 mm wide</t>
  </si>
  <si>
    <t>56.01</t>
  </si>
  <si>
    <t>(iii) Area exceeding 10 m²</t>
  </si>
  <si>
    <t>56.02</t>
  </si>
  <si>
    <t>(a) Background of retro-reflective material:</t>
  </si>
  <si>
    <t>Extra over item 56.01 for using:</t>
  </si>
  <si>
    <t>(b) Lettering, symbol, numbers, arrows, emblems and boarders of retro-reflective material:</t>
  </si>
  <si>
    <t>(ii) Class II</t>
  </si>
  <si>
    <t>56.03</t>
  </si>
  <si>
    <t>(a) Steel tubing poles shall be D shaped 76mm OD x 2mm wall thickness galvanised treated poles, capped with 12mm hole drilled 300mm from bottom for a safety pin (300mm long).</t>
  </si>
  <si>
    <t>(i) 76mm dia.</t>
  </si>
  <si>
    <t>ton</t>
  </si>
  <si>
    <t>(b) Timber 75mm round poles</t>
  </si>
  <si>
    <t>56.05</t>
  </si>
  <si>
    <t>56.06</t>
  </si>
  <si>
    <t>56.07</t>
  </si>
  <si>
    <t>51.01</t>
  </si>
  <si>
    <t>35.01</t>
  </si>
  <si>
    <t>(i) 150mm thickness</t>
  </si>
  <si>
    <t>(a) Base layer:</t>
  </si>
  <si>
    <t>35.02</t>
  </si>
  <si>
    <t>35.04</t>
  </si>
  <si>
    <t>35.13</t>
  </si>
  <si>
    <t>(c) Gravel subbase (unstabilised gravel) compacted to:</t>
  </si>
  <si>
    <t>33.01</t>
  </si>
  <si>
    <t>33.03</t>
  </si>
  <si>
    <t>(a) In layer thicknesses of 200mm and less:</t>
  </si>
  <si>
    <t xml:space="preserve">(i) Stable material
</t>
  </si>
  <si>
    <t>(ii) Unstable material</t>
  </si>
  <si>
    <t>33.11</t>
  </si>
  <si>
    <t>33.12</t>
  </si>
  <si>
    <t>33.18</t>
  </si>
  <si>
    <t>Extra over items 33.11 and 33.12 for preparing and/or treating the roadbed and compacting material in restricted areas:</t>
  </si>
  <si>
    <t>33.10</t>
  </si>
  <si>
    <t>Roadbed preparation and compacton of materials</t>
  </si>
  <si>
    <t>SECTION 5400</t>
  </si>
  <si>
    <t>5400</t>
  </si>
  <si>
    <t>GUARDRAILS</t>
  </si>
  <si>
    <t>54.01</t>
  </si>
  <si>
    <t>Guardrails on timber posts</t>
  </si>
  <si>
    <t>(a) Galvanized</t>
  </si>
  <si>
    <t>54.03</t>
  </si>
  <si>
    <t>Extra over items 54.01 for horizontally curved guardrails factory bent to a radius of less than 45m</t>
  </si>
  <si>
    <t>End treatments</t>
  </si>
  <si>
    <t>d) End treatments in accordance with the drawings where</t>
  </si>
  <si>
    <t>single guardrail sections are used</t>
  </si>
  <si>
    <t>Additional guardrail posts</t>
  </si>
  <si>
    <t>a) Timber</t>
  </si>
  <si>
    <t>35.08</t>
  </si>
  <si>
    <t>Brickwork</t>
  </si>
  <si>
    <t>(b) 230 mm thick</t>
  </si>
  <si>
    <t xml:space="preserve">Sealed joints in concrete linings of open drains </t>
  </si>
  <si>
    <t>(ii)Compacted to 93% Modified AASHTO Density.</t>
  </si>
  <si>
    <t>a) Compaction to 93% of modified AASHTO density</t>
  </si>
  <si>
    <t>21.05</t>
  </si>
  <si>
    <t>Banks and dykes</t>
  </si>
  <si>
    <r>
      <t xml:space="preserve"> Area of the Berm  = 1,095m</t>
    </r>
    <r>
      <rPr>
        <vertAlign val="superscript"/>
        <sz val="8.5"/>
        <color rgb="FF000000"/>
        <rFont val="Arial"/>
        <family val="2"/>
      </rPr>
      <t>2</t>
    </r>
    <r>
      <rPr>
        <sz val="8.5"/>
        <color indexed="8"/>
        <rFont val="Arial"/>
        <family val="2"/>
      </rPr>
      <t xml:space="preserve"> for 700m</t>
    </r>
  </si>
  <si>
    <t>21.09</t>
  </si>
  <si>
    <t>Polyethylene sheeting,0.15mm thick, or similar approved material, for lining subsoil drainage systems</t>
  </si>
  <si>
    <t>21.03</t>
  </si>
  <si>
    <t>Excavation for subsoil drainage systems:</t>
  </si>
  <si>
    <t>(i) 0m up to 1,5m</t>
  </si>
  <si>
    <t>B21.06</t>
  </si>
  <si>
    <t>Natural permeable material in subsoil drainage systems (Gravel)</t>
  </si>
  <si>
    <t>(a) Gravel obtained from approved sources on the site (3mm uniformly graded gravel)</t>
  </si>
  <si>
    <t>v-drain = 1530m, trapezoidal drain = 510m, swale = 140m</t>
  </si>
  <si>
    <r>
      <t>m</t>
    </r>
    <r>
      <rPr>
        <vertAlign val="superscript"/>
        <sz val="9"/>
        <color rgb="FF000000"/>
        <rFont val="Arial"/>
        <family val="2"/>
      </rPr>
      <t>2</t>
    </r>
  </si>
  <si>
    <t>(d) Formwork of concrete under subitem 22,07 (c) above</t>
  </si>
  <si>
    <r>
      <t>m</t>
    </r>
    <r>
      <rPr>
        <vertAlign val="superscript"/>
        <sz val="12"/>
        <rFont val="Arial"/>
        <family val="2"/>
      </rPr>
      <t>2</t>
    </r>
  </si>
  <si>
    <t>23,01</t>
  </si>
  <si>
    <t>Concrete kerbing:</t>
  </si>
  <si>
    <t>(a) Precast kerbing to SABS 927 Figure 8c</t>
  </si>
  <si>
    <t>street 2a</t>
  </si>
  <si>
    <t>(b)Precast kerbing to SABS 927 Figure 10 Edge Beam</t>
  </si>
  <si>
    <t>Bottom widths are 605mm and 633mm</t>
  </si>
  <si>
    <t>street 2b</t>
  </si>
  <si>
    <t>( c) 345mm thick</t>
  </si>
  <si>
    <t>Assumed 100m x 100m x 0,5m borrow pit</t>
  </si>
  <si>
    <t>51.05</t>
  </si>
  <si>
    <t>Concrete edge beams</t>
  </si>
  <si>
    <t>(a) Class 20/19</t>
  </si>
  <si>
    <t>ITEM</t>
  </si>
  <si>
    <t xml:space="preserve">DESCRIPTION </t>
  </si>
  <si>
    <t xml:space="preserve">UNIT </t>
  </si>
  <si>
    <t xml:space="preserve">QTY </t>
  </si>
  <si>
    <t>RATE</t>
  </si>
  <si>
    <t xml:space="preserve">AMOUNT </t>
  </si>
  <si>
    <t>Total Carried to Summary</t>
  </si>
  <si>
    <t>(a) Cast in situ concrete lining ( 20/19 Mpa )</t>
  </si>
  <si>
    <t xml:space="preserve">(b) Class U2 surface finish to cast in situ concrete </t>
  </si>
  <si>
    <t xml:space="preserve">(c) Welded steel fabric (REF395) </t>
  </si>
  <si>
    <t>Length = 2900m, width = 7m, average thickness = 200mm</t>
  </si>
  <si>
    <t>Street 5a</t>
  </si>
  <si>
    <t>street 5b</t>
  </si>
  <si>
    <t>street 1</t>
  </si>
  <si>
    <t>fill</t>
  </si>
  <si>
    <t>cut</t>
  </si>
  <si>
    <t>street2a</t>
  </si>
  <si>
    <t>street 3</t>
  </si>
  <si>
    <t>street 4</t>
  </si>
  <si>
    <t>Total fill</t>
  </si>
  <si>
    <t>Total cut</t>
  </si>
  <si>
    <t>33/16,01</t>
  </si>
  <si>
    <t>33/16,02</t>
  </si>
  <si>
    <t>Overhaul on material hauled in excess of a free-haul distanceof 0,5km, for haul up to or through 1,0km (restricted overhaul)</t>
  </si>
  <si>
    <t>Overhaul on material hauled in excess of 1,0km (ordinary overhaul)</t>
  </si>
  <si>
    <t>Assumed 2km haul distance</t>
  </si>
  <si>
    <t>Pavement layers constructed from gravel taken from cut or borrow, including free-haul up to 1,0km</t>
  </si>
  <si>
    <t>(d) Gravel subbase ( chemically stabilized) compacted to:</t>
  </si>
  <si>
    <t>(i) 95% of modified AASHTO density (150mm C4 Subbase material): street 3 and 5</t>
  </si>
  <si>
    <t>(ii) 97% of modified AASHTO density (150mm G5 Subbase material): street 1,2 and 4 (commercially sourced material including all halus).</t>
  </si>
  <si>
    <t>Chemical stabilization (150mm layer) extra over unstabilized compacted layers (C4 subbase )</t>
  </si>
  <si>
    <t>PRIME COAT</t>
  </si>
  <si>
    <t>Prime coat</t>
  </si>
  <si>
    <t>(c) MC-30 cut-back bitumen</t>
  </si>
  <si>
    <t>l</t>
  </si>
  <si>
    <t>Double seals using:</t>
  </si>
  <si>
    <t>Bituminous binder variations:</t>
  </si>
  <si>
    <t>Aggregate variations</t>
  </si>
  <si>
    <t>(a) 19,0mm aggregate</t>
  </si>
  <si>
    <t>( c) 9,5mm aggregate</t>
  </si>
  <si>
    <t>Application of fogspray consisting of:</t>
  </si>
  <si>
    <t xml:space="preserve">(a) 60% spray grade emulsion </t>
  </si>
  <si>
    <t>DOUBLE SEALS</t>
  </si>
  <si>
    <t>(ii) Area exceeding 2m² but not 10m²</t>
  </si>
  <si>
    <t>(iii) 300mm wide</t>
  </si>
  <si>
    <t>(b) Yellow lines (broken or uinbroken)</t>
  </si>
  <si>
    <t>(i) 150mm wide</t>
  </si>
  <si>
    <t>(iii) 200mm wide</t>
  </si>
  <si>
    <t>27 stops lettering</t>
  </si>
  <si>
    <t>Straight ahead -RM 8,3/WM7,3</t>
  </si>
  <si>
    <t>Straigh ahead with turn - rm8,4/wm7,4</t>
  </si>
  <si>
    <t>WHITE</t>
  </si>
  <si>
    <t>YELLOW</t>
  </si>
  <si>
    <t>Reflective plates</t>
  </si>
  <si>
    <t>Extra over items 54,01 and 54,02 for drilling and blasting holes for guardrail posts</t>
  </si>
  <si>
    <t>(e) Yellow lettering and symbols</t>
  </si>
  <si>
    <t>On the new road and excisting island</t>
  </si>
  <si>
    <t>1300</t>
  </si>
  <si>
    <t>1400</t>
  </si>
  <si>
    <t>(f) Transverse lines, painted island and arrestor  bed markings (any colour)</t>
  </si>
  <si>
    <t>SECTION 1300</t>
  </si>
  <si>
    <t>CONTRACTOR'S ESTABLISHMENT ON SITE AND GENERAL OBLIGATIONS</t>
  </si>
  <si>
    <t>13.01</t>
  </si>
  <si>
    <t>Contractor's general obligations</t>
  </si>
  <si>
    <t>(a) Fixed obligations</t>
  </si>
  <si>
    <t>L/sum</t>
  </si>
  <si>
    <t>(b) Value-related obligations</t>
  </si>
  <si>
    <t>(c) Time-related obligations</t>
  </si>
  <si>
    <t>Month</t>
  </si>
  <si>
    <t>The Contractor's General obligations: Items (a) to (c ) as a percentage of Tender Sum  as stated below:</t>
  </si>
  <si>
    <t>B13.02</t>
  </si>
  <si>
    <t>The Contractor's general obligations: Items (a) to c)</t>
  </si>
  <si>
    <t>(d) Health and Safety Obligations</t>
  </si>
  <si>
    <t>Monthly</t>
  </si>
  <si>
    <t xml:space="preserve">(e ) Environmental Management Obligations </t>
  </si>
  <si>
    <t>(f) Contractor's full time Health and Safety Officer</t>
  </si>
  <si>
    <t>(g) Contractor's Environmental Control Officer</t>
  </si>
  <si>
    <t>(h) Provision of security services</t>
  </si>
  <si>
    <t xml:space="preserve"> Total Carried Forward To Summary</t>
  </si>
  <si>
    <t>NOTE: The combined total tendered for subitems (a), (b) and (c ) should not exceed 15% of the Tender Sum (Excl. CPA, contigencies and VAT)</t>
  </si>
  <si>
    <t>SECTION 1400</t>
  </si>
  <si>
    <t>HOUSING, OFFICES AND LABORATORY FOR THE ENGINEER'S SITE PERSONNEL</t>
  </si>
  <si>
    <t>14,01</t>
  </si>
  <si>
    <t>Office and laboratory accommodation</t>
  </si>
  <si>
    <t>(a) Offices (interior floor space only)</t>
  </si>
  <si>
    <t>(e) Ablution units (flushable toilets, waterborne)</t>
  </si>
  <si>
    <t>14,02</t>
  </si>
  <si>
    <t>Office and laboratory furniture</t>
  </si>
  <si>
    <t>(a) Chairs</t>
  </si>
  <si>
    <t>(d) Desks, complete with drawers and locks</t>
  </si>
  <si>
    <t>(e) Drawing tables</t>
  </si>
  <si>
    <t>(f) Conference tables</t>
  </si>
  <si>
    <t>14,03</t>
  </si>
  <si>
    <t>Office and laboratory fittings Installations and equipment</t>
  </si>
  <si>
    <t>(a) Items measured by number</t>
  </si>
  <si>
    <t>(b) Prime-cost items and items paid for in a lump sum:</t>
  </si>
  <si>
    <t xml:space="preserve">(i) Provision of telephone service, including the cost of calls in connection with contract administration and telephone rental </t>
  </si>
  <si>
    <t>PC sum</t>
  </si>
  <si>
    <t>(ii) Handling costs and profit in respect of subsubitem 14.03(b)(1) above</t>
  </si>
  <si>
    <t>(c) Items measured by area</t>
  </si>
  <si>
    <t>14,04</t>
  </si>
  <si>
    <t>Car ports</t>
  </si>
  <si>
    <t>(a) Car ports, as specified, at offices and laboratory buildings</t>
  </si>
  <si>
    <t>14,08</t>
  </si>
  <si>
    <t>Services</t>
  </si>
  <si>
    <t>(a) Services at office and laboratories</t>
  </si>
  <si>
    <t>(1) Fixed costs</t>
  </si>
  <si>
    <t xml:space="preserve"> Total Carried Forward</t>
  </si>
  <si>
    <t>(i) 220/250 volt power points</t>
  </si>
  <si>
    <t>(ii) 400/231 volt 3-phase power points</t>
  </si>
  <si>
    <t>(iii) Double 80 watt fluorescent light fittings complete with ballast and tubes</t>
  </si>
  <si>
    <t>(iv) Double 55 watt fluorescent light fittings complete with ballast and tubes</t>
  </si>
  <si>
    <t>(v) Single incandescent light fittings complete with 100 watt globes</t>
  </si>
  <si>
    <t>(x) Fire extinguishers, 9,0 kg,all purpose dry powder type, complete,  mounted on wall with brackets</t>
  </si>
  <si>
    <t>(xi) Air conditioning units with 2,2 kW minimum capacity, mounted and with own power connection</t>
  </si>
  <si>
    <t>(xiv) General-purpose steel cupboards with shelves</t>
  </si>
  <si>
    <t>(xv) Steel filing cabinets with drawers</t>
  </si>
  <si>
    <t>SECTION 1200</t>
  </si>
  <si>
    <t>B12.01</t>
  </si>
  <si>
    <t>PROVISION OF STRUCTURED TRAINING</t>
  </si>
  <si>
    <t>CETA accredited training (As specified in the standard</t>
  </si>
  <si>
    <t>specifications)</t>
  </si>
  <si>
    <t>(a) Generic skills</t>
  </si>
  <si>
    <t xml:space="preserve">Prov.sum </t>
  </si>
  <si>
    <t>B12.02</t>
  </si>
  <si>
    <t>Excavation for existing services</t>
  </si>
  <si>
    <t>(i) 0m up to 2m</t>
  </si>
  <si>
    <t>B12.03</t>
  </si>
  <si>
    <t>Relocation and/or protection of existing services:</t>
  </si>
  <si>
    <t>(a) By the contractor</t>
  </si>
  <si>
    <t>Prov.sum</t>
  </si>
  <si>
    <t>(c) Handling cost in respect of B13.05 (b)</t>
  </si>
  <si>
    <t>B12.04</t>
  </si>
  <si>
    <t xml:space="preserve">(a) Remuneration for community liaison officer </t>
  </si>
  <si>
    <t>(b) Remuneration of PSC members</t>
  </si>
  <si>
    <t>B12.07</t>
  </si>
  <si>
    <t>Compensation to house and land owners</t>
  </si>
  <si>
    <t>B12.09</t>
  </si>
  <si>
    <t>Supply, transport to site and erect contract signboards</t>
  </si>
  <si>
    <t>a) As shown on the drawings</t>
  </si>
  <si>
    <t>Monthly site meetings</t>
  </si>
  <si>
    <t>TOTAL CARRIED FORWARD TO SUMMARY</t>
  </si>
  <si>
    <r>
      <t>m</t>
    </r>
    <r>
      <rPr>
        <vertAlign val="superscript"/>
        <sz val="9"/>
        <rFont val="Arial"/>
        <family val="2"/>
      </rPr>
      <t>3</t>
    </r>
  </si>
  <si>
    <t>(b) Extra over subitem 12.02(a) for excavation in hard material, irrespective of depth</t>
  </si>
  <si>
    <t>(b) By the service provider</t>
  </si>
  <si>
    <t>(c) Handling cost and profit in respect of sub-items B13.03(a) and (b)</t>
  </si>
  <si>
    <t>(a) Allow a Prime Cost Sum as compensation to owner/authority for royalties for land used for gravel borrowpits and relocated home owners</t>
  </si>
  <si>
    <t xml:space="preserve">(b) Handling costs and profit in respect of subitem B31.04(a) above </t>
  </si>
  <si>
    <t>Services for Community Liaison</t>
  </si>
  <si>
    <t>5km by-pass, kilometer pass twice a month, for 12 months</t>
  </si>
  <si>
    <t>Area to be upgraded</t>
  </si>
  <si>
    <t>(a) 19,0mm and 9,5mm aggregate  (Grade 1 aggregate - Bitumen pen grade 80/100 on both application)</t>
  </si>
  <si>
    <r>
      <t>m</t>
    </r>
    <r>
      <rPr>
        <vertAlign val="superscript"/>
        <sz val="9"/>
        <rFont val="Arial"/>
        <family val="2"/>
      </rPr>
      <t>2</t>
    </r>
  </si>
  <si>
    <t>(b) B8 road grade bitumen or 80/100 Penetration grade bitumen</t>
  </si>
  <si>
    <t>FINISHING THE ROAD AND ROAD RESERVE AND TREATING OLD    ROADS</t>
  </si>
  <si>
    <t>CONTINGENCY (5%)</t>
  </si>
  <si>
    <t>4100</t>
  </si>
  <si>
    <t>4500</t>
  </si>
  <si>
    <t>Contract No. 9/3/1/424</t>
  </si>
  <si>
    <t>SECTION 2100</t>
  </si>
  <si>
    <t>SECTION 4500</t>
  </si>
  <si>
    <t>xvi) Bookcases</t>
  </si>
  <si>
    <t>Provision of photostat facilities</t>
  </si>
  <si>
    <t>2) Running costs</t>
  </si>
  <si>
    <t>month</t>
  </si>
  <si>
    <t>14,10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</si>
</sst>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3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 &quot;R&quot;\ * #,##0.00_ ;_ &quot;R&quot;\ * \-#,##0.00_ ;_ &quot;R&quot;\ * &quot;-&quot;??_ ;_ @_ "/>
    <numFmt numFmtId="167" formatCode="_ * #,##0.00_ ;_ * \-#,##0.00_ ;_ * &quot;-&quot;??_ ;_ @_ "/>
    <numFmt numFmtId="168" formatCode="#\ ##0.00"/>
    <numFmt numFmtId="169" formatCode="#\ ##0.0"/>
    <numFmt numFmtId="170" formatCode="#,##0.00_ ;\-#,##0.00\ "/>
    <numFmt numFmtId="171" formatCode="_(&quot;R&quot;\ * #,##0.00_);_(&quot;R&quot;\ * \(#,##0.00\);_(&quot;R&quot;\ * &quot;-&quot;??_);_(@_)"/>
    <numFmt numFmtId="172" formatCode="[$-F800]dddd\,\ mmmm\ dd\,\ yyyy"/>
    <numFmt numFmtId="173" formatCode="#,##0.0"/>
    <numFmt numFmtId="174" formatCode="#,##0.000"/>
    <numFmt numFmtId="175" formatCode="#,##0.0_);\(#,##0.0\)"/>
    <numFmt numFmtId="176" formatCode="_(* #,##0.00_);_(* \(#,##0.00\)"/>
    <numFmt numFmtId="177" formatCode="&quot;R&quot;#,##0.00"/>
    <numFmt numFmtId="178" formatCode="&quot;R&quot;\ #,##0.00"/>
    <numFmt numFmtId="179" formatCode="[$-1C09]dd\ mmmm\ yyyy;@"/>
    <numFmt numFmtId="180" formatCode="General_)"/>
    <numFmt numFmtId="181" formatCode="dd\-mmm\-yy_)"/>
    <numFmt numFmtId="182" formatCode="&quot;R&quot;\ #,##0.00_);\(&quot;R&quot;\ #,##0.00\)"/>
    <numFmt numFmtId="183" formatCode="[$R-1C09]\ #,##0.00"/>
    <numFmt numFmtId="184" formatCode="0.0%"/>
    <numFmt numFmtId="185" formatCode="[$-409]d\-mmm\-yy;@"/>
    <numFmt numFmtId="186" formatCode="mm/dd/yy_)"/>
    <numFmt numFmtId="187" formatCode="_ [$R-1C09]\ * #,##0.00_ ;_ [$R-1C09]\ * \-#,##0.00_ ;_ [$R-1C09]\ * &quot;-&quot;??_ ;_ @_ "/>
    <numFmt numFmtId="188" formatCode="_-[$R-1C09]* #,##0.00_-;\-[$R-1C09]* #,##0.00_-;_-[$R-1C09]* &quot;-&quot;??_-;_-@_-"/>
    <numFmt numFmtId="189" formatCode="0.0"/>
    <numFmt numFmtId="190" formatCode="####\ ##0.0"/>
    <numFmt numFmtId="191" formatCode="#####\ ##0.0"/>
    <numFmt numFmtId="192" formatCode="#########\ ##0.0"/>
    <numFmt numFmtId="193" formatCode="##############\ ##0.0"/>
  </numFmts>
  <fonts count="11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color indexed="8"/>
      <name val="Calibri"/>
      <family val="2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0"/>
      <name val="Calibri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2"/>
      <name val="Arial MT"/>
    </font>
    <font>
      <sz val="10"/>
      <name val="Times New Roman"/>
      <family val="1"/>
    </font>
    <font>
      <i/>
      <u/>
      <sz val="10"/>
      <name val="Times New Roman"/>
      <family val="1"/>
    </font>
    <font>
      <sz val="8.5"/>
      <color indexed="8"/>
      <name val="Calibri"/>
      <family val="2"/>
    </font>
    <font>
      <sz val="8.5"/>
      <color indexed="8"/>
      <name val="Arial"/>
      <family val="2"/>
    </font>
    <font>
      <b/>
      <sz val="8.5"/>
      <color indexed="8"/>
      <name val="Arial"/>
      <family val="2"/>
    </font>
    <font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u/>
      <sz val="9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.5"/>
      <color indexed="8"/>
      <name val="Cambria"/>
      <family val="1"/>
      <scheme val="major"/>
    </font>
    <font>
      <sz val="8.5"/>
      <color theme="1"/>
      <name val="Cambria"/>
      <family val="1"/>
      <scheme val="major"/>
    </font>
    <font>
      <sz val="8.5"/>
      <color theme="1"/>
      <name val="Calibri"/>
      <family val="2"/>
      <scheme val="minor"/>
    </font>
    <font>
      <b/>
      <sz val="8.5"/>
      <color indexed="8"/>
      <name val="Cambria"/>
      <family val="1"/>
      <scheme val="major"/>
    </font>
    <font>
      <sz val="9"/>
      <color theme="1"/>
      <name val="Arial"/>
      <family val="2"/>
    </font>
    <font>
      <sz val="9"/>
      <color rgb="FFFF0000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1"/>
      <name val="Wingdings"/>
      <charset val="2"/>
    </font>
    <font>
      <u val="double"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24"/>
      <color indexed="50"/>
      <name val="Comic Sans MS"/>
      <family val="4"/>
    </font>
    <font>
      <b/>
      <sz val="12"/>
      <name val="Bodoni"/>
      <family val="1"/>
    </font>
    <font>
      <b/>
      <sz val="14"/>
      <name val="Arial"/>
      <family val="2"/>
    </font>
    <font>
      <b/>
      <sz val="28"/>
      <name val="Arial"/>
      <family val="2"/>
    </font>
    <font>
      <b/>
      <sz val="11"/>
      <name val="Arial"/>
      <family val="2"/>
    </font>
    <font>
      <b/>
      <sz val="32"/>
      <name val="Arial"/>
      <family val="2"/>
    </font>
    <font>
      <b/>
      <sz val="11"/>
      <color indexed="8"/>
      <name val="Arial"/>
      <family val="2"/>
    </font>
    <font>
      <sz val="7"/>
      <name val="Letter Gothic"/>
      <family val="3"/>
    </font>
    <font>
      <sz val="6"/>
      <name val="Arial"/>
      <family val="2"/>
    </font>
    <font>
      <b/>
      <sz val="14"/>
      <color indexed="81"/>
      <name val="Tahoma"/>
      <family val="2"/>
    </font>
    <font>
      <b/>
      <sz val="8"/>
      <color indexed="81"/>
      <name val="Tahoma"/>
      <family val="2"/>
    </font>
    <font>
      <b/>
      <sz val="10"/>
      <color indexed="81"/>
      <name val="Tahoma"/>
      <family val="2"/>
    </font>
    <font>
      <sz val="10"/>
      <color indexed="81"/>
      <name val="Tahoma"/>
      <family val="2"/>
    </font>
    <font>
      <sz val="8"/>
      <color indexed="81"/>
      <name val="Tahoma"/>
      <family val="2"/>
    </font>
    <font>
      <b/>
      <sz val="11"/>
      <color indexed="81"/>
      <name val="Tahoma"/>
      <family val="2"/>
    </font>
    <font>
      <b/>
      <sz val="8"/>
      <color indexed="9"/>
      <name val="Arial"/>
      <family val="2"/>
    </font>
    <font>
      <b/>
      <sz val="12"/>
      <name val="Arial MT"/>
    </font>
    <font>
      <b/>
      <sz val="11"/>
      <name val="Arial MT"/>
    </font>
    <font>
      <sz val="9"/>
      <name val="Arial MT"/>
    </font>
    <font>
      <sz val="12"/>
      <name val="Cambria"/>
      <family val="1"/>
    </font>
    <font>
      <sz val="11"/>
      <name val="Arial MT"/>
    </font>
    <font>
      <sz val="7"/>
      <name val="Arial"/>
      <family val="2"/>
    </font>
    <font>
      <b/>
      <sz val="10"/>
      <name val="Arial"/>
      <family val="2"/>
    </font>
    <font>
      <sz val="22"/>
      <name val="Arial"/>
      <family val="2"/>
    </font>
    <font>
      <b/>
      <sz val="10"/>
      <name val="Arial MT"/>
    </font>
    <font>
      <sz val="10"/>
      <name val="Arial MT"/>
    </font>
    <font>
      <b/>
      <sz val="7"/>
      <name val="Arial"/>
      <family val="2"/>
    </font>
    <font>
      <sz val="8"/>
      <name val="Arial MT"/>
    </font>
    <font>
      <sz val="11"/>
      <color indexed="8"/>
      <name val="Arial Narrow"/>
      <family val="2"/>
    </font>
    <font>
      <sz val="12"/>
      <color rgb="FFFF0000"/>
      <name val="Arial MT"/>
    </font>
    <font>
      <b/>
      <sz val="16"/>
      <name val="Arial"/>
      <family val="2"/>
    </font>
    <font>
      <b/>
      <sz val="22"/>
      <name val="Arial"/>
      <family val="2"/>
    </font>
    <font>
      <sz val="14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6"/>
      <name val="Arial"/>
      <family val="2"/>
    </font>
    <font>
      <sz val="12"/>
      <color indexed="8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8"/>
      <name val="Calibri"/>
      <family val="2"/>
      <scheme val="minor"/>
    </font>
    <font>
      <sz val="12"/>
      <color rgb="FFFF0000"/>
      <name val="Arial"/>
      <family val="2"/>
    </font>
    <font>
      <sz val="12"/>
      <color theme="1"/>
      <name val="Arial"/>
      <family val="2"/>
    </font>
    <font>
      <sz val="12"/>
      <color indexed="8"/>
      <name val="Calibri"/>
      <family val="2"/>
    </font>
    <font>
      <sz val="12"/>
      <color theme="1"/>
      <name val="Calibri"/>
      <family val="2"/>
      <scheme val="minor"/>
    </font>
    <font>
      <b/>
      <sz val="12"/>
      <name val="Cambria"/>
      <family val="1"/>
      <scheme val="major"/>
    </font>
    <font>
      <vertAlign val="superscript"/>
      <sz val="8.5"/>
      <color rgb="FF000000"/>
      <name val="Arial"/>
      <family val="2"/>
    </font>
    <font>
      <vertAlign val="superscript"/>
      <sz val="9"/>
      <color rgb="FF000000"/>
      <name val="Arial"/>
      <family val="2"/>
    </font>
    <font>
      <vertAlign val="superscript"/>
      <sz val="12"/>
      <name val="Arial"/>
      <family val="2"/>
    </font>
    <font>
      <sz val="9"/>
      <color theme="1"/>
      <name val="Calibri"/>
      <family val="2"/>
      <scheme val="minor"/>
    </font>
    <font>
      <sz val="9"/>
      <color indexed="10"/>
      <name val="Arial"/>
      <family val="2"/>
    </font>
    <font>
      <b/>
      <sz val="9"/>
      <color rgb="FFFF0000"/>
      <name val="Arial"/>
      <family val="2"/>
    </font>
    <font>
      <sz val="9"/>
      <color indexed="12"/>
      <name val="Arial"/>
      <family val="2"/>
    </font>
    <font>
      <vertAlign val="superscript"/>
      <sz val="9"/>
      <name val="Arial"/>
      <family val="2"/>
    </font>
    <font>
      <b/>
      <sz val="9"/>
      <name val="Cambria"/>
      <family val="1"/>
      <scheme val="major"/>
    </font>
    <font>
      <strike/>
      <sz val="9"/>
      <name val="Arial"/>
      <family val="2"/>
    </font>
  </fonts>
  <fills count="4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gray0625">
        <bgColor theme="0"/>
      </patternFill>
    </fill>
    <fill>
      <patternFill patternType="gray0625"/>
    </fill>
    <fill>
      <patternFill patternType="solid">
        <fgColor indexed="65"/>
        <bgColor indexed="64"/>
      </patternFill>
    </fill>
    <fill>
      <patternFill patternType="solid">
        <fgColor rgb="FF92D050"/>
        <bgColor indexed="64"/>
      </patternFill>
    </fill>
  </fills>
  <borders count="29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double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 style="double">
        <color indexed="8"/>
      </top>
      <bottom style="medium">
        <color indexed="64"/>
      </bottom>
      <diagonal/>
    </border>
    <border>
      <left style="double">
        <color indexed="8"/>
      </left>
      <right style="medium">
        <color indexed="64"/>
      </right>
      <top style="double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8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8"/>
      </right>
      <top style="hair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10">
    <xf numFmtId="0" fontId="0" fillId="0" borderId="0"/>
    <xf numFmtId="0" fontId="21" fillId="3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3" fillId="27" borderId="0" applyNumberFormat="0" applyBorder="0" applyAlignment="0" applyProtection="0"/>
    <xf numFmtId="0" fontId="24" fillId="28" borderId="27" applyNumberFormat="0" applyAlignment="0" applyProtection="0"/>
    <xf numFmtId="0" fontId="25" fillId="29" borderId="28" applyNumberFormat="0" applyAlignment="0" applyProtection="0"/>
    <xf numFmtId="43" fontId="2" fillId="0" borderId="0" applyFont="0" applyFill="0" applyBorder="0" applyAlignment="0" applyProtection="0"/>
    <xf numFmtId="176" fontId="8" fillId="0" borderId="1" applyFont="0" applyFill="0" applyBorder="0" applyAlignment="0" applyProtection="0"/>
    <xf numFmtId="4" fontId="8" fillId="0" borderId="2" applyProtection="0"/>
    <xf numFmtId="3" fontId="8" fillId="0" borderId="3" applyProtection="0"/>
    <xf numFmtId="173" fontId="8" fillId="0" borderId="2" applyProtection="0"/>
    <xf numFmtId="4" fontId="11" fillId="0" borderId="2" applyProtection="0"/>
    <xf numFmtId="174" fontId="8" fillId="0" borderId="2" applyProtection="0"/>
    <xf numFmtId="171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 applyProtection="0"/>
    <xf numFmtId="15" fontId="8" fillId="0" borderId="0" applyFont="0" applyFill="0" applyBorder="0" applyAlignment="0" applyProtection="0"/>
    <xf numFmtId="17" fontId="8" fillId="0" borderId="0" applyFont="0" applyFill="0" applyBorder="0" applyAlignment="0" applyProtection="0"/>
    <xf numFmtId="0" fontId="26" fillId="0" borderId="0" applyNumberFormat="0" applyFill="0" applyBorder="0" applyAlignment="0" applyProtection="0"/>
    <xf numFmtId="37" fontId="8" fillId="0" borderId="4" applyFont="0" applyFill="0" applyBorder="0" applyAlignment="0" applyProtection="0">
      <alignment vertical="center"/>
    </xf>
    <xf numFmtId="175" fontId="8" fillId="0" borderId="0" applyFont="0" applyFill="0" applyBorder="0" applyAlignment="0" applyProtection="0"/>
    <xf numFmtId="39" fontId="8" fillId="0" borderId="0" applyFont="0" applyFill="0" applyBorder="0" applyAlignment="0" applyProtection="0"/>
    <xf numFmtId="2" fontId="9" fillId="0" borderId="0" applyProtection="0"/>
    <xf numFmtId="0" fontId="27" fillId="30" borderId="0" applyNumberFormat="0" applyBorder="0" applyAlignment="0" applyProtection="0"/>
    <xf numFmtId="0" fontId="28" fillId="0" borderId="29" applyNumberFormat="0" applyFill="0" applyAlignment="0" applyProtection="0"/>
    <xf numFmtId="0" fontId="29" fillId="0" borderId="30" applyNumberFormat="0" applyFill="0" applyAlignment="0" applyProtection="0"/>
    <xf numFmtId="0" fontId="30" fillId="0" borderId="31" applyNumberFormat="0" applyFill="0" applyAlignment="0" applyProtection="0"/>
    <xf numFmtId="0" fontId="30" fillId="0" borderId="0" applyNumberFormat="0" applyFill="0" applyBorder="0" applyAlignment="0" applyProtection="0"/>
    <xf numFmtId="0" fontId="11" fillId="0" borderId="0" applyNumberFormat="0" applyFont="0" applyFill="0" applyBorder="0" applyAlignment="0" applyProtection="0">
      <protection locked="0"/>
    </xf>
    <xf numFmtId="0" fontId="7" fillId="0" borderId="0" applyProtection="0"/>
    <xf numFmtId="0" fontId="31" fillId="31" borderId="27" applyNumberFormat="0" applyAlignment="0" applyProtection="0"/>
    <xf numFmtId="0" fontId="32" fillId="0" borderId="32" applyNumberFormat="0" applyFill="0" applyAlignment="0" applyProtection="0"/>
    <xf numFmtId="0" fontId="33" fillId="32" borderId="0" applyNumberFormat="0" applyBorder="0" applyAlignment="0" applyProtection="0"/>
    <xf numFmtId="0" fontId="10" fillId="0" borderId="0"/>
    <xf numFmtId="0" fontId="6" fillId="0" borderId="0"/>
    <xf numFmtId="172" fontId="8" fillId="0" borderId="0"/>
    <xf numFmtId="0" fontId="8" fillId="0" borderId="0"/>
    <xf numFmtId="0" fontId="21" fillId="0" borderId="0"/>
    <xf numFmtId="0" fontId="8" fillId="0" borderId="0"/>
    <xf numFmtId="0" fontId="21" fillId="0" borderId="0"/>
    <xf numFmtId="0" fontId="21" fillId="33" borderId="33" applyNumberFormat="0" applyFont="0" applyAlignment="0" applyProtection="0"/>
    <xf numFmtId="0" fontId="12" fillId="0" borderId="3"/>
    <xf numFmtId="0" fontId="34" fillId="28" borderId="34" applyNumberFormat="0" applyAlignment="0" applyProtection="0"/>
    <xf numFmtId="9" fontId="10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35" applyNumberFormat="0" applyFill="0" applyAlignment="0" applyProtection="0"/>
    <xf numFmtId="0" fontId="9" fillId="0" borderId="5" applyProtection="0"/>
    <xf numFmtId="0" fontId="37" fillId="0" borderId="0" applyNumberFormat="0" applyFill="0" applyBorder="0" applyAlignment="0" applyProtection="0"/>
    <xf numFmtId="166" fontId="46" fillId="0" borderId="0" applyFont="0" applyFill="0" applyBorder="0" applyAlignment="0" applyProtection="0"/>
    <xf numFmtId="167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6" fontId="8" fillId="0" borderId="44" applyFont="0" applyFill="0" applyBorder="0" applyAlignment="0" applyProtection="0"/>
    <xf numFmtId="176" fontId="8" fillId="0" borderId="44" applyFont="0" applyFill="0" applyBorder="0" applyAlignment="0" applyProtection="0"/>
    <xf numFmtId="165" fontId="1" fillId="0" borderId="0" applyFont="0" applyFill="0" applyBorder="0" applyAlignment="0" applyProtection="0"/>
    <xf numFmtId="176" fontId="8" fillId="0" borderId="44" applyFont="0" applyFill="0" applyBorder="0" applyAlignment="0" applyProtection="0"/>
    <xf numFmtId="176" fontId="8" fillId="0" borderId="44" applyFont="0" applyFill="0" applyBorder="0" applyAlignment="0" applyProtection="0"/>
    <xf numFmtId="176" fontId="8" fillId="0" borderId="44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6" fontId="8" fillId="0" borderId="44" applyFont="0" applyFill="0" applyBorder="0" applyAlignment="0" applyProtection="0"/>
    <xf numFmtId="165" fontId="1" fillId="0" borderId="0" applyFont="0" applyFill="0" applyBorder="0" applyAlignment="0" applyProtection="0"/>
    <xf numFmtId="176" fontId="8" fillId="0" borderId="44" applyFont="0" applyFill="0" applyBorder="0" applyAlignment="0" applyProtection="0"/>
    <xf numFmtId="165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0" fillId="0" borderId="0"/>
    <xf numFmtId="0" fontId="21" fillId="0" borderId="0"/>
    <xf numFmtId="0" fontId="8" fillId="0" borderId="0"/>
    <xf numFmtId="2" fontId="72" fillId="0" borderId="0"/>
    <xf numFmtId="41" fontId="8" fillId="0" borderId="0" applyFont="0" applyFill="0" applyBorder="0" applyAlignment="0" applyProtection="0"/>
    <xf numFmtId="0" fontId="9" fillId="0" borderId="0"/>
    <xf numFmtId="0" fontId="9" fillId="0" borderId="0"/>
    <xf numFmtId="9" fontId="21" fillId="0" borderId="0" applyFont="0" applyFill="0" applyBorder="0" applyAlignment="0" applyProtection="0"/>
    <xf numFmtId="0" fontId="8" fillId="0" borderId="0"/>
    <xf numFmtId="164" fontId="21" fillId="0" borderId="0" applyFont="0" applyFill="0" applyBorder="0" applyAlignment="0" applyProtection="0"/>
  </cellStyleXfs>
  <cellXfs count="1686">
    <xf numFmtId="0" fontId="0" fillId="0" borderId="0" xfId="0"/>
    <xf numFmtId="0" fontId="0" fillId="0" borderId="0" xfId="0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 indent="1"/>
    </xf>
    <xf numFmtId="0" fontId="13" fillId="0" borderId="0" xfId="0" applyFont="1" applyAlignment="1">
      <alignment vertical="top"/>
    </xf>
    <xf numFmtId="0" fontId="38" fillId="0" borderId="0" xfId="0" applyFont="1" applyAlignment="1">
      <alignment vertical="top"/>
    </xf>
    <xf numFmtId="0" fontId="14" fillId="0" borderId="0" xfId="0" applyFont="1" applyAlignment="1">
      <alignment vertical="top" wrapText="1"/>
    </xf>
    <xf numFmtId="0" fontId="14" fillId="0" borderId="0" xfId="0" applyFont="1" applyAlignment="1">
      <alignment vertical="center" wrapText="1"/>
    </xf>
    <xf numFmtId="0" fontId="39" fillId="0" borderId="0" xfId="0" applyFont="1" applyAlignment="1">
      <alignment vertical="top"/>
    </xf>
    <xf numFmtId="0" fontId="40" fillId="0" borderId="0" xfId="0" applyFont="1" applyAlignment="1">
      <alignment vertical="top"/>
    </xf>
    <xf numFmtId="0" fontId="15" fillId="0" borderId="0" xfId="0" applyFont="1" applyAlignment="1">
      <alignment vertical="center" wrapText="1"/>
    </xf>
    <xf numFmtId="0" fontId="38" fillId="0" borderId="0" xfId="0" applyFont="1" applyAlignment="1">
      <alignment vertical="top" wrapText="1"/>
    </xf>
    <xf numFmtId="0" fontId="38" fillId="0" borderId="0" xfId="0" applyFont="1" applyAlignment="1">
      <alignment vertical="center" wrapText="1"/>
    </xf>
    <xf numFmtId="0" fontId="41" fillId="0" borderId="0" xfId="0" applyFont="1" applyAlignment="1">
      <alignment vertical="center" wrapText="1"/>
    </xf>
    <xf numFmtId="0" fontId="1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42" fillId="0" borderId="0" xfId="0" applyFont="1" applyAlignment="1">
      <alignment vertical="top"/>
    </xf>
    <xf numFmtId="0" fontId="17" fillId="0" borderId="0" xfId="0" applyFont="1" applyAlignment="1">
      <alignment vertical="center" wrapText="1"/>
    </xf>
    <xf numFmtId="0" fontId="44" fillId="0" borderId="0" xfId="0" applyFont="1" applyAlignment="1">
      <alignment vertical="top"/>
    </xf>
    <xf numFmtId="0" fontId="18" fillId="0" borderId="0" xfId="0" applyFont="1" applyAlignment="1">
      <alignment horizontal="left" vertical="top"/>
    </xf>
    <xf numFmtId="0" fontId="19" fillId="0" borderId="0" xfId="0" applyFont="1" applyAlignment="1">
      <alignment vertical="top"/>
    </xf>
    <xf numFmtId="0" fontId="17" fillId="0" borderId="0" xfId="0" applyFont="1" applyAlignment="1">
      <alignment horizontal="left" vertical="top"/>
    </xf>
    <xf numFmtId="0" fontId="20" fillId="0" borderId="0" xfId="0" applyFont="1" applyAlignment="1">
      <alignment horizontal="left" vertical="top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/>
    </xf>
    <xf numFmtId="0" fontId="17" fillId="0" borderId="15" xfId="0" applyFont="1" applyBorder="1" applyAlignment="1">
      <alignment horizontal="left" vertical="center" indent="1"/>
    </xf>
    <xf numFmtId="0" fontId="5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 indent="1"/>
    </xf>
    <xf numFmtId="0" fontId="5" fillId="0" borderId="14" xfId="0" applyFont="1" applyBorder="1" applyAlignment="1">
      <alignment horizontal="left" vertical="center" wrapText="1" indent="1"/>
    </xf>
    <xf numFmtId="49" fontId="17" fillId="0" borderId="0" xfId="0" applyNumberFormat="1" applyFont="1" applyAlignment="1">
      <alignment horizontal="left" vertical="center" wrapText="1" indent="1"/>
    </xf>
    <xf numFmtId="49" fontId="17" fillId="0" borderId="18" xfId="0" applyNumberFormat="1" applyFont="1" applyBorder="1" applyAlignment="1">
      <alignment horizontal="left" vertical="center" wrapText="1" indent="1"/>
    </xf>
    <xf numFmtId="0" fontId="5" fillId="0" borderId="19" xfId="0" applyFont="1" applyBorder="1" applyAlignment="1">
      <alignment horizontal="left" vertical="center" wrapText="1" indent="1"/>
    </xf>
    <xf numFmtId="0" fontId="17" fillId="0" borderId="20" xfId="0" applyFont="1" applyBorder="1" applyAlignment="1">
      <alignment horizontal="left" vertical="center" wrapText="1" indent="1"/>
    </xf>
    <xf numFmtId="0" fontId="17" fillId="0" borderId="5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0" fontId="17" fillId="0" borderId="22" xfId="0" applyFont="1" applyBorder="1" applyAlignment="1">
      <alignment horizontal="left" vertical="center" wrapText="1" inden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horizontal="center" vertical="center" wrapText="1"/>
    </xf>
    <xf numFmtId="0" fontId="17" fillId="0" borderId="0" xfId="0" applyFont="1" applyAlignment="1">
      <alignment horizontal="righ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top" wrapText="1"/>
    </xf>
    <xf numFmtId="0" fontId="19" fillId="0" borderId="13" xfId="0" applyFont="1" applyBorder="1" applyAlignment="1">
      <alignment vertical="top" wrapText="1"/>
    </xf>
    <xf numFmtId="0" fontId="19" fillId="0" borderId="13" xfId="0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center" vertical="top" wrapText="1"/>
    </xf>
    <xf numFmtId="49" fontId="19" fillId="0" borderId="13" xfId="0" applyNumberFormat="1" applyFont="1" applyBorder="1" applyAlignment="1">
      <alignment horizontal="left" vertical="top" wrapText="1"/>
    </xf>
    <xf numFmtId="49" fontId="19" fillId="0" borderId="13" xfId="0" applyNumberFormat="1" applyFont="1" applyBorder="1" applyAlignment="1">
      <alignment horizontal="center" vertical="center" wrapText="1"/>
    </xf>
    <xf numFmtId="169" fontId="19" fillId="0" borderId="13" xfId="0" applyNumberFormat="1" applyFont="1" applyBorder="1" applyAlignment="1">
      <alignment horizontal="center" vertical="center" wrapText="1"/>
    </xf>
    <xf numFmtId="168" fontId="19" fillId="0" borderId="13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vertical="top" wrapText="1"/>
    </xf>
    <xf numFmtId="0" fontId="5" fillId="0" borderId="13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left" vertical="center"/>
    </xf>
    <xf numFmtId="49" fontId="17" fillId="0" borderId="7" xfId="0" applyNumberFormat="1" applyFont="1" applyBorder="1" applyAlignment="1">
      <alignment horizontal="left" vertical="center" wrapText="1"/>
    </xf>
    <xf numFmtId="49" fontId="5" fillId="0" borderId="12" xfId="0" applyNumberFormat="1" applyFont="1" applyBorder="1" applyAlignment="1">
      <alignment horizontal="center" vertical="top" wrapText="1"/>
    </xf>
    <xf numFmtId="49" fontId="5" fillId="0" borderId="12" xfId="0" applyNumberFormat="1" applyFont="1" applyBorder="1" applyAlignment="1">
      <alignment horizontal="left" vertical="top" wrapText="1"/>
    </xf>
    <xf numFmtId="169" fontId="5" fillId="0" borderId="12" xfId="0" applyNumberFormat="1" applyFont="1" applyBorder="1" applyAlignment="1">
      <alignment horizontal="center" vertical="top" wrapText="1"/>
    </xf>
    <xf numFmtId="168" fontId="5" fillId="0" borderId="12" xfId="0" applyNumberFormat="1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49" fontId="5" fillId="0" borderId="13" xfId="0" applyNumberFormat="1" applyFont="1" applyBorder="1" applyAlignment="1">
      <alignment horizontal="center" vertical="top" wrapText="1"/>
    </xf>
    <xf numFmtId="49" fontId="5" fillId="0" borderId="13" xfId="0" applyNumberFormat="1" applyFont="1" applyBorder="1" applyAlignment="1">
      <alignment horizontal="left" vertical="top" wrapText="1"/>
    </xf>
    <xf numFmtId="169" fontId="5" fillId="0" borderId="13" xfId="0" applyNumberFormat="1" applyFont="1" applyBorder="1" applyAlignment="1">
      <alignment horizontal="center" vertical="top" wrapText="1"/>
    </xf>
    <xf numFmtId="168" fontId="5" fillId="0" borderId="13" xfId="0" applyNumberFormat="1" applyFont="1" applyBorder="1" applyAlignment="1">
      <alignment horizontal="center" vertical="top" wrapText="1"/>
    </xf>
    <xf numFmtId="169" fontId="5" fillId="0" borderId="13" xfId="0" applyNumberFormat="1" applyFont="1" applyBorder="1" applyAlignment="1">
      <alignment horizontal="center" vertical="center" wrapText="1"/>
    </xf>
    <xf numFmtId="168" fontId="5" fillId="0" borderId="13" xfId="0" applyNumberFormat="1" applyFont="1" applyBorder="1" applyAlignment="1" applyProtection="1">
      <alignment horizontal="center" vertical="center" wrapText="1"/>
      <protection locked="0"/>
    </xf>
    <xf numFmtId="168" fontId="5" fillId="0" borderId="13" xfId="0" applyNumberFormat="1" applyFont="1" applyBorder="1" applyAlignment="1">
      <alignment horizontal="center" vertical="center" wrapText="1"/>
    </xf>
    <xf numFmtId="9" fontId="5" fillId="0" borderId="13" xfId="0" applyNumberFormat="1" applyFont="1" applyBorder="1" applyAlignment="1">
      <alignment horizontal="center" vertical="center" wrapText="1"/>
    </xf>
    <xf numFmtId="169" fontId="19" fillId="0" borderId="13" xfId="0" applyNumberFormat="1" applyFont="1" applyBorder="1" applyAlignment="1">
      <alignment horizontal="center" vertical="top" wrapText="1"/>
    </xf>
    <xf numFmtId="0" fontId="19" fillId="0" borderId="13" xfId="0" applyFont="1" applyBorder="1" applyAlignment="1">
      <alignment horizontal="left" vertical="top" wrapText="1" indent="1"/>
    </xf>
    <xf numFmtId="49" fontId="19" fillId="0" borderId="13" xfId="0" applyNumberFormat="1" applyFont="1" applyBorder="1" applyAlignment="1">
      <alignment horizontal="left" vertical="top" wrapText="1" indent="1"/>
    </xf>
    <xf numFmtId="4" fontId="19" fillId="0" borderId="13" xfId="0" applyNumberFormat="1" applyFont="1" applyBorder="1" applyAlignment="1">
      <alignment horizontal="center" vertical="center" wrapText="1"/>
    </xf>
    <xf numFmtId="168" fontId="19" fillId="0" borderId="13" xfId="0" applyNumberFormat="1" applyFont="1" applyBorder="1" applyAlignment="1" applyProtection="1">
      <alignment horizontal="center" vertical="center" wrapText="1"/>
      <protection locked="0"/>
    </xf>
    <xf numFmtId="0" fontId="5" fillId="0" borderId="13" xfId="0" applyFont="1" applyBorder="1" applyAlignment="1">
      <alignment horizontal="left" vertical="top" wrapText="1" indent="1"/>
    </xf>
    <xf numFmtId="0" fontId="17" fillId="0" borderId="0" xfId="0" applyFont="1" applyAlignment="1">
      <alignment horizontal="left" vertical="center"/>
    </xf>
    <xf numFmtId="49" fontId="17" fillId="0" borderId="0" xfId="0" applyNumberFormat="1" applyFont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right" vertical="center" wrapText="1"/>
    </xf>
    <xf numFmtId="168" fontId="17" fillId="0" borderId="0" xfId="0" applyNumberFormat="1" applyFont="1" applyAlignment="1">
      <alignment horizontal="right" vertical="center" wrapText="1"/>
    </xf>
    <xf numFmtId="49" fontId="18" fillId="0" borderId="13" xfId="0" applyNumberFormat="1" applyFont="1" applyBorder="1" applyAlignment="1">
      <alignment horizontal="left" vertical="top" wrapText="1"/>
    </xf>
    <xf numFmtId="170" fontId="42" fillId="0" borderId="0" xfId="0" applyNumberFormat="1" applyFont="1" applyAlignment="1">
      <alignment vertical="top"/>
    </xf>
    <xf numFmtId="0" fontId="19" fillId="0" borderId="0" xfId="0" applyFont="1" applyAlignment="1">
      <alignment horizontal="center" vertical="center"/>
    </xf>
    <xf numFmtId="1" fontId="19" fillId="0" borderId="13" xfId="0" applyNumberFormat="1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left" vertical="center" wrapText="1"/>
    </xf>
    <xf numFmtId="169" fontId="42" fillId="0" borderId="13" xfId="0" applyNumberFormat="1" applyFont="1" applyBorder="1" applyAlignment="1">
      <alignment horizontal="center" vertical="center" wrapText="1"/>
    </xf>
    <xf numFmtId="0" fontId="42" fillId="0" borderId="13" xfId="0" applyFont="1" applyBorder="1" applyAlignment="1">
      <alignment horizontal="center" vertical="center" wrapText="1"/>
    </xf>
    <xf numFmtId="49" fontId="43" fillId="0" borderId="13" xfId="0" applyNumberFormat="1" applyFont="1" applyBorder="1" applyAlignment="1">
      <alignment horizontal="left" vertical="top" wrapText="1"/>
    </xf>
    <xf numFmtId="49" fontId="43" fillId="0" borderId="13" xfId="0" applyNumberFormat="1" applyFont="1" applyBorder="1" applyAlignment="1">
      <alignment horizontal="center" vertical="center" wrapText="1"/>
    </xf>
    <xf numFmtId="2" fontId="19" fillId="0" borderId="13" xfId="0" applyNumberFormat="1" applyFont="1" applyBorder="1" applyAlignment="1">
      <alignment horizontal="center" vertical="center" wrapText="1"/>
    </xf>
    <xf numFmtId="49" fontId="17" fillId="0" borderId="13" xfId="0" applyNumberFormat="1" applyFont="1" applyBorder="1" applyAlignment="1">
      <alignment horizontal="left" vertical="top" wrapText="1"/>
    </xf>
    <xf numFmtId="4" fontId="43" fillId="0" borderId="13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vertical="center" wrapText="1"/>
    </xf>
    <xf numFmtId="9" fontId="19" fillId="0" borderId="13" xfId="0" applyNumberFormat="1" applyFont="1" applyBorder="1" applyAlignment="1" applyProtection="1">
      <alignment horizontal="center" vertical="center"/>
      <protection locked="0"/>
    </xf>
    <xf numFmtId="166" fontId="5" fillId="0" borderId="13" xfId="0" applyNumberFormat="1" applyFont="1" applyBorder="1" applyAlignment="1">
      <alignment horizontal="center" vertical="center" wrapText="1"/>
    </xf>
    <xf numFmtId="166" fontId="19" fillId="0" borderId="13" xfId="0" applyNumberFormat="1" applyFont="1" applyBorder="1" applyAlignment="1">
      <alignment horizontal="center" vertical="center" wrapText="1"/>
    </xf>
    <xf numFmtId="166" fontId="17" fillId="0" borderId="1" xfId="0" applyNumberFormat="1" applyFont="1" applyBorder="1" applyAlignment="1">
      <alignment horizontal="center" vertical="center" wrapText="1"/>
    </xf>
    <xf numFmtId="166" fontId="5" fillId="0" borderId="0" xfId="0" applyNumberFormat="1" applyFont="1" applyAlignment="1">
      <alignment vertical="top"/>
    </xf>
    <xf numFmtId="166" fontId="18" fillId="0" borderId="0" xfId="0" applyNumberFormat="1" applyFont="1" applyAlignment="1">
      <alignment horizontal="right" vertical="center"/>
    </xf>
    <xf numFmtId="177" fontId="14" fillId="0" borderId="0" xfId="0" applyNumberFormat="1" applyFont="1" applyAlignment="1">
      <alignment vertical="top" wrapText="1"/>
    </xf>
    <xf numFmtId="0" fontId="17" fillId="34" borderId="6" xfId="0" applyFont="1" applyFill="1" applyBorder="1" applyAlignment="1">
      <alignment horizontal="center" vertical="center" wrapText="1"/>
    </xf>
    <xf numFmtId="0" fontId="17" fillId="34" borderId="1" xfId="0" applyFont="1" applyFill="1" applyBorder="1" applyAlignment="1">
      <alignment horizontal="center" vertical="center" wrapText="1"/>
    </xf>
    <xf numFmtId="166" fontId="5" fillId="34" borderId="12" xfId="0" applyNumberFormat="1" applyFont="1" applyFill="1" applyBorder="1" applyAlignment="1">
      <alignment horizontal="center" vertical="center" wrapText="1"/>
    </xf>
    <xf numFmtId="0" fontId="5" fillId="34" borderId="13" xfId="0" applyFont="1" applyFill="1" applyBorder="1" applyAlignment="1">
      <alignment horizontal="center" vertical="center" wrapText="1"/>
    </xf>
    <xf numFmtId="166" fontId="5" fillId="34" borderId="13" xfId="0" applyNumberFormat="1" applyFont="1" applyFill="1" applyBorder="1" applyAlignment="1">
      <alignment horizontal="center" vertical="center" wrapText="1"/>
    </xf>
    <xf numFmtId="168" fontId="19" fillId="34" borderId="13" xfId="0" applyNumberFormat="1" applyFont="1" applyFill="1" applyBorder="1" applyAlignment="1">
      <alignment horizontal="center" vertical="center" wrapText="1"/>
    </xf>
    <xf numFmtId="166" fontId="19" fillId="34" borderId="13" xfId="0" applyNumberFormat="1" applyFont="1" applyFill="1" applyBorder="1" applyAlignment="1">
      <alignment horizontal="center" vertical="center" wrapText="1"/>
    </xf>
    <xf numFmtId="166" fontId="19" fillId="34" borderId="13" xfId="36" applyFont="1" applyFill="1" applyBorder="1" applyAlignment="1">
      <alignment vertical="center"/>
    </xf>
    <xf numFmtId="0" fontId="19" fillId="34" borderId="13" xfId="0" applyFont="1" applyFill="1" applyBorder="1" applyAlignment="1">
      <alignment horizontal="center" vertical="center" wrapText="1"/>
    </xf>
    <xf numFmtId="166" fontId="43" fillId="34" borderId="13" xfId="0" applyNumberFormat="1" applyFont="1" applyFill="1" applyBorder="1" applyAlignment="1">
      <alignment horizontal="center" vertical="center" wrapText="1"/>
    </xf>
    <xf numFmtId="0" fontId="17" fillId="34" borderId="7" xfId="0" applyFont="1" applyFill="1" applyBorder="1" applyAlignment="1">
      <alignment horizontal="center" vertical="center" wrapText="1"/>
    </xf>
    <xf numFmtId="0" fontId="19" fillId="34" borderId="1" xfId="0" applyFont="1" applyFill="1" applyBorder="1" applyAlignment="1">
      <alignment vertical="center" wrapText="1"/>
    </xf>
    <xf numFmtId="166" fontId="19" fillId="34" borderId="12" xfId="0" applyNumberFormat="1" applyFont="1" applyFill="1" applyBorder="1" applyAlignment="1">
      <alignment horizontal="center" vertical="center" wrapText="1"/>
    </xf>
    <xf numFmtId="169" fontId="5" fillId="34" borderId="13" xfId="0" applyNumberFormat="1" applyFont="1" applyFill="1" applyBorder="1" applyAlignment="1">
      <alignment horizontal="center" vertical="center" wrapText="1"/>
    </xf>
    <xf numFmtId="0" fontId="5" fillId="34" borderId="7" xfId="0" applyFont="1" applyFill="1" applyBorder="1" applyAlignment="1">
      <alignment horizontal="center" vertical="center" wrapText="1"/>
    </xf>
    <xf numFmtId="0" fontId="18" fillId="34" borderId="1" xfId="0" applyFont="1" applyFill="1" applyBorder="1" applyAlignment="1">
      <alignment horizontal="center" vertical="center" wrapText="1"/>
    </xf>
    <xf numFmtId="0" fontId="5" fillId="34" borderId="1" xfId="0" applyFont="1" applyFill="1" applyBorder="1" applyAlignment="1">
      <alignment horizontal="center" vertical="center" wrapText="1"/>
    </xf>
    <xf numFmtId="168" fontId="5" fillId="34" borderId="12" xfId="0" applyNumberFormat="1" applyFont="1" applyFill="1" applyBorder="1" applyAlignment="1">
      <alignment horizontal="center" vertical="center" wrapText="1"/>
    </xf>
    <xf numFmtId="0" fontId="19" fillId="34" borderId="45" xfId="0" applyFont="1" applyFill="1" applyBorder="1" applyAlignment="1">
      <alignment vertical="center" wrapText="1"/>
    </xf>
    <xf numFmtId="166" fontId="19" fillId="34" borderId="46" xfId="0" applyNumberFormat="1" applyFont="1" applyFill="1" applyBorder="1" applyAlignment="1">
      <alignment horizontal="center" vertical="center" wrapText="1"/>
    </xf>
    <xf numFmtId="166" fontId="19" fillId="34" borderId="17" xfId="0" applyNumberFormat="1" applyFont="1" applyFill="1" applyBorder="1" applyAlignment="1">
      <alignment horizontal="center" vertical="center" wrapText="1"/>
    </xf>
    <xf numFmtId="0" fontId="19" fillId="34" borderId="0" xfId="0" applyFont="1" applyFill="1" applyAlignment="1">
      <alignment horizontal="center" vertical="center" wrapText="1"/>
    </xf>
    <xf numFmtId="166" fontId="18" fillId="34" borderId="13" xfId="0" applyNumberFormat="1" applyFont="1" applyFill="1" applyBorder="1" applyAlignment="1">
      <alignment horizontal="center" vertical="center" wrapText="1"/>
    </xf>
    <xf numFmtId="169" fontId="5" fillId="34" borderId="12" xfId="0" applyNumberFormat="1" applyFont="1" applyFill="1" applyBorder="1" applyAlignment="1">
      <alignment horizontal="center" vertical="top" wrapText="1"/>
    </xf>
    <xf numFmtId="166" fontId="5" fillId="34" borderId="12" xfId="0" applyNumberFormat="1" applyFont="1" applyFill="1" applyBorder="1" applyAlignment="1">
      <alignment horizontal="center" vertical="top" wrapText="1"/>
    </xf>
    <xf numFmtId="0" fontId="5" fillId="34" borderId="13" xfId="0" applyFont="1" applyFill="1" applyBorder="1" applyAlignment="1">
      <alignment horizontal="center" vertical="top" wrapText="1"/>
    </xf>
    <xf numFmtId="166" fontId="5" fillId="34" borderId="13" xfId="0" applyNumberFormat="1" applyFont="1" applyFill="1" applyBorder="1" applyAlignment="1">
      <alignment horizontal="center" vertical="top" wrapText="1"/>
    </xf>
    <xf numFmtId="169" fontId="5" fillId="34" borderId="13" xfId="0" applyNumberFormat="1" applyFont="1" applyFill="1" applyBorder="1" applyAlignment="1">
      <alignment horizontal="center" vertical="top" wrapText="1"/>
    </xf>
    <xf numFmtId="166" fontId="19" fillId="34" borderId="13" xfId="0" applyNumberFormat="1" applyFont="1" applyFill="1" applyBorder="1" applyAlignment="1">
      <alignment horizontal="center" vertical="top" wrapText="1"/>
    </xf>
    <xf numFmtId="168" fontId="5" fillId="34" borderId="13" xfId="0" applyNumberFormat="1" applyFont="1" applyFill="1" applyBorder="1" applyAlignment="1">
      <alignment horizontal="center" vertical="center" wrapText="1"/>
    </xf>
    <xf numFmtId="168" fontId="5" fillId="34" borderId="12" xfId="0" applyNumberFormat="1" applyFont="1" applyFill="1" applyBorder="1" applyAlignment="1">
      <alignment horizontal="center" vertical="top" wrapText="1"/>
    </xf>
    <xf numFmtId="168" fontId="5" fillId="34" borderId="13" xfId="0" applyNumberFormat="1" applyFont="1" applyFill="1" applyBorder="1" applyAlignment="1">
      <alignment horizontal="center" vertical="top" wrapText="1"/>
    </xf>
    <xf numFmtId="177" fontId="14" fillId="34" borderId="36" xfId="0" applyNumberFormat="1" applyFont="1" applyFill="1" applyBorder="1" applyAlignment="1">
      <alignment horizontal="center" wrapText="1"/>
    </xf>
    <xf numFmtId="177" fontId="16" fillId="34" borderId="44" xfId="0" applyNumberFormat="1" applyFont="1" applyFill="1" applyBorder="1" applyAlignment="1">
      <alignment horizontal="center" wrapText="1"/>
    </xf>
    <xf numFmtId="166" fontId="19" fillId="34" borderId="1" xfId="0" applyNumberFormat="1" applyFont="1" applyFill="1" applyBorder="1" applyAlignment="1">
      <alignment horizontal="center" vertical="center" wrapText="1"/>
    </xf>
    <xf numFmtId="177" fontId="14" fillId="34" borderId="36" xfId="0" applyNumberFormat="1" applyFont="1" applyFill="1" applyBorder="1" applyAlignment="1">
      <alignment horizontal="center" vertical="center" wrapText="1"/>
    </xf>
    <xf numFmtId="166" fontId="17" fillId="34" borderId="39" xfId="0" applyNumberFormat="1" applyFont="1" applyFill="1" applyBorder="1" applyAlignment="1">
      <alignment horizontal="center" vertical="center" wrapText="1"/>
    </xf>
    <xf numFmtId="166" fontId="17" fillId="34" borderId="38" xfId="0" applyNumberFormat="1" applyFont="1" applyFill="1" applyBorder="1" applyAlignment="1">
      <alignment horizontal="center" vertical="center" wrapText="1"/>
    </xf>
    <xf numFmtId="166" fontId="17" fillId="34" borderId="40" xfId="0" applyNumberFormat="1" applyFont="1" applyFill="1" applyBorder="1" applyAlignment="1">
      <alignment horizontal="center" vertical="center" wrapText="1"/>
    </xf>
    <xf numFmtId="166" fontId="18" fillId="34" borderId="41" xfId="0" applyNumberFormat="1" applyFont="1" applyFill="1" applyBorder="1" applyAlignment="1">
      <alignment horizontal="center" vertical="center" wrapText="1"/>
    </xf>
    <xf numFmtId="0" fontId="17" fillId="34" borderId="13" xfId="0" applyFont="1" applyFill="1" applyBorder="1" applyAlignment="1">
      <alignment horizontal="center" vertical="center" wrapText="1"/>
    </xf>
    <xf numFmtId="0" fontId="17" fillId="34" borderId="49" xfId="0" applyFont="1" applyFill="1" applyBorder="1" applyAlignment="1">
      <alignment horizontal="center" vertical="center" wrapText="1"/>
    </xf>
    <xf numFmtId="170" fontId="17" fillId="34" borderId="44" xfId="0" applyNumberFormat="1" applyFont="1" applyFill="1" applyBorder="1" applyAlignment="1">
      <alignment horizontal="center" vertical="center" wrapText="1"/>
    </xf>
    <xf numFmtId="177" fontId="15" fillId="34" borderId="36" xfId="0" applyNumberFormat="1" applyFont="1" applyFill="1" applyBorder="1" applyAlignment="1">
      <alignment horizontal="center" wrapText="1"/>
    </xf>
    <xf numFmtId="166" fontId="8" fillId="34" borderId="13" xfId="36" applyFont="1" applyFill="1" applyBorder="1" applyAlignment="1">
      <alignment vertical="center"/>
    </xf>
    <xf numFmtId="166" fontId="8" fillId="34" borderId="13" xfId="0" applyNumberFormat="1" applyFont="1" applyFill="1" applyBorder="1" applyAlignment="1">
      <alignment horizontal="center" vertical="top" wrapText="1"/>
    </xf>
    <xf numFmtId="0" fontId="10" fillId="0" borderId="0" xfId="59"/>
    <xf numFmtId="0" fontId="21" fillId="0" borderId="0" xfId="101"/>
    <xf numFmtId="0" fontId="0" fillId="0" borderId="51" xfId="101" applyFont="1" applyBorder="1"/>
    <xf numFmtId="0" fontId="21" fillId="0" borderId="51" xfId="101" applyBorder="1"/>
    <xf numFmtId="0" fontId="21" fillId="0" borderId="51" xfId="101" applyBorder="1" applyAlignment="1">
      <alignment horizontal="center"/>
    </xf>
    <xf numFmtId="0" fontId="36" fillId="0" borderId="0" xfId="101" applyFont="1"/>
    <xf numFmtId="166" fontId="21" fillId="0" borderId="51" xfId="101" applyNumberFormat="1" applyBorder="1" applyAlignment="1">
      <alignment horizontal="left"/>
    </xf>
    <xf numFmtId="0" fontId="36" fillId="0" borderId="52" xfId="101" applyFont="1" applyBorder="1" applyAlignment="1">
      <alignment horizontal="left"/>
    </xf>
    <xf numFmtId="0" fontId="21" fillId="0" borderId="53" xfId="101" applyBorder="1"/>
    <xf numFmtId="0" fontId="21" fillId="0" borderId="54" xfId="101" applyBorder="1"/>
    <xf numFmtId="0" fontId="36" fillId="0" borderId="52" xfId="101" applyFont="1" applyBorder="1" applyAlignment="1">
      <alignment horizontal="center"/>
    </xf>
    <xf numFmtId="0" fontId="21" fillId="0" borderId="55" xfId="101" applyBorder="1"/>
    <xf numFmtId="0" fontId="21" fillId="0" borderId="47" xfId="101" applyBorder="1"/>
    <xf numFmtId="0" fontId="49" fillId="0" borderId="56" xfId="101" applyFont="1" applyBorder="1" applyAlignment="1">
      <alignment horizontal="center"/>
    </xf>
    <xf numFmtId="0" fontId="21" fillId="0" borderId="56" xfId="101" applyBorder="1"/>
    <xf numFmtId="0" fontId="0" fillId="0" borderId="55" xfId="101" applyFont="1" applyBorder="1"/>
    <xf numFmtId="0" fontId="21" fillId="0" borderId="8" xfId="101" applyBorder="1"/>
    <xf numFmtId="0" fontId="21" fillId="0" borderId="47" xfId="101" applyBorder="1" applyAlignment="1">
      <alignment horizontal="right"/>
    </xf>
    <xf numFmtId="0" fontId="21" fillId="0" borderId="55" xfId="101" applyBorder="1" applyAlignment="1">
      <alignment horizontal="right"/>
    </xf>
    <xf numFmtId="0" fontId="50" fillId="0" borderId="57" xfId="101" applyFont="1" applyBorder="1"/>
    <xf numFmtId="0" fontId="50" fillId="0" borderId="56" xfId="101" applyFont="1" applyBorder="1"/>
    <xf numFmtId="0" fontId="50" fillId="0" borderId="58" xfId="101" applyFont="1" applyBorder="1"/>
    <xf numFmtId="0" fontId="21" fillId="0" borderId="59" xfId="101" applyBorder="1"/>
    <xf numFmtId="0" fontId="21" fillId="0" borderId="60" xfId="101" applyBorder="1"/>
    <xf numFmtId="0" fontId="21" fillId="0" borderId="57" xfId="101" applyBorder="1"/>
    <xf numFmtId="0" fontId="52" fillId="0" borderId="0" xfId="0" applyFont="1" applyAlignment="1">
      <alignment horizontal="center" vertical="center"/>
    </xf>
    <xf numFmtId="0" fontId="52" fillId="0" borderId="0" xfId="0" applyFont="1" applyAlignment="1">
      <alignment horizontal="right" vertical="center"/>
    </xf>
    <xf numFmtId="0" fontId="52" fillId="0" borderId="0" xfId="0" applyFont="1" applyAlignment="1">
      <alignment horizontal="left" vertical="center" wrapText="1"/>
    </xf>
    <xf numFmtId="0" fontId="46" fillId="0" borderId="0" xfId="0" applyFont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2" fillId="0" borderId="61" xfId="0" applyFont="1" applyBorder="1" applyAlignment="1">
      <alignment horizontal="center" vertical="center"/>
    </xf>
    <xf numFmtId="0" fontId="52" fillId="0" borderId="62" xfId="0" applyFont="1" applyBorder="1" applyAlignment="1">
      <alignment horizontal="center" vertical="center"/>
    </xf>
    <xf numFmtId="0" fontId="52" fillId="0" borderId="63" xfId="0" applyFont="1" applyBorder="1" applyAlignment="1">
      <alignment horizontal="center" vertical="center" wrapText="1"/>
    </xf>
    <xf numFmtId="0" fontId="52" fillId="0" borderId="64" xfId="0" applyFont="1" applyBorder="1" applyAlignment="1">
      <alignment horizontal="center" vertical="center" wrapText="1"/>
    </xf>
    <xf numFmtId="0" fontId="52" fillId="0" borderId="62" xfId="0" applyFont="1" applyBorder="1" applyAlignment="1">
      <alignment horizontal="center" vertical="center" wrapText="1"/>
    </xf>
    <xf numFmtId="0" fontId="52" fillId="0" borderId="65" xfId="0" applyFont="1" applyBorder="1" applyAlignment="1">
      <alignment horizontal="center" vertical="center" wrapText="1"/>
    </xf>
    <xf numFmtId="0" fontId="46" fillId="0" borderId="66" xfId="0" applyFont="1" applyBorder="1" applyAlignment="1">
      <alignment horizontal="center" vertical="center"/>
    </xf>
    <xf numFmtId="179" fontId="46" fillId="0" borderId="42" xfId="0" applyNumberFormat="1" applyFont="1" applyBorder="1" applyAlignment="1" applyProtection="1">
      <alignment horizontal="left" vertical="center"/>
      <protection locked="0"/>
    </xf>
    <xf numFmtId="179" fontId="53" fillId="0" borderId="67" xfId="0" applyNumberFormat="1" applyFont="1" applyBorder="1" applyAlignment="1" applyProtection="1">
      <alignment horizontal="left" vertical="center"/>
      <protection locked="0"/>
    </xf>
    <xf numFmtId="178" fontId="46" fillId="0" borderId="68" xfId="0" applyNumberFormat="1" applyFont="1" applyBorder="1" applyAlignment="1" applyProtection="1">
      <alignment horizontal="right" vertical="center"/>
      <protection locked="0"/>
    </xf>
    <xf numFmtId="178" fontId="46" fillId="0" borderId="42" xfId="0" applyNumberFormat="1" applyFont="1" applyBorder="1" applyAlignment="1" applyProtection="1">
      <alignment horizontal="right" vertical="center"/>
      <protection locked="0"/>
    </xf>
    <xf numFmtId="178" fontId="46" fillId="0" borderId="67" xfId="0" applyNumberFormat="1" applyFont="1" applyBorder="1" applyAlignment="1">
      <alignment horizontal="right" vertical="center"/>
    </xf>
    <xf numFmtId="178" fontId="46" fillId="0" borderId="69" xfId="0" applyNumberFormat="1" applyFont="1" applyBorder="1" applyAlignment="1">
      <alignment horizontal="right" vertical="center"/>
    </xf>
    <xf numFmtId="178" fontId="46" fillId="0" borderId="42" xfId="0" applyNumberFormat="1" applyFont="1" applyBorder="1" applyAlignment="1">
      <alignment horizontal="right" vertical="center"/>
    </xf>
    <xf numFmtId="178" fontId="46" fillId="0" borderId="70" xfId="0" applyNumberFormat="1" applyFont="1" applyBorder="1" applyAlignment="1">
      <alignment horizontal="right" vertical="center"/>
    </xf>
    <xf numFmtId="0" fontId="46" fillId="0" borderId="71" xfId="0" applyFont="1" applyBorder="1" applyAlignment="1">
      <alignment horizontal="center" vertical="center"/>
    </xf>
    <xf numFmtId="178" fontId="46" fillId="0" borderId="44" xfId="0" applyNumberFormat="1" applyFont="1" applyBorder="1" applyAlignment="1" applyProtection="1">
      <alignment horizontal="right" vertical="center"/>
      <protection locked="0"/>
    </xf>
    <xf numFmtId="178" fontId="46" fillId="0" borderId="37" xfId="0" applyNumberFormat="1" applyFont="1" applyBorder="1" applyAlignment="1">
      <alignment horizontal="right" vertical="center"/>
    </xf>
    <xf numFmtId="178" fontId="46" fillId="0" borderId="68" xfId="0" applyNumberFormat="1" applyFont="1" applyBorder="1" applyAlignment="1">
      <alignment horizontal="right" vertical="center"/>
    </xf>
    <xf numFmtId="178" fontId="46" fillId="0" borderId="44" xfId="0" applyNumberFormat="1" applyFont="1" applyBorder="1" applyAlignment="1">
      <alignment horizontal="right" vertical="center"/>
    </xf>
    <xf numFmtId="178" fontId="46" fillId="0" borderId="72" xfId="0" applyNumberFormat="1" applyFont="1" applyBorder="1" applyAlignment="1">
      <alignment horizontal="right" vertical="center"/>
    </xf>
    <xf numFmtId="179" fontId="46" fillId="0" borderId="44" xfId="0" applyNumberFormat="1" applyFont="1" applyBorder="1" applyAlignment="1" applyProtection="1">
      <alignment horizontal="left" vertical="center"/>
      <protection locked="0"/>
    </xf>
    <xf numFmtId="178" fontId="0" fillId="0" borderId="0" xfId="0" applyNumberFormat="1"/>
    <xf numFmtId="179" fontId="46" fillId="0" borderId="37" xfId="0" applyNumberFormat="1" applyFont="1" applyBorder="1" applyAlignment="1" applyProtection="1">
      <alignment horizontal="left" vertical="center"/>
      <protection locked="0"/>
    </xf>
    <xf numFmtId="179" fontId="46" fillId="0" borderId="43" xfId="0" applyNumberFormat="1" applyFont="1" applyBorder="1" applyAlignment="1" applyProtection="1">
      <alignment horizontal="left" vertical="center"/>
      <protection locked="0"/>
    </xf>
    <xf numFmtId="179" fontId="46" fillId="0" borderId="38" xfId="0" applyNumberFormat="1" applyFont="1" applyBorder="1" applyAlignment="1" applyProtection="1">
      <alignment horizontal="left" vertical="center"/>
      <protection locked="0"/>
    </xf>
    <xf numFmtId="178" fontId="46" fillId="0" borderId="73" xfId="0" applyNumberFormat="1" applyFont="1" applyBorder="1" applyAlignment="1" applyProtection="1">
      <alignment horizontal="right" vertical="center"/>
      <protection locked="0"/>
    </xf>
    <xf numFmtId="178" fontId="46" fillId="0" borderId="43" xfId="0" applyNumberFormat="1" applyFont="1" applyBorder="1" applyAlignment="1" applyProtection="1">
      <alignment horizontal="right" vertical="center"/>
      <protection locked="0"/>
    </xf>
    <xf numFmtId="178" fontId="46" fillId="0" borderId="38" xfId="0" applyNumberFormat="1" applyFont="1" applyBorder="1" applyAlignment="1">
      <alignment horizontal="right" vertical="center"/>
    </xf>
    <xf numFmtId="0" fontId="52" fillId="0" borderId="76" xfId="0" applyFont="1" applyBorder="1" applyAlignment="1">
      <alignment horizontal="left" vertical="center"/>
    </xf>
    <xf numFmtId="178" fontId="52" fillId="0" borderId="77" xfId="0" applyNumberFormat="1" applyFont="1" applyBorder="1" applyAlignment="1">
      <alignment horizontal="right" vertical="center"/>
    </xf>
    <xf numFmtId="178" fontId="52" fillId="0" borderId="75" xfId="0" applyNumberFormat="1" applyFont="1" applyBorder="1" applyAlignment="1">
      <alignment horizontal="right" vertical="center"/>
    </xf>
    <xf numFmtId="178" fontId="52" fillId="0" borderId="78" xfId="0" applyNumberFormat="1" applyFont="1" applyBorder="1" applyAlignment="1">
      <alignment horizontal="right" vertical="center"/>
    </xf>
    <xf numFmtId="40" fontId="52" fillId="0" borderId="0" xfId="0" applyNumberFormat="1" applyFont="1" applyAlignment="1">
      <alignment vertical="center"/>
    </xf>
    <xf numFmtId="0" fontId="52" fillId="0" borderId="0" xfId="0" applyFont="1"/>
    <xf numFmtId="178" fontId="52" fillId="0" borderId="0" xfId="0" applyNumberFormat="1" applyFont="1"/>
    <xf numFmtId="0" fontId="46" fillId="0" borderId="0" xfId="0" applyFont="1"/>
    <xf numFmtId="0" fontId="9" fillId="0" borderId="0" xfId="0" applyFont="1"/>
    <xf numFmtId="0" fontId="9" fillId="0" borderId="50" xfId="0" applyFont="1" applyBorder="1"/>
    <xf numFmtId="0" fontId="9" fillId="0" borderId="81" xfId="0" applyFont="1" applyBorder="1"/>
    <xf numFmtId="0" fontId="57" fillId="0" borderId="0" xfId="0" applyFont="1" applyAlignment="1">
      <alignment horizontal="left"/>
    </xf>
    <xf numFmtId="0" fontId="57" fillId="0" borderId="82" xfId="0" applyFont="1" applyBorder="1" applyAlignment="1">
      <alignment horizontal="left"/>
    </xf>
    <xf numFmtId="0" fontId="53" fillId="0" borderId="81" xfId="0" applyFont="1" applyBorder="1"/>
    <xf numFmtId="0" fontId="53" fillId="0" borderId="0" xfId="0" applyFont="1"/>
    <xf numFmtId="0" fontId="53" fillId="0" borderId="0" xfId="0" applyFont="1" applyAlignment="1">
      <alignment horizontal="right" vertical="center"/>
    </xf>
    <xf numFmtId="180" fontId="53" fillId="0" borderId="82" xfId="0" applyNumberFormat="1" applyFont="1" applyBorder="1" applyAlignment="1">
      <alignment horizontal="centerContinuous"/>
    </xf>
    <xf numFmtId="0" fontId="53" fillId="0" borderId="0" xfId="0" applyFont="1" applyAlignment="1">
      <alignment horizontal="right"/>
    </xf>
    <xf numFmtId="180" fontId="53" fillId="0" borderId="82" xfId="0" applyNumberFormat="1" applyFont="1" applyBorder="1"/>
    <xf numFmtId="0" fontId="58" fillId="0" borderId="0" xfId="0" applyFont="1"/>
    <xf numFmtId="179" fontId="60" fillId="36" borderId="42" xfId="0" applyNumberFormat="1" applyFont="1" applyFill="1" applyBorder="1" applyAlignment="1" applyProtection="1">
      <alignment horizontal="left" vertical="center"/>
      <protection locked="0"/>
    </xf>
    <xf numFmtId="180" fontId="53" fillId="36" borderId="0" xfId="0" applyNumberFormat="1" applyFont="1" applyFill="1"/>
    <xf numFmtId="181" fontId="60" fillId="2" borderId="0" xfId="0" applyNumberFormat="1" applyFont="1" applyFill="1" applyAlignment="1">
      <alignment horizontal="left" vertical="center"/>
    </xf>
    <xf numFmtId="180" fontId="53" fillId="0" borderId="0" xfId="0" applyNumberFormat="1" applyFont="1"/>
    <xf numFmtId="180" fontId="61" fillId="0" borderId="82" xfId="0" applyNumberFormat="1" applyFont="1" applyBorder="1" applyAlignment="1">
      <alignment horizontal="center" vertical="top"/>
    </xf>
    <xf numFmtId="0" fontId="53" fillId="0" borderId="0" xfId="0" applyFont="1" applyAlignment="1">
      <alignment horizontal="centerContinuous"/>
    </xf>
    <xf numFmtId="0" fontId="53" fillId="0" borderId="82" xfId="0" applyFont="1" applyBorder="1" applyAlignment="1">
      <alignment horizontal="centerContinuous"/>
    </xf>
    <xf numFmtId="0" fontId="53" fillId="35" borderId="83" xfId="0" applyFont="1" applyFill="1" applyBorder="1" applyAlignment="1">
      <alignment horizontal="center" vertical="center"/>
    </xf>
    <xf numFmtId="0" fontId="53" fillId="35" borderId="86" xfId="0" applyFont="1" applyFill="1" applyBorder="1" applyAlignment="1">
      <alignment horizontal="centerContinuous" vertical="center"/>
    </xf>
    <xf numFmtId="49" fontId="53" fillId="35" borderId="68" xfId="0" applyNumberFormat="1" applyFont="1" applyFill="1" applyBorder="1" applyAlignment="1">
      <alignment horizontal="center"/>
    </xf>
    <xf numFmtId="0" fontId="53" fillId="35" borderId="87" xfId="0" applyFont="1" applyFill="1" applyBorder="1" applyAlignment="1" applyProtection="1">
      <alignment horizontal="left"/>
      <protection locked="0"/>
    </xf>
    <xf numFmtId="0" fontId="53" fillId="35" borderId="53" xfId="0" applyFont="1" applyFill="1" applyBorder="1" applyAlignment="1" applyProtection="1">
      <alignment horizontal="left"/>
      <protection locked="0"/>
    </xf>
    <xf numFmtId="0" fontId="53" fillId="35" borderId="88" xfId="0" applyFont="1" applyFill="1" applyBorder="1" applyAlignment="1" applyProtection="1">
      <alignment horizontal="left"/>
      <protection locked="0"/>
    </xf>
    <xf numFmtId="182" fontId="53" fillId="35" borderId="38" xfId="0" applyNumberFormat="1" applyFont="1" applyFill="1" applyBorder="1" applyProtection="1">
      <protection locked="0"/>
    </xf>
    <xf numFmtId="0" fontId="53" fillId="35" borderId="89" xfId="0" applyFont="1" applyFill="1" applyBorder="1" applyAlignment="1" applyProtection="1">
      <alignment horizontal="left"/>
      <protection locked="0"/>
    </xf>
    <xf numFmtId="0" fontId="53" fillId="35" borderId="47" xfId="0" applyFont="1" applyFill="1" applyBorder="1" applyAlignment="1" applyProtection="1">
      <alignment horizontal="left"/>
      <protection locked="0"/>
    </xf>
    <xf numFmtId="0" fontId="53" fillId="35" borderId="8" xfId="0" applyFont="1" applyFill="1" applyBorder="1" applyAlignment="1" applyProtection="1">
      <alignment horizontal="left"/>
      <protection locked="0"/>
    </xf>
    <xf numFmtId="0" fontId="53" fillId="35" borderId="90" xfId="0" applyFont="1" applyFill="1" applyBorder="1" applyAlignment="1" applyProtection="1">
      <alignment horizontal="left"/>
      <protection locked="0"/>
    </xf>
    <xf numFmtId="0" fontId="53" fillId="35" borderId="23" xfId="0" applyFont="1" applyFill="1" applyBorder="1" applyAlignment="1" applyProtection="1">
      <alignment horizontal="left"/>
      <protection locked="0"/>
    </xf>
    <xf numFmtId="0" fontId="53" fillId="35" borderId="24" xfId="0" applyFont="1" applyFill="1" applyBorder="1" applyAlignment="1" applyProtection="1">
      <alignment horizontal="left"/>
      <protection locked="0"/>
    </xf>
    <xf numFmtId="182" fontId="53" fillId="2" borderId="36" xfId="0" applyNumberFormat="1" applyFont="1" applyFill="1" applyBorder="1"/>
    <xf numFmtId="0" fontId="53" fillId="0" borderId="92" xfId="0" applyFont="1" applyBorder="1" applyAlignment="1">
      <alignment horizontal="centerContinuous"/>
    </xf>
    <xf numFmtId="182" fontId="53" fillId="0" borderId="93" xfId="0" applyNumberFormat="1" applyFont="1" applyBorder="1" applyAlignment="1">
      <alignment horizontal="centerContinuous"/>
    </xf>
    <xf numFmtId="0" fontId="53" fillId="35" borderId="94" xfId="0" applyFont="1" applyFill="1" applyBorder="1"/>
    <xf numFmtId="182" fontId="53" fillId="35" borderId="97" xfId="0" applyNumberFormat="1" applyFont="1" applyFill="1" applyBorder="1" applyAlignment="1">
      <alignment horizontal="centerContinuous" vertical="center"/>
    </xf>
    <xf numFmtId="0" fontId="53" fillId="35" borderId="98" xfId="0" applyFont="1" applyFill="1" applyBorder="1" applyAlignment="1" applyProtection="1">
      <alignment horizontal="left"/>
      <protection locked="0"/>
    </xf>
    <xf numFmtId="0" fontId="53" fillId="35" borderId="99" xfId="0" applyFont="1" applyFill="1" applyBorder="1" applyAlignment="1" applyProtection="1">
      <alignment horizontal="left"/>
      <protection locked="0"/>
    </xf>
    <xf numFmtId="0" fontId="53" fillId="35" borderId="100" xfId="0" applyFont="1" applyFill="1" applyBorder="1" applyAlignment="1" applyProtection="1">
      <alignment horizontal="left"/>
      <protection locked="0"/>
    </xf>
    <xf numFmtId="182" fontId="53" fillId="35" borderId="101" xfId="0" applyNumberFormat="1" applyFont="1" applyFill="1" applyBorder="1" applyProtection="1">
      <protection locked="0"/>
    </xf>
    <xf numFmtId="0" fontId="53" fillId="35" borderId="55" xfId="0" applyFont="1" applyFill="1" applyBorder="1" applyAlignment="1" applyProtection="1">
      <alignment horizontal="left"/>
      <protection locked="0"/>
    </xf>
    <xf numFmtId="0" fontId="53" fillId="35" borderId="102" xfId="0" applyFont="1" applyFill="1" applyBorder="1" applyAlignment="1" applyProtection="1">
      <alignment horizontal="left"/>
      <protection locked="0"/>
    </xf>
    <xf numFmtId="39" fontId="53" fillId="0" borderId="0" xfId="0" applyNumberFormat="1" applyFont="1"/>
    <xf numFmtId="0" fontId="53" fillId="35" borderId="103" xfId="0" applyFont="1" applyFill="1" applyBorder="1" applyAlignment="1" applyProtection="1">
      <alignment horizontal="left"/>
      <protection locked="0"/>
    </xf>
    <xf numFmtId="0" fontId="53" fillId="35" borderId="104" xfId="0" applyFont="1" applyFill="1" applyBorder="1" applyAlignment="1" applyProtection="1">
      <alignment horizontal="left"/>
      <protection locked="0"/>
    </xf>
    <xf numFmtId="0" fontId="53" fillId="35" borderId="105" xfId="0" applyFont="1" applyFill="1" applyBorder="1" applyAlignment="1" applyProtection="1">
      <alignment horizontal="left"/>
      <protection locked="0"/>
    </xf>
    <xf numFmtId="182" fontId="53" fillId="35" borderId="106" xfId="0" applyNumberFormat="1" applyFont="1" applyFill="1" applyBorder="1" applyProtection="1">
      <protection locked="0"/>
    </xf>
    <xf numFmtId="178" fontId="53" fillId="0" borderId="0" xfId="0" applyNumberFormat="1" applyFont="1"/>
    <xf numFmtId="0" fontId="58" fillId="0" borderId="92" xfId="0" applyFont="1" applyBorder="1" applyAlignment="1">
      <alignment horizontal="left"/>
    </xf>
    <xf numFmtId="0" fontId="53" fillId="0" borderId="92" xfId="0" applyFont="1" applyBorder="1"/>
    <xf numFmtId="182" fontId="53" fillId="0" borderId="93" xfId="0" applyNumberFormat="1" applyFont="1" applyBorder="1"/>
    <xf numFmtId="0" fontId="53" fillId="35" borderId="107" xfId="0" applyFont="1" applyFill="1" applyBorder="1" applyAlignment="1">
      <alignment vertical="center"/>
    </xf>
    <xf numFmtId="0" fontId="53" fillId="35" borderId="108" xfId="0" applyFont="1" applyFill="1" applyBorder="1" applyAlignment="1">
      <alignment horizontal="center" vertical="center"/>
    </xf>
    <xf numFmtId="0" fontId="53" fillId="35" borderId="109" xfId="0" applyFont="1" applyFill="1" applyBorder="1" applyAlignment="1">
      <alignment horizontal="center" vertical="center"/>
    </xf>
    <xf numFmtId="182" fontId="53" fillId="35" borderId="110" xfId="0" applyNumberFormat="1" applyFont="1" applyFill="1" applyBorder="1" applyAlignment="1">
      <alignment horizontal="center" vertical="center"/>
    </xf>
    <xf numFmtId="0" fontId="53" fillId="35" borderId="111" xfId="0" applyFont="1" applyFill="1" applyBorder="1" applyAlignment="1" applyProtection="1">
      <alignment horizontal="left"/>
      <protection locked="0"/>
    </xf>
    <xf numFmtId="183" fontId="53" fillId="35" borderId="106" xfId="0" applyNumberFormat="1" applyFont="1" applyFill="1" applyBorder="1" applyAlignment="1" applyProtection="1">
      <alignment horizontal="right"/>
      <protection locked="0"/>
    </xf>
    <xf numFmtId="0" fontId="53" fillId="35" borderId="112" xfId="0" applyFont="1" applyFill="1" applyBorder="1" applyAlignment="1" applyProtection="1">
      <alignment horizontal="left"/>
      <protection locked="0"/>
    </xf>
    <xf numFmtId="0" fontId="53" fillId="35" borderId="113" xfId="0" applyFont="1" applyFill="1" applyBorder="1" applyAlignment="1" applyProtection="1">
      <alignment horizontal="left"/>
      <protection locked="0"/>
    </xf>
    <xf numFmtId="0" fontId="53" fillId="35" borderId="115" xfId="0" applyFont="1" applyFill="1" applyBorder="1" applyAlignment="1" applyProtection="1">
      <alignment horizontal="left"/>
      <protection locked="0"/>
    </xf>
    <xf numFmtId="183" fontId="53" fillId="35" borderId="116" xfId="0" applyNumberFormat="1" applyFont="1" applyFill="1" applyBorder="1" applyAlignment="1" applyProtection="1">
      <alignment horizontal="right"/>
      <protection locked="0"/>
    </xf>
    <xf numFmtId="10" fontId="53" fillId="0" borderId="0" xfId="0" applyNumberFormat="1" applyFont="1"/>
    <xf numFmtId="183" fontId="53" fillId="2" borderId="36" xfId="0" applyNumberFormat="1" applyFont="1" applyFill="1" applyBorder="1"/>
    <xf numFmtId="10" fontId="53" fillId="35" borderId="118" xfId="0" applyNumberFormat="1" applyFont="1" applyFill="1" applyBorder="1" applyAlignment="1" applyProtection="1">
      <alignment horizontal="center" vertical="center"/>
      <protection locked="0"/>
    </xf>
    <xf numFmtId="184" fontId="53" fillId="35" borderId="121" xfId="0" applyNumberFormat="1" applyFont="1" applyFill="1" applyBorder="1" applyAlignment="1" applyProtection="1">
      <alignment horizontal="center"/>
      <protection locked="0"/>
    </xf>
    <xf numFmtId="183" fontId="53" fillId="2" borderId="67" xfId="0" applyNumberFormat="1" applyFont="1" applyFill="1" applyBorder="1" applyProtection="1">
      <protection locked="0"/>
    </xf>
    <xf numFmtId="0" fontId="53" fillId="0" borderId="124" xfId="0" applyFont="1" applyBorder="1"/>
    <xf numFmtId="0" fontId="53" fillId="0" borderId="0" xfId="0" applyFont="1" applyAlignment="1">
      <alignment horizontal="left"/>
    </xf>
    <xf numFmtId="183" fontId="53" fillId="35" borderId="125" xfId="0" applyNumberFormat="1" applyFont="1" applyFill="1" applyBorder="1" applyProtection="1">
      <protection locked="0"/>
    </xf>
    <xf numFmtId="0" fontId="62" fillId="0" borderId="0" xfId="0" applyFont="1" applyAlignment="1">
      <alignment horizontal="centerContinuous"/>
    </xf>
    <xf numFmtId="184" fontId="53" fillId="35" borderId="130" xfId="0" applyNumberFormat="1" applyFont="1" applyFill="1" applyBorder="1" applyAlignment="1" applyProtection="1">
      <alignment horizontal="center"/>
      <protection locked="0"/>
    </xf>
    <xf numFmtId="183" fontId="53" fillId="2" borderId="116" xfId="0" applyNumberFormat="1" applyFont="1" applyFill="1" applyBorder="1" applyProtection="1">
      <protection locked="0"/>
    </xf>
    <xf numFmtId="9" fontId="53" fillId="0" borderId="0" xfId="0" applyNumberFormat="1" applyFont="1"/>
    <xf numFmtId="183" fontId="53" fillId="35" borderId="134" xfId="0" applyNumberFormat="1" applyFont="1" applyFill="1" applyBorder="1" applyProtection="1">
      <protection locked="0"/>
    </xf>
    <xf numFmtId="184" fontId="53" fillId="0" borderId="0" xfId="0" applyNumberFormat="1" applyFont="1"/>
    <xf numFmtId="183" fontId="53" fillId="0" borderId="0" xfId="0" applyNumberFormat="1" applyFont="1"/>
    <xf numFmtId="0" fontId="53" fillId="0" borderId="135" xfId="0" applyFont="1" applyBorder="1" applyAlignment="1">
      <alignment horizontal="left"/>
    </xf>
    <xf numFmtId="9" fontId="53" fillId="0" borderId="136" xfId="0" applyNumberFormat="1" applyFont="1" applyBorder="1" applyAlignment="1">
      <alignment horizontal="center"/>
    </xf>
    <xf numFmtId="182" fontId="53" fillId="0" borderId="130" xfId="0" applyNumberFormat="1" applyFont="1" applyBorder="1" applyProtection="1">
      <protection locked="0"/>
    </xf>
    <xf numFmtId="182" fontId="53" fillId="2" borderId="137" xfId="0" applyNumberFormat="1" applyFont="1" applyFill="1" applyBorder="1"/>
    <xf numFmtId="0" fontId="53" fillId="0" borderId="135" xfId="0" applyFont="1" applyBorder="1" applyAlignment="1">
      <alignment horizontal="right"/>
    </xf>
    <xf numFmtId="182" fontId="53" fillId="0" borderId="128" xfId="0" applyNumberFormat="1" applyFont="1" applyBorder="1"/>
    <xf numFmtId="182" fontId="53" fillId="2" borderId="129" xfId="0" applyNumberFormat="1" applyFont="1" applyFill="1" applyBorder="1"/>
    <xf numFmtId="183" fontId="53" fillId="35" borderId="125" xfId="0" applyNumberFormat="1" applyFont="1" applyFill="1" applyBorder="1" applyAlignment="1" applyProtection="1">
      <alignment horizontal="right"/>
      <protection locked="0"/>
    </xf>
    <xf numFmtId="182" fontId="53" fillId="0" borderId="0" xfId="0" applyNumberFormat="1" applyFont="1"/>
    <xf numFmtId="0" fontId="53" fillId="0" borderId="126" xfId="0" applyFont="1" applyBorder="1" applyAlignment="1">
      <alignment horizontal="left"/>
    </xf>
    <xf numFmtId="0" fontId="53" fillId="0" borderId="127" xfId="0" applyFont="1" applyBorder="1" applyAlignment="1">
      <alignment horizontal="right"/>
    </xf>
    <xf numFmtId="182" fontId="58" fillId="0" borderId="36" xfId="0" applyNumberFormat="1" applyFont="1" applyBorder="1"/>
    <xf numFmtId="182" fontId="58" fillId="2" borderId="36" xfId="0" applyNumberFormat="1" applyFont="1" applyFill="1" applyBorder="1"/>
    <xf numFmtId="183" fontId="53" fillId="2" borderId="37" xfId="0" applyNumberFormat="1" applyFont="1" applyFill="1" applyBorder="1"/>
    <xf numFmtId="182" fontId="58" fillId="2" borderId="0" xfId="0" applyNumberFormat="1" applyFont="1" applyFill="1"/>
    <xf numFmtId="183" fontId="53" fillId="2" borderId="125" xfId="0" applyNumberFormat="1" applyFont="1" applyFill="1" applyBorder="1"/>
    <xf numFmtId="0" fontId="58" fillId="0" borderId="0" xfId="0" applyFont="1" applyAlignment="1">
      <alignment horizontal="right"/>
    </xf>
    <xf numFmtId="183" fontId="58" fillId="2" borderId="36" xfId="0" applyNumberFormat="1" applyFont="1" applyFill="1" applyBorder="1"/>
    <xf numFmtId="0" fontId="53" fillId="35" borderId="138" xfId="0" applyFont="1" applyFill="1" applyBorder="1" applyAlignment="1">
      <alignment horizontal="center" vertical="center"/>
    </xf>
    <xf numFmtId="182" fontId="53" fillId="35" borderId="139" xfId="0" applyNumberFormat="1" applyFont="1" applyFill="1" applyBorder="1" applyAlignment="1">
      <alignment horizontal="centerContinuous" vertical="center"/>
    </xf>
    <xf numFmtId="0" fontId="53" fillId="0" borderId="82" xfId="0" applyFont="1" applyBorder="1"/>
    <xf numFmtId="1" fontId="58" fillId="35" borderId="98" xfId="0" applyNumberFormat="1" applyFont="1" applyFill="1" applyBorder="1" applyAlignment="1">
      <alignment horizontal="center"/>
    </xf>
    <xf numFmtId="182" fontId="53" fillId="35" borderId="130" xfId="0" applyNumberFormat="1" applyFont="1" applyFill="1" applyBorder="1"/>
    <xf numFmtId="0" fontId="58" fillId="0" borderId="0" xfId="0" applyFont="1" applyAlignment="1">
      <alignment horizontal="center" vertical="justify"/>
    </xf>
    <xf numFmtId="0" fontId="58" fillId="0" borderId="82" xfId="0" applyFont="1" applyBorder="1" applyAlignment="1">
      <alignment horizontal="right" vertical="justify"/>
    </xf>
    <xf numFmtId="0" fontId="58" fillId="35" borderId="55" xfId="0" applyFont="1" applyFill="1" applyBorder="1" applyAlignment="1">
      <alignment horizontal="center"/>
    </xf>
    <xf numFmtId="0" fontId="53" fillId="0" borderId="0" xfId="0" applyFont="1" applyAlignment="1">
      <alignment horizontal="center"/>
    </xf>
    <xf numFmtId="182" fontId="58" fillId="2" borderId="0" xfId="0" applyNumberFormat="1" applyFont="1" applyFill="1" applyAlignment="1">
      <alignment horizontal="right"/>
    </xf>
    <xf numFmtId="0" fontId="58" fillId="0" borderId="0" xfId="0" applyFont="1" applyAlignment="1">
      <alignment horizontal="center" vertical="justify" wrapText="1"/>
    </xf>
    <xf numFmtId="0" fontId="9" fillId="0" borderId="0" xfId="0" applyFont="1" applyAlignment="1">
      <alignment vertical="justify"/>
    </xf>
    <xf numFmtId="0" fontId="9" fillId="0" borderId="82" xfId="0" applyFont="1" applyBorder="1"/>
    <xf numFmtId="0" fontId="9" fillId="35" borderId="81" xfId="0" applyFont="1" applyFill="1" applyBorder="1"/>
    <xf numFmtId="0" fontId="9" fillId="35" borderId="0" xfId="0" applyFont="1" applyFill="1"/>
    <xf numFmtId="0" fontId="53" fillId="35" borderId="82" xfId="0" applyFont="1" applyFill="1" applyBorder="1"/>
    <xf numFmtId="0" fontId="58" fillId="0" borderId="0" xfId="0" applyFont="1" applyAlignment="1">
      <alignment horizontal="left" vertical="justify"/>
    </xf>
    <xf numFmtId="0" fontId="58" fillId="0" borderId="0" xfId="0" applyFont="1" applyAlignment="1">
      <alignment horizontal="center"/>
    </xf>
    <xf numFmtId="185" fontId="9" fillId="35" borderId="82" xfId="0" applyNumberFormat="1" applyFont="1" applyFill="1" applyBorder="1"/>
    <xf numFmtId="0" fontId="9" fillId="35" borderId="0" xfId="0" applyFont="1" applyFill="1" applyProtection="1">
      <protection locked="0"/>
    </xf>
    <xf numFmtId="15" fontId="9" fillId="35" borderId="82" xfId="0" applyNumberFormat="1" applyFont="1" applyFill="1" applyBorder="1" applyAlignment="1" applyProtection="1">
      <alignment horizontal="center"/>
      <protection locked="0"/>
    </xf>
    <xf numFmtId="0" fontId="7" fillId="0" borderId="8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53" fillId="35" borderId="149" xfId="0" applyFont="1" applyFill="1" applyBorder="1" applyAlignment="1">
      <alignment horizontal="centerContinuous" vertical="center"/>
    </xf>
    <xf numFmtId="0" fontId="53" fillId="35" borderId="108" xfId="0" applyFont="1" applyFill="1" applyBorder="1" applyAlignment="1">
      <alignment horizontal="centerContinuous" vertical="center"/>
    </xf>
    <xf numFmtId="0" fontId="53" fillId="35" borderId="109" xfId="0" applyFont="1" applyFill="1" applyBorder="1" applyAlignment="1">
      <alignment horizontal="centerContinuous" vertical="center"/>
    </xf>
    <xf numFmtId="0" fontId="53" fillId="35" borderId="150" xfId="0" applyFont="1" applyFill="1" applyBorder="1" applyAlignment="1">
      <alignment horizontal="centerContinuous" vertical="center"/>
    </xf>
    <xf numFmtId="0" fontId="53" fillId="35" borderId="151" xfId="0" applyFont="1" applyFill="1" applyBorder="1" applyAlignment="1">
      <alignment horizontal="center" vertical="center"/>
    </xf>
    <xf numFmtId="182" fontId="8" fillId="0" borderId="0" xfId="0" applyNumberFormat="1" applyFont="1"/>
    <xf numFmtId="181" fontId="53" fillId="0" borderId="152" xfId="0" applyNumberFormat="1" applyFont="1" applyBorder="1"/>
    <xf numFmtId="49" fontId="53" fillId="2" borderId="153" xfId="0" applyNumberFormat="1" applyFont="1" applyFill="1" applyBorder="1"/>
    <xf numFmtId="0" fontId="53" fillId="2" borderId="154" xfId="0" applyFont="1" applyFill="1" applyBorder="1"/>
    <xf numFmtId="182" fontId="53" fillId="2" borderId="123" xfId="0" applyNumberFormat="1" applyFont="1" applyFill="1" applyBorder="1" applyAlignment="1">
      <alignment horizontal="left"/>
    </xf>
    <xf numFmtId="182" fontId="53" fillId="2" borderId="155" xfId="0" applyNumberFormat="1" applyFont="1" applyFill="1" applyBorder="1" applyAlignment="1">
      <alignment horizontal="left"/>
    </xf>
    <xf numFmtId="182" fontId="53" fillId="2" borderId="155" xfId="0" applyNumberFormat="1" applyFont="1" applyFill="1" applyBorder="1"/>
    <xf numFmtId="182" fontId="53" fillId="2" borderId="156" xfId="0" applyNumberFormat="1" applyFont="1" applyFill="1" applyBorder="1"/>
    <xf numFmtId="186" fontId="53" fillId="2" borderId="157" xfId="0" applyNumberFormat="1" applyFont="1" applyFill="1" applyBorder="1" applyAlignment="1">
      <alignment horizontal="centerContinuous"/>
    </xf>
    <xf numFmtId="0" fontId="53" fillId="2" borderId="158" xfId="0" applyFont="1" applyFill="1" applyBorder="1" applyAlignment="1">
      <alignment horizontal="left"/>
    </xf>
    <xf numFmtId="0" fontId="53" fillId="2" borderId="136" xfId="0" applyFont="1" applyFill="1" applyBorder="1" applyAlignment="1">
      <alignment horizontal="left"/>
    </xf>
    <xf numFmtId="182" fontId="53" fillId="2" borderId="123" xfId="0" applyNumberFormat="1" applyFont="1" applyFill="1" applyBorder="1"/>
    <xf numFmtId="182" fontId="53" fillId="0" borderId="155" xfId="0" applyNumberFormat="1" applyFont="1" applyBorder="1" applyProtection="1">
      <protection locked="0"/>
    </xf>
    <xf numFmtId="182" fontId="53" fillId="0" borderId="155" xfId="0" applyNumberFormat="1" applyFont="1" applyBorder="1"/>
    <xf numFmtId="0" fontId="53" fillId="2" borderId="157" xfId="0" applyFont="1" applyFill="1" applyBorder="1" applyAlignment="1">
      <alignment horizontal="left"/>
    </xf>
    <xf numFmtId="182" fontId="53" fillId="0" borderId="155" xfId="0" applyNumberFormat="1" applyFont="1" applyBorder="1" applyAlignment="1" applyProtection="1">
      <alignment horizontal="right"/>
      <protection locked="0"/>
    </xf>
    <xf numFmtId="0" fontId="53" fillId="2" borderId="136" xfId="0" applyFont="1" applyFill="1" applyBorder="1"/>
    <xf numFmtId="182" fontId="53" fillId="2" borderId="123" xfId="0" applyNumberFormat="1" applyFont="1" applyFill="1" applyBorder="1" applyAlignment="1">
      <alignment horizontal="right"/>
    </xf>
    <xf numFmtId="182" fontId="53" fillId="2" borderId="159" xfId="0" applyNumberFormat="1" applyFont="1" applyFill="1" applyBorder="1"/>
    <xf numFmtId="182" fontId="53" fillId="2" borderId="160" xfId="0" applyNumberFormat="1" applyFont="1" applyFill="1" applyBorder="1"/>
    <xf numFmtId="182" fontId="53" fillId="2" borderId="0" xfId="0" applyNumberFormat="1" applyFont="1" applyFill="1"/>
    <xf numFmtId="0" fontId="53" fillId="2" borderId="161" xfId="0" applyFont="1" applyFill="1" applyBorder="1" applyAlignment="1">
      <alignment horizontal="centerContinuous"/>
    </xf>
    <xf numFmtId="0" fontId="53" fillId="2" borderId="162" xfId="0" applyFont="1" applyFill="1" applyBorder="1" applyAlignment="1">
      <alignment horizontal="left"/>
    </xf>
    <xf numFmtId="0" fontId="53" fillId="2" borderId="147" xfId="0" applyFont="1" applyFill="1" applyBorder="1" applyAlignment="1">
      <alignment horizontal="centerContinuous"/>
    </xf>
    <xf numFmtId="182" fontId="53" fillId="2" borderId="163" xfId="0" applyNumberFormat="1" applyFont="1" applyFill="1" applyBorder="1" applyAlignment="1">
      <alignment horizontal="centerContinuous"/>
    </xf>
    <xf numFmtId="182" fontId="53" fillId="2" borderId="164" xfId="0" applyNumberFormat="1" applyFont="1" applyFill="1" applyBorder="1" applyAlignment="1">
      <alignment horizontal="right"/>
    </xf>
    <xf numFmtId="182" fontId="53" fillId="2" borderId="165" xfId="0" applyNumberFormat="1" applyFont="1" applyFill="1" applyBorder="1"/>
    <xf numFmtId="182" fontId="53" fillId="2" borderId="166" xfId="0" applyNumberFormat="1" applyFont="1" applyFill="1" applyBorder="1"/>
    <xf numFmtId="0" fontId="45" fillId="0" borderId="0" xfId="0" applyFont="1" applyAlignment="1">
      <alignment horizontal="right"/>
    </xf>
    <xf numFmtId="0" fontId="45" fillId="0" borderId="0" xfId="0" applyFont="1" applyAlignment="1">
      <alignment horizontal="left"/>
    </xf>
    <xf numFmtId="175" fontId="9" fillId="0" borderId="0" xfId="0" applyNumberFormat="1" applyFont="1"/>
    <xf numFmtId="182" fontId="45" fillId="0" borderId="0" xfId="0" applyNumberFormat="1" applyFont="1" applyAlignment="1">
      <alignment horizontal="left"/>
    </xf>
    <xf numFmtId="0" fontId="8" fillId="0" borderId="0" xfId="102"/>
    <xf numFmtId="0" fontId="45" fillId="0" borderId="0" xfId="102" applyFont="1"/>
    <xf numFmtId="0" fontId="69" fillId="37" borderId="48" xfId="102" applyFont="1" applyFill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169" xfId="0" applyBorder="1"/>
    <xf numFmtId="0" fontId="0" fillId="0" borderId="56" xfId="0" applyBorder="1"/>
    <xf numFmtId="0" fontId="58" fillId="2" borderId="36" xfId="102" applyFont="1" applyFill="1" applyBorder="1" applyAlignment="1">
      <alignment horizontal="center" vertical="center"/>
    </xf>
    <xf numFmtId="0" fontId="19" fillId="2" borderId="81" xfId="102" applyFont="1" applyFill="1" applyBorder="1" applyAlignment="1">
      <alignment horizontal="center" vertical="center"/>
    </xf>
    <xf numFmtId="0" fontId="19" fillId="2" borderId="0" xfId="102" applyFont="1" applyFill="1" applyAlignment="1">
      <alignment horizontal="left" vertical="center"/>
    </xf>
    <xf numFmtId="0" fontId="0" fillId="0" borderId="173" xfId="0" applyBorder="1"/>
    <xf numFmtId="0" fontId="0" fillId="0" borderId="57" xfId="0" applyBorder="1"/>
    <xf numFmtId="0" fontId="75" fillId="0" borderId="171" xfId="102" applyFont="1" applyBorder="1"/>
    <xf numFmtId="0" fontId="75" fillId="0" borderId="163" xfId="102" applyFont="1" applyBorder="1"/>
    <xf numFmtId="0" fontId="75" fillId="0" borderId="172" xfId="102" applyFont="1" applyBorder="1"/>
    <xf numFmtId="0" fontId="18" fillId="0" borderId="174" xfId="102" applyFont="1" applyBorder="1" applyAlignment="1">
      <alignment horizontal="left" vertical="center" indent="1"/>
    </xf>
    <xf numFmtId="0" fontId="18" fillId="0" borderId="175" xfId="102" applyFont="1" applyBorder="1" applyAlignment="1">
      <alignment horizontal="left" vertical="center" indent="1"/>
    </xf>
    <xf numFmtId="0" fontId="18" fillId="0" borderId="183" xfId="102" applyFont="1" applyBorder="1" applyAlignment="1">
      <alignment horizontal="left" vertical="center" indent="1"/>
    </xf>
    <xf numFmtId="0" fontId="7" fillId="0" borderId="187" xfId="102" applyFont="1" applyBorder="1" applyAlignment="1">
      <alignment horizontal="center" vertical="center"/>
    </xf>
    <xf numFmtId="0" fontId="7" fillId="0" borderId="188" xfId="102" applyFont="1" applyBorder="1" applyAlignment="1">
      <alignment horizontal="center" vertical="center"/>
    </xf>
    <xf numFmtId="0" fontId="7" fillId="0" borderId="189" xfId="102" applyFont="1" applyBorder="1" applyAlignment="1">
      <alignment horizontal="center" vertical="center"/>
    </xf>
    <xf numFmtId="178" fontId="45" fillId="0" borderId="0" xfId="102" applyNumberFormat="1" applyFont="1"/>
    <xf numFmtId="0" fontId="77" fillId="0" borderId="0" xfId="102" quotePrefix="1" applyFont="1"/>
    <xf numFmtId="0" fontId="8" fillId="0" borderId="193" xfId="102" applyBorder="1" applyAlignment="1">
      <alignment horizontal="left" vertical="center" indent="1"/>
    </xf>
    <xf numFmtId="0" fontId="8" fillId="0" borderId="194" xfId="102" applyBorder="1" applyAlignment="1">
      <alignment horizontal="left" vertical="center" indent="1"/>
    </xf>
    <xf numFmtId="0" fontId="8" fillId="0" borderId="195" xfId="102" applyBorder="1" applyAlignment="1">
      <alignment horizontal="left" vertical="center" indent="1"/>
    </xf>
    <xf numFmtId="0" fontId="7" fillId="0" borderId="196" xfId="102" applyFont="1" applyBorder="1" applyAlignment="1">
      <alignment horizontal="center" vertical="center"/>
    </xf>
    <xf numFmtId="0" fontId="19" fillId="0" borderId="199" xfId="102" applyFont="1" applyBorder="1" applyAlignment="1">
      <alignment horizontal="left" vertical="center" indent="1"/>
    </xf>
    <xf numFmtId="0" fontId="19" fillId="0" borderId="200" xfId="102" applyFont="1" applyBorder="1" applyAlignment="1">
      <alignment horizontal="left" vertical="center" indent="1"/>
    </xf>
    <xf numFmtId="0" fontId="19" fillId="0" borderId="201" xfId="102" applyFont="1" applyBorder="1" applyAlignment="1">
      <alignment horizontal="left" vertical="center" indent="1"/>
    </xf>
    <xf numFmtId="0" fontId="19" fillId="0" borderId="203" xfId="102" applyFont="1" applyBorder="1" applyAlignment="1">
      <alignment horizontal="left" vertical="center" indent="1"/>
    </xf>
    <xf numFmtId="0" fontId="19" fillId="0" borderId="204" xfId="102" applyFont="1" applyBorder="1" applyAlignment="1">
      <alignment horizontal="left" vertical="center" indent="1"/>
    </xf>
    <xf numFmtId="0" fontId="19" fillId="0" borderId="205" xfId="102" applyFont="1" applyBorder="1" applyAlignment="1">
      <alignment horizontal="left" vertical="center" indent="1"/>
    </xf>
    <xf numFmtId="0" fontId="19" fillId="0" borderId="174" xfId="102" applyFont="1" applyBorder="1" applyAlignment="1">
      <alignment horizontal="left" vertical="center" indent="1"/>
    </xf>
    <xf numFmtId="0" fontId="19" fillId="0" borderId="175" xfId="102" applyFont="1" applyBorder="1" applyAlignment="1">
      <alignment horizontal="left" vertical="center" indent="1"/>
    </xf>
    <xf numFmtId="0" fontId="19" fillId="0" borderId="187" xfId="102" applyFont="1" applyBorder="1" applyAlignment="1">
      <alignment horizontal="left" vertical="center" indent="1"/>
    </xf>
    <xf numFmtId="0" fontId="19" fillId="0" borderId="188" xfId="102" applyFont="1" applyBorder="1" applyAlignment="1">
      <alignment horizontal="left" vertical="center" indent="1"/>
    </xf>
    <xf numFmtId="0" fontId="19" fillId="0" borderId="210" xfId="102" applyFont="1" applyBorder="1" applyAlignment="1">
      <alignment horizontal="left" vertical="center" indent="1"/>
    </xf>
    <xf numFmtId="0" fontId="19" fillId="0" borderId="211" xfId="102" applyFont="1" applyBorder="1" applyAlignment="1">
      <alignment horizontal="left" vertical="center" indent="1"/>
    </xf>
    <xf numFmtId="0" fontId="19" fillId="0" borderId="212" xfId="102" applyFont="1" applyBorder="1" applyAlignment="1">
      <alignment horizontal="left" vertical="center" indent="1"/>
    </xf>
    <xf numFmtId="0" fontId="18" fillId="0" borderId="0" xfId="102" applyFont="1" applyAlignment="1">
      <alignment horizontal="left" vertical="center"/>
    </xf>
    <xf numFmtId="0" fontId="19" fillId="0" borderId="0" xfId="102" applyFont="1" applyAlignment="1">
      <alignment horizontal="left" vertical="center" indent="1"/>
    </xf>
    <xf numFmtId="178" fontId="18" fillId="0" borderId="0" xfId="102" quotePrefix="1" applyNumberFormat="1" applyFon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0" fontId="79" fillId="0" borderId="52" xfId="0" applyFont="1" applyBorder="1" applyAlignment="1">
      <alignment horizontal="left" vertical="center"/>
    </xf>
    <xf numFmtId="0" fontId="76" fillId="38" borderId="52" xfId="102" applyFont="1" applyFill="1" applyBorder="1" applyAlignment="1">
      <alignment horizontal="left" vertical="center"/>
    </xf>
    <xf numFmtId="0" fontId="8" fillId="39" borderId="52" xfId="102" applyFill="1" applyBorder="1" applyAlignment="1">
      <alignment horizontal="left" vertical="center"/>
    </xf>
    <xf numFmtId="0" fontId="45" fillId="38" borderId="213" xfId="102" applyFont="1" applyFill="1" applyBorder="1" applyAlignment="1">
      <alignment horizontal="left" vertical="center" indent="1"/>
    </xf>
    <xf numFmtId="0" fontId="8" fillId="39" borderId="56" xfId="102" applyFill="1" applyBorder="1" applyAlignment="1">
      <alignment horizontal="left" vertical="center"/>
    </xf>
    <xf numFmtId="0" fontId="76" fillId="38" borderId="56" xfId="102" applyFont="1" applyFill="1" applyBorder="1" applyAlignment="1">
      <alignment horizontal="left" vertical="center"/>
    </xf>
    <xf numFmtId="0" fontId="8" fillId="39" borderId="56" xfId="102" applyFill="1" applyBorder="1" applyAlignment="1">
      <alignment horizontal="left" vertical="center" wrapText="1"/>
    </xf>
    <xf numFmtId="0" fontId="45" fillId="38" borderId="185" xfId="102" applyFont="1" applyFill="1" applyBorder="1" applyAlignment="1">
      <alignment horizontal="left" vertical="center" indent="1"/>
    </xf>
    <xf numFmtId="0" fontId="8" fillId="39" borderId="56" xfId="102" applyFill="1" applyBorder="1" applyAlignment="1" applyProtection="1">
      <alignment horizontal="left" vertical="center"/>
      <protection locked="0"/>
    </xf>
    <xf numFmtId="0" fontId="45" fillId="38" borderId="191" xfId="102" applyFont="1" applyFill="1" applyBorder="1" applyAlignment="1">
      <alignment horizontal="left" vertical="center" indent="1"/>
    </xf>
    <xf numFmtId="0" fontId="19" fillId="39" borderId="190" xfId="102" applyFont="1" applyFill="1" applyBorder="1" applyAlignment="1">
      <alignment horizontal="left" vertical="center"/>
    </xf>
    <xf numFmtId="0" fontId="72" fillId="39" borderId="191" xfId="0" applyFont="1" applyFill="1" applyBorder="1" applyAlignment="1">
      <alignment vertical="center"/>
    </xf>
    <xf numFmtId="0" fontId="72" fillId="39" borderId="192" xfId="0" applyFont="1" applyFill="1" applyBorder="1" applyAlignment="1">
      <alignment vertical="center"/>
    </xf>
    <xf numFmtId="0" fontId="8" fillId="39" borderId="57" xfId="102" applyFill="1" applyBorder="1" applyAlignment="1">
      <alignment horizontal="left" vertical="center"/>
    </xf>
    <xf numFmtId="0" fontId="76" fillId="38" borderId="57" xfId="102" applyFont="1" applyFill="1" applyBorder="1" applyAlignment="1">
      <alignment horizontal="left" vertical="center"/>
    </xf>
    <xf numFmtId="0" fontId="45" fillId="38" borderId="198" xfId="102" applyFont="1" applyFill="1" applyBorder="1" applyAlignment="1">
      <alignment horizontal="left" vertical="center" indent="1"/>
    </xf>
    <xf numFmtId="0" fontId="45" fillId="38" borderId="0" xfId="102" applyFont="1" applyFill="1" applyAlignment="1">
      <alignment horizontal="left" vertical="center" indent="1"/>
    </xf>
    <xf numFmtId="0" fontId="45" fillId="39" borderId="0" xfId="102" applyFont="1" applyFill="1" applyAlignment="1">
      <alignment horizontal="left" vertical="center" indent="1"/>
    </xf>
    <xf numFmtId="0" fontId="0" fillId="39" borderId="0" xfId="0" applyFill="1" applyAlignment="1">
      <alignment horizontal="left" vertical="center" indent="1"/>
    </xf>
    <xf numFmtId="0" fontId="80" fillId="39" borderId="0" xfId="102" applyFont="1" applyFill="1" applyAlignment="1">
      <alignment horizontal="left" vertical="center" indent="1"/>
    </xf>
    <xf numFmtId="15" fontId="18" fillId="39" borderId="0" xfId="102" applyNumberFormat="1" applyFont="1" applyFill="1" applyAlignment="1">
      <alignment horizontal="left" vertical="center" indent="1"/>
    </xf>
    <xf numFmtId="0" fontId="75" fillId="39" borderId="0" xfId="102" applyFont="1" applyFill="1"/>
    <xf numFmtId="0" fontId="81" fillId="39" borderId="0" xfId="0" applyFont="1" applyFill="1" applyAlignment="1">
      <alignment vertical="center"/>
    </xf>
    <xf numFmtId="0" fontId="10" fillId="0" borderId="214" xfId="59" applyBorder="1"/>
    <xf numFmtId="0" fontId="10" fillId="0" borderId="215" xfId="59" applyBorder="1"/>
    <xf numFmtId="0" fontId="10" fillId="0" borderId="216" xfId="59" applyBorder="1"/>
    <xf numFmtId="0" fontId="10" fillId="0" borderId="17" xfId="59" applyBorder="1"/>
    <xf numFmtId="0" fontId="82" fillId="0" borderId="0" xfId="62" applyFont="1" applyAlignment="1">
      <alignment vertical="center"/>
    </xf>
    <xf numFmtId="0" fontId="5" fillId="0" borderId="0" xfId="59" applyFont="1" applyAlignment="1">
      <alignment vertical="top"/>
    </xf>
    <xf numFmtId="0" fontId="10" fillId="0" borderId="14" xfId="59" applyBorder="1"/>
    <xf numFmtId="0" fontId="19" fillId="0" borderId="17" xfId="59" applyFont="1" applyBorder="1"/>
    <xf numFmtId="15" fontId="19" fillId="0" borderId="0" xfId="59" applyNumberFormat="1" applyFont="1" applyAlignment="1">
      <alignment horizontal="left"/>
    </xf>
    <xf numFmtId="0" fontId="5" fillId="0" borderId="14" xfId="59" applyFont="1" applyBorder="1" applyAlignment="1">
      <alignment vertical="top"/>
    </xf>
    <xf numFmtId="0" fontId="19" fillId="0" borderId="0" xfId="59" applyFont="1"/>
    <xf numFmtId="0" fontId="47" fillId="0" borderId="44" xfId="59" applyFont="1" applyBorder="1"/>
    <xf numFmtId="0" fontId="47" fillId="0" borderId="44" xfId="59" applyFont="1" applyBorder="1" applyAlignment="1">
      <alignment wrapText="1"/>
    </xf>
    <xf numFmtId="179" fontId="19" fillId="0" borderId="44" xfId="59" applyNumberFormat="1" applyFont="1" applyBorder="1"/>
    <xf numFmtId="0" fontId="19" fillId="0" borderId="44" xfId="59" applyFont="1" applyBorder="1" applyAlignment="1">
      <alignment horizontal="center"/>
    </xf>
    <xf numFmtId="187" fontId="19" fillId="0" borderId="44" xfId="59" applyNumberFormat="1" applyFont="1" applyBorder="1"/>
    <xf numFmtId="188" fontId="10" fillId="0" borderId="0" xfId="59" applyNumberFormat="1"/>
    <xf numFmtId="15" fontId="19" fillId="0" borderId="44" xfId="59" applyNumberFormat="1" applyFont="1" applyBorder="1"/>
    <xf numFmtId="0" fontId="19" fillId="0" borderId="44" xfId="59" applyFont="1" applyBorder="1"/>
    <xf numFmtId="0" fontId="83" fillId="0" borderId="14" xfId="59" applyFont="1" applyBorder="1"/>
    <xf numFmtId="179" fontId="19" fillId="0" borderId="44" xfId="100" applyNumberFormat="1" applyFont="1" applyBorder="1"/>
    <xf numFmtId="0" fontId="19" fillId="0" borderId="44" xfId="100" applyFont="1" applyBorder="1" applyAlignment="1">
      <alignment horizontal="center"/>
    </xf>
    <xf numFmtId="187" fontId="19" fillId="0" borderId="44" xfId="100" applyNumberFormat="1" applyFont="1" applyBorder="1"/>
    <xf numFmtId="0" fontId="18" fillId="0" borderId="44" xfId="59" applyFont="1" applyBorder="1"/>
    <xf numFmtId="187" fontId="18" fillId="0" borderId="44" xfId="59" applyNumberFormat="1" applyFont="1" applyBorder="1"/>
    <xf numFmtId="0" fontId="10" fillId="0" borderId="217" xfId="59" applyBorder="1"/>
    <xf numFmtId="0" fontId="10" fillId="0" borderId="218" xfId="59" applyBorder="1"/>
    <xf numFmtId="0" fontId="10" fillId="0" borderId="219" xfId="59" applyBorder="1"/>
    <xf numFmtId="39" fontId="9" fillId="0" borderId="0" xfId="103" applyNumberFormat="1" applyFont="1"/>
    <xf numFmtId="43" fontId="9" fillId="0" borderId="0" xfId="104" applyNumberFormat="1" applyFont="1"/>
    <xf numFmtId="39" fontId="9" fillId="0" borderId="220" xfId="103" applyNumberFormat="1" applyFont="1" applyBorder="1"/>
    <xf numFmtId="39" fontId="9" fillId="0" borderId="221" xfId="103" applyNumberFormat="1" applyFont="1" applyBorder="1"/>
    <xf numFmtId="39" fontId="8" fillId="0" borderId="221" xfId="103" applyNumberFormat="1" applyFont="1" applyBorder="1"/>
    <xf numFmtId="43" fontId="9" fillId="0" borderId="221" xfId="104" applyNumberFormat="1" applyFont="1" applyBorder="1"/>
    <xf numFmtId="39" fontId="9" fillId="0" borderId="222" xfId="103" applyNumberFormat="1" applyFont="1" applyBorder="1"/>
    <xf numFmtId="39" fontId="9" fillId="0" borderId="223" xfId="103" applyNumberFormat="1" applyFont="1" applyBorder="1"/>
    <xf numFmtId="39" fontId="9" fillId="0" borderId="214" xfId="103" applyNumberFormat="1" applyFont="1" applyBorder="1"/>
    <xf numFmtId="39" fontId="56" fillId="0" borderId="215" xfId="103" applyNumberFormat="1" applyFont="1" applyBorder="1"/>
    <xf numFmtId="39" fontId="9" fillId="0" borderId="215" xfId="103" applyNumberFormat="1" applyFont="1" applyBorder="1"/>
    <xf numFmtId="43" fontId="9" fillId="0" borderId="215" xfId="104" applyNumberFormat="1" applyFont="1" applyBorder="1"/>
    <xf numFmtId="43" fontId="84" fillId="0" borderId="215" xfId="104" applyNumberFormat="1" applyFont="1" applyBorder="1" applyAlignment="1">
      <alignment horizontal="right"/>
    </xf>
    <xf numFmtId="39" fontId="9" fillId="0" borderId="216" xfId="103" applyNumberFormat="1" applyFont="1" applyBorder="1"/>
    <xf numFmtId="39" fontId="9" fillId="0" borderId="224" xfId="103" applyNumberFormat="1" applyFont="1" applyBorder="1"/>
    <xf numFmtId="39" fontId="9" fillId="0" borderId="17" xfId="103" applyNumberFormat="1" applyFont="1" applyBorder="1"/>
    <xf numFmtId="39" fontId="9" fillId="0" borderId="14" xfId="103" applyNumberFormat="1" applyFont="1" applyBorder="1"/>
    <xf numFmtId="39" fontId="86" fillId="0" borderId="143" xfId="103" applyNumberFormat="1" applyFont="1" applyBorder="1"/>
    <xf numFmtId="39" fontId="86" fillId="0" borderId="79" xfId="103" applyNumberFormat="1" applyFont="1" applyBorder="1"/>
    <xf numFmtId="43" fontId="86" fillId="0" borderId="79" xfId="104" applyNumberFormat="1" applyFont="1" applyBorder="1"/>
    <xf numFmtId="43" fontId="86" fillId="0" borderId="80" xfId="104" applyNumberFormat="1" applyFont="1" applyBorder="1"/>
    <xf numFmtId="39" fontId="56" fillId="0" borderId="81" xfId="103" applyNumberFormat="1" applyFont="1" applyBorder="1"/>
    <xf numFmtId="39" fontId="56" fillId="0" borderId="0" xfId="103" applyNumberFormat="1" applyFont="1" applyAlignment="1">
      <alignment horizontal="right"/>
    </xf>
    <xf numFmtId="39" fontId="86" fillId="0" borderId="0" xfId="103" applyNumberFormat="1" applyFont="1"/>
    <xf numFmtId="43" fontId="86" fillId="0" borderId="0" xfId="104" applyNumberFormat="1" applyFont="1" applyBorder="1"/>
    <xf numFmtId="43" fontId="86" fillId="0" borderId="82" xfId="104" applyNumberFormat="1" applyFont="1" applyBorder="1"/>
    <xf numFmtId="39" fontId="56" fillId="0" borderId="0" xfId="103" applyNumberFormat="1" applyFont="1"/>
    <xf numFmtId="0" fontId="87" fillId="0" borderId="0" xfId="105" applyFont="1" applyAlignment="1" applyProtection="1">
      <alignment horizontal="centerContinuous"/>
      <protection locked="0"/>
    </xf>
    <xf numFmtId="39" fontId="9" fillId="0" borderId="0" xfId="103" applyNumberFormat="1" applyFont="1" applyAlignment="1">
      <alignment horizontal="right"/>
    </xf>
    <xf numFmtId="39" fontId="86" fillId="0" borderId="171" xfId="103" applyNumberFormat="1" applyFont="1" applyBorder="1"/>
    <xf numFmtId="39" fontId="86" fillId="0" borderId="163" xfId="103" applyNumberFormat="1" applyFont="1" applyBorder="1"/>
    <xf numFmtId="43" fontId="86" fillId="0" borderId="163" xfId="104" applyNumberFormat="1" applyFont="1" applyBorder="1"/>
    <xf numFmtId="43" fontId="86" fillId="0" borderId="172" xfId="104" applyNumberFormat="1" applyFont="1" applyBorder="1"/>
    <xf numFmtId="39" fontId="7" fillId="0" borderId="225" xfId="103" applyNumberFormat="1" applyFont="1" applyBorder="1" applyAlignment="1">
      <alignment horizontal="center" vertical="center" wrapText="1"/>
    </xf>
    <xf numFmtId="39" fontId="7" fillId="0" borderId="226" xfId="103" applyNumberFormat="1" applyFont="1" applyBorder="1" applyAlignment="1">
      <alignment horizontal="center" vertical="center"/>
    </xf>
    <xf numFmtId="39" fontId="7" fillId="0" borderId="225" xfId="103" applyNumberFormat="1" applyFont="1" applyBorder="1" applyAlignment="1">
      <alignment horizontal="center" vertical="center"/>
    </xf>
    <xf numFmtId="39" fontId="7" fillId="0" borderId="228" xfId="103" applyNumberFormat="1" applyFont="1" applyBorder="1" applyAlignment="1">
      <alignment horizontal="center" vertical="center"/>
    </xf>
    <xf numFmtId="39" fontId="7" fillId="0" borderId="229" xfId="103" applyNumberFormat="1" applyFont="1" applyBorder="1" applyAlignment="1">
      <alignment horizontal="center" vertical="center"/>
    </xf>
    <xf numFmtId="39" fontId="7" fillId="0" borderId="227" xfId="103" applyNumberFormat="1" applyFont="1" applyBorder="1" applyAlignment="1">
      <alignment horizontal="center" vertical="center" wrapText="1"/>
    </xf>
    <xf numFmtId="43" fontId="7" fillId="0" borderId="228" xfId="104" applyNumberFormat="1" applyFont="1" applyBorder="1" applyAlignment="1">
      <alignment horizontal="center" vertical="center" wrapText="1"/>
    </xf>
    <xf numFmtId="43" fontId="7" fillId="0" borderId="229" xfId="104" applyNumberFormat="1" applyFont="1" applyBorder="1" applyAlignment="1">
      <alignment horizontal="center" vertical="center" wrapText="1"/>
    </xf>
    <xf numFmtId="39" fontId="7" fillId="0" borderId="228" xfId="103" applyNumberFormat="1" applyFont="1" applyBorder="1" applyAlignment="1">
      <alignment horizontal="center" vertical="center" wrapText="1"/>
    </xf>
    <xf numFmtId="39" fontId="90" fillId="40" borderId="0" xfId="103" applyNumberFormat="1" applyFont="1" applyFill="1" applyAlignment="1">
      <alignment horizontal="center" vertical="center" wrapText="1"/>
    </xf>
    <xf numFmtId="39" fontId="90" fillId="0" borderId="223" xfId="103" applyNumberFormat="1" applyFont="1" applyBorder="1"/>
    <xf numFmtId="39" fontId="90" fillId="0" borderId="17" xfId="103" applyNumberFormat="1" applyFont="1" applyBorder="1"/>
    <xf numFmtId="49" fontId="9" fillId="0" borderId="143" xfId="103" applyNumberFormat="1" applyFont="1" applyBorder="1" applyAlignment="1">
      <alignment horizontal="center"/>
    </xf>
    <xf numFmtId="39" fontId="91" fillId="0" borderId="230" xfId="103" applyNumberFormat="1" applyFont="1" applyBorder="1" applyAlignment="1">
      <alignment horizontal="center"/>
    </xf>
    <xf numFmtId="39" fontId="9" fillId="0" borderId="232" xfId="103" applyNumberFormat="1" applyFont="1" applyBorder="1" applyAlignment="1">
      <alignment horizontal="center"/>
    </xf>
    <xf numFmtId="39" fontId="9" fillId="0" borderId="233" xfId="103" applyNumberFormat="1" applyFont="1" applyBorder="1" applyAlignment="1">
      <alignment horizontal="center"/>
    </xf>
    <xf numFmtId="39" fontId="9" fillId="0" borderId="234" xfId="103" applyNumberFormat="1" applyFont="1" applyBorder="1" applyAlignment="1">
      <alignment horizontal="center"/>
    </xf>
    <xf numFmtId="37" fontId="9" fillId="0" borderId="233" xfId="103" applyNumberFormat="1" applyFont="1" applyBorder="1" applyAlignment="1">
      <alignment horizontal="center"/>
    </xf>
    <xf numFmtId="43" fontId="91" fillId="0" borderId="235" xfId="104" applyNumberFormat="1" applyFont="1" applyBorder="1"/>
    <xf numFmtId="39" fontId="90" fillId="0" borderId="14" xfId="103" applyNumberFormat="1" applyFont="1" applyBorder="1"/>
    <xf numFmtId="39" fontId="90" fillId="0" borderId="224" xfId="103" applyNumberFormat="1" applyFont="1" applyBorder="1"/>
    <xf numFmtId="39" fontId="90" fillId="0" borderId="0" xfId="103" applyNumberFormat="1" applyFont="1"/>
    <xf numFmtId="39" fontId="90" fillId="40" borderId="0" xfId="103" applyNumberFormat="1" applyFont="1" applyFill="1"/>
    <xf numFmtId="49" fontId="91" fillId="0" borderId="236" xfId="103" applyNumberFormat="1" applyFont="1" applyBorder="1" applyAlignment="1">
      <alignment horizontal="center"/>
    </xf>
    <xf numFmtId="39" fontId="91" fillId="0" borderId="184" xfId="103" applyNumberFormat="1" applyFont="1" applyBorder="1" applyAlignment="1">
      <alignment horizontal="center"/>
    </xf>
    <xf numFmtId="39" fontId="91" fillId="0" borderId="235" xfId="103" applyNumberFormat="1" applyFont="1" applyBorder="1" applyAlignment="1">
      <alignment horizontal="center"/>
    </xf>
    <xf numFmtId="37" fontId="91" fillId="0" borderId="237" xfId="103" applyNumberFormat="1" applyFont="1" applyBorder="1" applyAlignment="1">
      <alignment horizontal="center"/>
    </xf>
    <xf numFmtId="37" fontId="91" fillId="0" borderId="231" xfId="103" applyNumberFormat="1" applyFont="1" applyBorder="1" applyAlignment="1">
      <alignment horizontal="center"/>
    </xf>
    <xf numFmtId="43" fontId="91" fillId="0" borderId="237" xfId="104" applyNumberFormat="1" applyFont="1" applyBorder="1" applyAlignment="1">
      <alignment horizontal="right"/>
    </xf>
    <xf numFmtId="2" fontId="91" fillId="0" borderId="230" xfId="103" applyFont="1" applyBorder="1" applyAlignment="1">
      <alignment horizontal="center"/>
    </xf>
    <xf numFmtId="2" fontId="91" fillId="0" borderId="184" xfId="103" applyFont="1" applyBorder="1" applyAlignment="1">
      <alignment horizontal="center"/>
    </xf>
    <xf numFmtId="2" fontId="91" fillId="0" borderId="235" xfId="103" applyFont="1" applyBorder="1" applyAlignment="1">
      <alignment horizontal="center"/>
    </xf>
    <xf numFmtId="43" fontId="91" fillId="0" borderId="237" xfId="104" applyNumberFormat="1" applyFont="1" applyBorder="1" applyAlignment="1" applyProtection="1">
      <alignment horizontal="right"/>
    </xf>
    <xf numFmtId="2" fontId="91" fillId="0" borderId="236" xfId="103" applyFont="1" applyBorder="1" applyAlignment="1">
      <alignment horizontal="center"/>
    </xf>
    <xf numFmtId="2" fontId="91" fillId="0" borderId="237" xfId="103" applyFont="1" applyBorder="1" applyAlignment="1">
      <alignment horizontal="center"/>
    </xf>
    <xf numFmtId="2" fontId="91" fillId="0" borderId="240" xfId="103" applyFont="1" applyBorder="1" applyAlignment="1">
      <alignment horizontal="center"/>
    </xf>
    <xf numFmtId="2" fontId="91" fillId="0" borderId="241" xfId="103" applyFont="1" applyBorder="1" applyAlignment="1">
      <alignment horizontal="center"/>
    </xf>
    <xf numFmtId="2" fontId="91" fillId="0" borderId="242" xfId="103" applyFont="1" applyBorder="1" applyAlignment="1">
      <alignment horizontal="center"/>
    </xf>
    <xf numFmtId="2" fontId="91" fillId="0" borderId="125" xfId="103" applyFont="1" applyBorder="1" applyAlignment="1">
      <alignment horizontal="center"/>
    </xf>
    <xf numFmtId="37" fontId="91" fillId="0" borderId="243" xfId="103" applyNumberFormat="1" applyFont="1" applyBorder="1" applyAlignment="1">
      <alignment horizontal="center"/>
    </xf>
    <xf numFmtId="43" fontId="91" fillId="0" borderId="242" xfId="104" applyNumberFormat="1" applyFont="1" applyBorder="1" applyAlignment="1">
      <alignment horizontal="right"/>
    </xf>
    <xf numFmtId="43" fontId="91" fillId="0" borderId="125" xfId="104" applyNumberFormat="1" applyFont="1" applyBorder="1"/>
    <xf numFmtId="37" fontId="91" fillId="0" borderId="242" xfId="103" applyNumberFormat="1" applyFont="1" applyBorder="1" applyAlignment="1">
      <alignment horizontal="center"/>
    </xf>
    <xf numFmtId="39" fontId="7" fillId="0" borderId="48" xfId="103" applyNumberFormat="1" applyFont="1" applyBorder="1" applyAlignment="1">
      <alignment horizontal="left" vertical="center"/>
    </xf>
    <xf numFmtId="2" fontId="91" fillId="0" borderId="226" xfId="103" applyFont="1" applyBorder="1" applyAlignment="1">
      <alignment horizontal="left"/>
    </xf>
    <xf numFmtId="39" fontId="7" fillId="0" borderId="119" xfId="103" applyNumberFormat="1" applyFont="1" applyBorder="1" applyAlignment="1">
      <alignment horizontal="left" vertical="center"/>
    </xf>
    <xf numFmtId="9" fontId="7" fillId="0" borderId="48" xfId="79" applyFont="1" applyBorder="1" applyAlignment="1">
      <alignment horizontal="left" vertical="center"/>
    </xf>
    <xf numFmtId="9" fontId="7" fillId="0" borderId="119" xfId="79" applyFont="1" applyBorder="1" applyAlignment="1">
      <alignment horizontal="left" vertical="center"/>
    </xf>
    <xf numFmtId="164" fontId="7" fillId="0" borderId="167" xfId="80" applyFont="1" applyFill="1" applyBorder="1" applyAlignment="1">
      <alignment horizontal="left" vertical="center"/>
    </xf>
    <xf numFmtId="43" fontId="7" fillId="0" borderId="119" xfId="104" applyNumberFormat="1" applyFont="1" applyFill="1" applyBorder="1" applyAlignment="1">
      <alignment horizontal="right" vertical="center"/>
    </xf>
    <xf numFmtId="43" fontId="7" fillId="0" borderId="229" xfId="104" applyNumberFormat="1" applyFont="1" applyFill="1" applyBorder="1" applyAlignment="1">
      <alignment horizontal="center" vertical="center"/>
    </xf>
    <xf numFmtId="39" fontId="92" fillId="0" borderId="14" xfId="103" applyNumberFormat="1" applyFont="1" applyBorder="1"/>
    <xf numFmtId="39" fontId="90" fillId="0" borderId="0" xfId="103" applyNumberFormat="1" applyFont="1" applyAlignment="1">
      <alignment horizontal="center" vertical="center"/>
    </xf>
    <xf numFmtId="39" fontId="90" fillId="0" borderId="0" xfId="103" applyNumberFormat="1" applyFont="1" applyAlignment="1">
      <alignment vertical="center" wrapText="1"/>
    </xf>
    <xf numFmtId="9" fontId="7" fillId="0" borderId="48" xfId="79" applyFont="1" applyBorder="1" applyAlignment="1">
      <alignment horizontal="center" vertical="center"/>
    </xf>
    <xf numFmtId="9" fontId="7" fillId="0" borderId="119" xfId="79" applyFont="1" applyBorder="1" applyAlignment="1">
      <alignment horizontal="center" vertical="center"/>
    </xf>
    <xf numFmtId="164" fontId="7" fillId="0" borderId="167" xfId="80" applyFont="1" applyBorder="1" applyAlignment="1">
      <alignment horizontal="left" vertical="center"/>
    </xf>
    <xf numFmtId="43" fontId="7" fillId="0" borderId="119" xfId="104" applyNumberFormat="1" applyFont="1" applyBorder="1" applyAlignment="1">
      <alignment horizontal="right" vertical="center"/>
    </xf>
    <xf numFmtId="43" fontId="7" fillId="0" borderId="229" xfId="104" applyNumberFormat="1" applyFont="1" applyBorder="1" applyAlignment="1">
      <alignment horizontal="center" vertical="center"/>
    </xf>
    <xf numFmtId="39" fontId="7" fillId="0" borderId="163" xfId="103" applyNumberFormat="1" applyFont="1" applyBorder="1" applyAlignment="1">
      <alignment horizontal="left" vertical="center"/>
    </xf>
    <xf numFmtId="43" fontId="7" fillId="0" borderId="163" xfId="104" applyNumberFormat="1" applyFont="1" applyBorder="1" applyAlignment="1">
      <alignment horizontal="right" vertical="center"/>
    </xf>
    <xf numFmtId="43" fontId="7" fillId="0" borderId="244" xfId="104" applyNumberFormat="1" applyFont="1" applyBorder="1" applyAlignment="1">
      <alignment horizontal="center" vertical="center"/>
    </xf>
    <xf numFmtId="39" fontId="93" fillId="0" borderId="0" xfId="103" applyNumberFormat="1" applyFont="1" applyAlignment="1">
      <alignment vertical="center"/>
    </xf>
    <xf numFmtId="39" fontId="9" fillId="0" borderId="217" xfId="103" applyNumberFormat="1" applyFont="1" applyBorder="1"/>
    <xf numFmtId="39" fontId="9" fillId="0" borderId="218" xfId="103" applyNumberFormat="1" applyFont="1" applyBorder="1"/>
    <xf numFmtId="43" fontId="9" fillId="0" borderId="218" xfId="104" applyNumberFormat="1" applyFont="1" applyBorder="1"/>
    <xf numFmtId="39" fontId="9" fillId="0" borderId="219" xfId="103" applyNumberFormat="1" applyFont="1" applyBorder="1"/>
    <xf numFmtId="39" fontId="9" fillId="0" borderId="245" xfId="103" applyNumberFormat="1" applyFont="1" applyBorder="1"/>
    <xf numFmtId="39" fontId="9" fillId="0" borderId="131" xfId="103" applyNumberFormat="1" applyFont="1" applyBorder="1"/>
    <xf numFmtId="43" fontId="9" fillId="0" borderId="131" xfId="104" applyNumberFormat="1" applyFont="1" applyBorder="1"/>
    <xf numFmtId="39" fontId="9" fillId="0" borderId="246" xfId="103" applyNumberFormat="1" applyFont="1" applyBorder="1"/>
    <xf numFmtId="39" fontId="8" fillId="0" borderId="0" xfId="103" applyNumberFormat="1" applyFont="1"/>
    <xf numFmtId="2" fontId="9" fillId="0" borderId="0" xfId="103" applyFont="1"/>
    <xf numFmtId="170" fontId="91" fillId="0" borderId="237" xfId="103" applyNumberFormat="1" applyFont="1" applyBorder="1" applyAlignment="1">
      <alignment horizontal="center"/>
    </xf>
    <xf numFmtId="179" fontId="46" fillId="0" borderId="247" xfId="0" applyNumberFormat="1" applyFont="1" applyBorder="1" applyAlignment="1" applyProtection="1">
      <alignment horizontal="left" vertical="center"/>
      <protection locked="0"/>
    </xf>
    <xf numFmtId="178" fontId="46" fillId="0" borderId="248" xfId="0" applyNumberFormat="1" applyFont="1" applyBorder="1" applyAlignment="1" applyProtection="1">
      <alignment horizontal="right" vertical="center"/>
      <protection locked="0"/>
    </xf>
    <xf numFmtId="178" fontId="46" fillId="0" borderId="247" xfId="0" applyNumberFormat="1" applyFont="1" applyBorder="1" applyAlignment="1" applyProtection="1">
      <alignment horizontal="right" vertical="center"/>
      <protection locked="0"/>
    </xf>
    <xf numFmtId="178" fontId="46" fillId="0" borderId="249" xfId="0" applyNumberFormat="1" applyFont="1" applyBorder="1" applyAlignment="1">
      <alignment horizontal="right" vertical="center"/>
    </xf>
    <xf numFmtId="15" fontId="19" fillId="0" borderId="247" xfId="59" applyNumberFormat="1" applyFont="1" applyBorder="1"/>
    <xf numFmtId="179" fontId="19" fillId="0" borderId="247" xfId="100" applyNumberFormat="1" applyFont="1" applyBorder="1"/>
    <xf numFmtId="0" fontId="19" fillId="0" borderId="247" xfId="100" applyFont="1" applyBorder="1" applyAlignment="1">
      <alignment horizontal="center"/>
    </xf>
    <xf numFmtId="187" fontId="19" fillId="0" borderId="247" xfId="59" applyNumberFormat="1" applyFont="1" applyBorder="1"/>
    <xf numFmtId="187" fontId="19" fillId="0" borderId="247" xfId="100" applyNumberFormat="1" applyFont="1" applyBorder="1"/>
    <xf numFmtId="39" fontId="9" fillId="0" borderId="184" xfId="103" applyNumberFormat="1" applyFont="1" applyBorder="1" applyAlignment="1">
      <alignment horizontal="center"/>
    </xf>
    <xf numFmtId="43" fontId="5" fillId="0" borderId="13" xfId="28" applyFont="1" applyBorder="1" applyAlignment="1">
      <alignment horizontal="center" vertical="center" wrapText="1"/>
    </xf>
    <xf numFmtId="2" fontId="5" fillId="0" borderId="0" xfId="0" applyNumberFormat="1" applyFont="1" applyAlignment="1">
      <alignment vertical="top"/>
    </xf>
    <xf numFmtId="2" fontId="5" fillId="0" borderId="13" xfId="0" applyNumberFormat="1" applyFont="1" applyBorder="1" applyAlignment="1">
      <alignment horizontal="center" vertical="center" wrapText="1"/>
    </xf>
    <xf numFmtId="2" fontId="42" fillId="0" borderId="0" xfId="0" applyNumberFormat="1" applyFont="1" applyAlignment="1">
      <alignment vertical="top"/>
    </xf>
    <xf numFmtId="2" fontId="19" fillId="0" borderId="0" xfId="0" applyNumberFormat="1" applyFont="1" applyAlignment="1">
      <alignment vertical="top"/>
    </xf>
    <xf numFmtId="1" fontId="5" fillId="0" borderId="0" xfId="0" applyNumberFormat="1" applyFont="1" applyAlignment="1">
      <alignment vertical="top"/>
    </xf>
    <xf numFmtId="43" fontId="5" fillId="0" borderId="0" xfId="28" applyFont="1" applyAlignment="1">
      <alignment vertical="top"/>
    </xf>
    <xf numFmtId="2" fontId="19" fillId="0" borderId="13" xfId="31" applyNumberFormat="1" applyFont="1" applyBorder="1" applyProtection="1">
      <protection locked="0"/>
    </xf>
    <xf numFmtId="2" fontId="19" fillId="0" borderId="0" xfId="0" applyNumberFormat="1" applyFont="1" applyAlignment="1">
      <alignment horizontal="center" vertical="center"/>
    </xf>
    <xf numFmtId="1" fontId="5" fillId="0" borderId="13" xfId="0" applyNumberFormat="1" applyFont="1" applyBorder="1" applyAlignment="1">
      <alignment horizontal="center" vertical="center" wrapText="1"/>
    </xf>
    <xf numFmtId="1" fontId="42" fillId="0" borderId="0" xfId="0" applyNumberFormat="1" applyFont="1" applyAlignment="1">
      <alignment vertical="top"/>
    </xf>
    <xf numFmtId="177" fontId="5" fillId="0" borderId="13" xfId="0" applyNumberFormat="1" applyFont="1" applyBorder="1" applyAlignment="1">
      <alignment horizontal="center" vertical="center" wrapText="1"/>
    </xf>
    <xf numFmtId="43" fontId="42" fillId="0" borderId="0" xfId="28" applyFont="1" applyAlignment="1">
      <alignment vertical="top"/>
    </xf>
    <xf numFmtId="9" fontId="5" fillId="0" borderId="13" xfId="107" applyFont="1" applyBorder="1" applyAlignment="1">
      <alignment horizontal="center" vertical="center" wrapText="1"/>
    </xf>
    <xf numFmtId="0" fontId="17" fillId="0" borderId="0" xfId="0" applyFont="1" applyAlignment="1">
      <alignment vertical="top" wrapText="1"/>
    </xf>
    <xf numFmtId="43" fontId="5" fillId="0" borderId="0" xfId="28" applyFont="1" applyAlignment="1">
      <alignment vertical="top" wrapText="1"/>
    </xf>
    <xf numFmtId="177" fontId="5" fillId="0" borderId="0" xfId="0" applyNumberFormat="1" applyFont="1" applyAlignment="1">
      <alignment horizontal="right" vertical="top"/>
    </xf>
    <xf numFmtId="177" fontId="42" fillId="0" borderId="0" xfId="0" applyNumberFormat="1" applyFont="1" applyAlignment="1">
      <alignment horizontal="right" vertical="top"/>
    </xf>
    <xf numFmtId="166" fontId="19" fillId="0" borderId="13" xfId="0" applyNumberFormat="1" applyFont="1" applyBorder="1" applyAlignment="1">
      <alignment horizontal="right" vertical="center" wrapText="1"/>
    </xf>
    <xf numFmtId="164" fontId="5" fillId="0" borderId="0" xfId="0" applyNumberFormat="1" applyFont="1" applyAlignment="1">
      <alignment vertical="center" wrapText="1"/>
    </xf>
    <xf numFmtId="49" fontId="5" fillId="0" borderId="17" xfId="0" applyNumberFormat="1" applyFont="1" applyBorder="1" applyAlignment="1">
      <alignment horizontal="left" vertical="center" wrapText="1" indent="1"/>
    </xf>
    <xf numFmtId="49" fontId="5" fillId="0" borderId="0" xfId="0" applyNumberFormat="1" applyFont="1" applyAlignment="1">
      <alignment horizontal="left" vertical="center" wrapText="1" indent="1"/>
    </xf>
    <xf numFmtId="49" fontId="5" fillId="0" borderId="17" xfId="0" applyNumberFormat="1" applyFont="1" applyBorder="1" applyAlignment="1">
      <alignment horizontal="center" vertical="center" wrapText="1"/>
    </xf>
    <xf numFmtId="0" fontId="18" fillId="34" borderId="253" xfId="0" applyFont="1" applyFill="1" applyBorder="1" applyAlignment="1">
      <alignment horizontal="center" vertical="center" wrapText="1"/>
    </xf>
    <xf numFmtId="0" fontId="19" fillId="34" borderId="253" xfId="0" applyFont="1" applyFill="1" applyBorder="1" applyAlignment="1">
      <alignment vertical="center" wrapText="1"/>
    </xf>
    <xf numFmtId="169" fontId="19" fillId="34" borderId="216" xfId="0" applyNumberFormat="1" applyFont="1" applyFill="1" applyBorder="1" applyAlignment="1">
      <alignment horizontal="center" vertical="center" wrapText="1"/>
    </xf>
    <xf numFmtId="0" fontId="19" fillId="34" borderId="14" xfId="0" applyFont="1" applyFill="1" applyBorder="1" applyAlignment="1">
      <alignment horizontal="center" vertical="center" wrapText="1"/>
    </xf>
    <xf numFmtId="169" fontId="19" fillId="34" borderId="14" xfId="0" applyNumberFormat="1" applyFont="1" applyFill="1" applyBorder="1" applyAlignment="1">
      <alignment horizontal="center" vertical="center" wrapText="1"/>
    </xf>
    <xf numFmtId="3" fontId="19" fillId="34" borderId="14" xfId="31" applyFont="1" applyFill="1" applyBorder="1" applyProtection="1">
      <protection locked="0"/>
    </xf>
    <xf numFmtId="166" fontId="19" fillId="34" borderId="252" xfId="0" applyNumberFormat="1" applyFont="1" applyFill="1" applyBorder="1" applyAlignment="1">
      <alignment horizontal="center" vertical="center" wrapText="1"/>
    </xf>
    <xf numFmtId="177" fontId="16" fillId="34" borderId="252" xfId="0" applyNumberFormat="1" applyFont="1" applyFill="1" applyBorder="1" applyAlignment="1">
      <alignment horizontal="center" wrapText="1"/>
    </xf>
    <xf numFmtId="0" fontId="18" fillId="0" borderId="254" xfId="0" applyFont="1" applyBorder="1" applyAlignment="1">
      <alignment horizontal="center" vertical="center" wrapText="1"/>
    </xf>
    <xf numFmtId="2" fontId="18" fillId="0" borderId="254" xfId="0" applyNumberFormat="1" applyFont="1" applyBorder="1" applyAlignment="1">
      <alignment horizontal="center" vertical="center" wrapText="1"/>
    </xf>
    <xf numFmtId="0" fontId="19" fillId="0" borderId="253" xfId="0" applyFont="1" applyBorder="1" applyAlignment="1">
      <alignment vertical="center" wrapText="1"/>
    </xf>
    <xf numFmtId="0" fontId="19" fillId="0" borderId="253" xfId="0" applyFont="1" applyBorder="1" applyAlignment="1">
      <alignment horizontal="center" vertical="center" wrapText="1"/>
    </xf>
    <xf numFmtId="2" fontId="19" fillId="0" borderId="25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56" xfId="0" applyFont="1" applyBorder="1" applyAlignment="1">
      <alignment horizontal="center" vertical="center" wrapText="1"/>
    </xf>
    <xf numFmtId="166" fontId="19" fillId="0" borderId="26" xfId="0" applyNumberFormat="1" applyFont="1" applyBorder="1" applyAlignment="1">
      <alignment horizontal="right" vertical="center" wrapText="1"/>
    </xf>
    <xf numFmtId="166" fontId="18" fillId="34" borderId="0" xfId="0" applyNumberFormat="1" applyFont="1" applyFill="1" applyAlignment="1">
      <alignment horizontal="center" vertical="center" wrapText="1"/>
    </xf>
    <xf numFmtId="166" fontId="18" fillId="34" borderId="215" xfId="0" applyNumberFormat="1" applyFont="1" applyFill="1" applyBorder="1" applyAlignment="1">
      <alignment horizontal="center" vertical="center" wrapText="1"/>
    </xf>
    <xf numFmtId="166" fontId="18" fillId="34" borderId="214" xfId="0" applyNumberFormat="1" applyFont="1" applyFill="1" applyBorder="1" applyAlignment="1">
      <alignment horizontal="center" vertical="center" wrapText="1"/>
    </xf>
    <xf numFmtId="166" fontId="18" fillId="0" borderId="0" xfId="0" applyNumberFormat="1" applyFont="1" applyAlignment="1">
      <alignment horizontal="right" vertical="center" wrapText="1"/>
    </xf>
    <xf numFmtId="166" fontId="19" fillId="34" borderId="17" xfId="36" applyFont="1" applyFill="1" applyBorder="1" applyAlignment="1">
      <alignment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0" fontId="91" fillId="0" borderId="0" xfId="0" applyFont="1" applyAlignment="1">
      <alignment vertical="top"/>
    </xf>
    <xf numFmtId="0" fontId="91" fillId="0" borderId="0" xfId="0" applyFont="1" applyAlignment="1">
      <alignment horizontal="center" vertical="top"/>
    </xf>
    <xf numFmtId="0" fontId="9" fillId="0" borderId="13" xfId="0" applyFont="1" applyBorder="1" applyAlignment="1">
      <alignment horizontal="center" vertical="center" wrapText="1"/>
    </xf>
    <xf numFmtId="49" fontId="9" fillId="0" borderId="13" xfId="0" applyNumberFormat="1" applyFont="1" applyBorder="1" applyAlignment="1">
      <alignment horizontal="center" vertical="center" wrapText="1"/>
    </xf>
    <xf numFmtId="168" fontId="9" fillId="0" borderId="13" xfId="0" applyNumberFormat="1" applyFont="1" applyBorder="1" applyAlignment="1">
      <alignment horizontal="center" vertical="center" wrapText="1"/>
    </xf>
    <xf numFmtId="49" fontId="9" fillId="0" borderId="13" xfId="0" applyNumberFormat="1" applyFont="1" applyBorder="1" applyAlignment="1">
      <alignment horizontal="left" vertical="top" wrapText="1"/>
    </xf>
    <xf numFmtId="1" fontId="9" fillId="0" borderId="13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vertical="top" wrapText="1"/>
    </xf>
    <xf numFmtId="169" fontId="9" fillId="0" borderId="13" xfId="0" applyNumberFormat="1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left" vertical="top" wrapText="1"/>
    </xf>
    <xf numFmtId="49" fontId="9" fillId="0" borderId="13" xfId="0" applyNumberFormat="1" applyFont="1" applyBorder="1" applyAlignment="1">
      <alignment horizontal="center" vertical="top" wrapText="1"/>
    </xf>
    <xf numFmtId="49" fontId="9" fillId="0" borderId="13" xfId="0" applyNumberFormat="1" applyFont="1" applyBorder="1" applyAlignment="1">
      <alignment horizontal="left" vertical="center" wrapText="1"/>
    </xf>
    <xf numFmtId="0" fontId="96" fillId="0" borderId="0" xfId="0" applyFont="1" applyAlignment="1">
      <alignment horizontal="center" vertical="top"/>
    </xf>
    <xf numFmtId="0" fontId="96" fillId="0" borderId="0" xfId="0" applyFont="1" applyAlignment="1">
      <alignment vertical="top"/>
    </xf>
    <xf numFmtId="1" fontId="91" fillId="0" borderId="0" xfId="0" applyNumberFormat="1" applyFont="1" applyAlignment="1">
      <alignment vertical="top"/>
    </xf>
    <xf numFmtId="43" fontId="91" fillId="0" borderId="0" xfId="28" applyFont="1" applyAlignment="1">
      <alignment vertical="top"/>
    </xf>
    <xf numFmtId="0" fontId="97" fillId="0" borderId="0" xfId="0" applyFont="1" applyAlignment="1">
      <alignment vertical="top"/>
    </xf>
    <xf numFmtId="1" fontId="9" fillId="0" borderId="0" xfId="0" applyNumberFormat="1" applyFont="1" applyAlignment="1">
      <alignment vertical="top"/>
    </xf>
    <xf numFmtId="0" fontId="9" fillId="0" borderId="0" xfId="0" applyFont="1" applyAlignment="1">
      <alignment horizontal="center" vertical="top"/>
    </xf>
    <xf numFmtId="0" fontId="91" fillId="0" borderId="0" xfId="0" applyFont="1" applyAlignment="1">
      <alignment vertical="top" wrapText="1"/>
    </xf>
    <xf numFmtId="0" fontId="7" fillId="34" borderId="1" xfId="0" applyFont="1" applyFill="1" applyBorder="1" applyAlignment="1">
      <alignment horizontal="center" vertical="center" wrapText="1"/>
    </xf>
    <xf numFmtId="0" fontId="91" fillId="0" borderId="0" xfId="0" applyFont="1" applyAlignment="1">
      <alignment vertical="center" wrapText="1"/>
    </xf>
    <xf numFmtId="0" fontId="9" fillId="34" borderId="1" xfId="0" applyFont="1" applyFill="1" applyBorder="1" applyAlignment="1">
      <alignment vertical="center" wrapText="1"/>
    </xf>
    <xf numFmtId="168" fontId="9" fillId="34" borderId="12" xfId="0" applyNumberFormat="1" applyFont="1" applyFill="1" applyBorder="1" applyAlignment="1">
      <alignment horizontal="center" vertical="center" wrapText="1"/>
    </xf>
    <xf numFmtId="0" fontId="9" fillId="34" borderId="13" xfId="0" applyFont="1" applyFill="1" applyBorder="1" applyAlignment="1">
      <alignment horizontal="center" vertical="center" wrapText="1"/>
    </xf>
    <xf numFmtId="0" fontId="91" fillId="34" borderId="0" xfId="0" applyFont="1" applyFill="1" applyAlignment="1">
      <alignment vertical="top" wrapText="1"/>
    </xf>
    <xf numFmtId="168" fontId="9" fillId="34" borderId="13" xfId="0" applyNumberFormat="1" applyFont="1" applyFill="1" applyBorder="1" applyAlignment="1">
      <alignment horizontal="center" vertical="center" wrapText="1"/>
    </xf>
    <xf numFmtId="166" fontId="9" fillId="34" borderId="13" xfId="36" applyFont="1" applyFill="1" applyBorder="1" applyAlignment="1">
      <alignment vertical="center"/>
    </xf>
    <xf numFmtId="0" fontId="9" fillId="0" borderId="13" xfId="0" applyFont="1" applyBorder="1" applyAlignment="1">
      <alignment vertical="center" wrapText="1"/>
    </xf>
    <xf numFmtId="0" fontId="95" fillId="0" borderId="0" xfId="0" applyFont="1" applyAlignment="1">
      <alignment vertical="top" wrapText="1"/>
    </xf>
    <xf numFmtId="0" fontId="9" fillId="34" borderId="13" xfId="36" applyNumberFormat="1" applyFont="1" applyFill="1" applyBorder="1" applyAlignment="1">
      <alignment vertical="center"/>
    </xf>
    <xf numFmtId="168" fontId="95" fillId="34" borderId="13" xfId="0" applyNumberFormat="1" applyFont="1" applyFill="1" applyBorder="1" applyAlignment="1">
      <alignment horizontal="center" vertical="center" wrapText="1"/>
    </xf>
    <xf numFmtId="1" fontId="9" fillId="0" borderId="13" xfId="0" applyNumberFormat="1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top" wrapText="1"/>
    </xf>
    <xf numFmtId="1" fontId="9" fillId="0" borderId="17" xfId="0" applyNumberFormat="1" applyFont="1" applyBorder="1" applyAlignment="1">
      <alignment horizontal="center" vertical="top" wrapText="1"/>
    </xf>
    <xf numFmtId="0" fontId="89" fillId="0" borderId="0" xfId="0" applyFont="1" applyAlignment="1">
      <alignment vertical="center" wrapText="1"/>
    </xf>
    <xf numFmtId="177" fontId="91" fillId="34" borderId="36" xfId="0" applyNumberFormat="1" applyFont="1" applyFill="1" applyBorder="1" applyAlignment="1">
      <alignment horizontal="center" wrapText="1"/>
    </xf>
    <xf numFmtId="0" fontId="89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1" fontId="7" fillId="0" borderId="0" xfId="0" applyNumberFormat="1" applyFont="1" applyAlignment="1">
      <alignment horizontal="right" vertical="center" wrapText="1"/>
    </xf>
    <xf numFmtId="43" fontId="7" fillId="0" borderId="0" xfId="28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168" fontId="7" fillId="0" borderId="0" xfId="0" applyNumberFormat="1" applyFont="1" applyAlignment="1">
      <alignment horizontal="right" vertical="center" wrapText="1"/>
    </xf>
    <xf numFmtId="43" fontId="9" fillId="0" borderId="0" xfId="28" applyFont="1" applyAlignment="1">
      <alignment vertical="top"/>
    </xf>
    <xf numFmtId="0" fontId="98" fillId="0" borderId="0" xfId="0" applyFont="1" applyAlignment="1">
      <alignment vertical="top"/>
    </xf>
    <xf numFmtId="2" fontId="91" fillId="0" borderId="0" xfId="0" applyNumberFormat="1" applyFont="1" applyAlignment="1">
      <alignment vertical="top"/>
    </xf>
    <xf numFmtId="2" fontId="9" fillId="0" borderId="0" xfId="0" applyNumberFormat="1" applyFont="1" applyAlignment="1">
      <alignment vertical="top"/>
    </xf>
    <xf numFmtId="0" fontId="9" fillId="0" borderId="0" xfId="0" applyFont="1" applyAlignment="1">
      <alignment horizontal="center" vertical="top" wrapText="1"/>
    </xf>
    <xf numFmtId="2" fontId="9" fillId="0" borderId="13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170" fontId="9" fillId="0" borderId="13" xfId="0" applyNumberFormat="1" applyFont="1" applyBorder="1" applyAlignment="1">
      <alignment horizontal="center" vertical="center" wrapText="1"/>
    </xf>
    <xf numFmtId="170" fontId="9" fillId="34" borderId="13" xfId="0" applyNumberFormat="1" applyFont="1" applyFill="1" applyBorder="1" applyAlignment="1">
      <alignment horizontal="center" vertical="center" wrapText="1"/>
    </xf>
    <xf numFmtId="170" fontId="99" fillId="34" borderId="44" xfId="0" applyNumberFormat="1" applyFont="1" applyFill="1" applyBorder="1" applyAlignment="1">
      <alignment horizontal="center" vertical="center" wrapText="1"/>
    </xf>
    <xf numFmtId="0" fontId="17" fillId="0" borderId="13" xfId="0" applyFont="1" applyBorder="1" applyAlignment="1">
      <alignment vertical="top" wrapText="1"/>
    </xf>
    <xf numFmtId="0" fontId="5" fillId="0" borderId="250" xfId="0" applyFont="1" applyBorder="1" applyAlignment="1">
      <alignment vertical="center" wrapText="1"/>
    </xf>
    <xf numFmtId="0" fontId="19" fillId="0" borderId="251" xfId="0" applyFont="1" applyBorder="1" applyAlignment="1">
      <alignment vertical="center" wrapText="1"/>
    </xf>
    <xf numFmtId="0" fontId="19" fillId="34" borderId="215" xfId="0" applyFont="1" applyFill="1" applyBorder="1" applyAlignment="1">
      <alignment vertical="center" wrapText="1"/>
    </xf>
    <xf numFmtId="0" fontId="19" fillId="34" borderId="214" xfId="0" applyFont="1" applyFill="1" applyBorder="1" applyAlignment="1">
      <alignment vertical="center" wrapText="1"/>
    </xf>
    <xf numFmtId="0" fontId="19" fillId="0" borderId="250" xfId="0" applyFont="1" applyBorder="1" applyAlignment="1">
      <alignment vertical="center" wrapText="1"/>
    </xf>
    <xf numFmtId="0" fontId="19" fillId="0" borderId="254" xfId="0" applyFont="1" applyBorder="1" applyAlignment="1">
      <alignment vertical="center" wrapText="1"/>
    </xf>
    <xf numFmtId="2" fontId="19" fillId="0" borderId="250" xfId="0" applyNumberFormat="1" applyFont="1" applyBorder="1" applyAlignment="1">
      <alignment vertical="center" wrapText="1"/>
    </xf>
    <xf numFmtId="2" fontId="19" fillId="0" borderId="214" xfId="0" applyNumberFormat="1" applyFont="1" applyBorder="1" applyAlignment="1">
      <alignment vertical="center" wrapText="1"/>
    </xf>
    <xf numFmtId="0" fontId="5" fillId="0" borderId="214" xfId="0" applyFont="1" applyBorder="1" applyAlignment="1">
      <alignment vertical="center" wrapText="1"/>
    </xf>
    <xf numFmtId="0" fontId="19" fillId="34" borderId="251" xfId="0" applyFont="1" applyFill="1" applyBorder="1" applyAlignment="1">
      <alignment vertical="center" wrapText="1"/>
    </xf>
    <xf numFmtId="0" fontId="17" fillId="0" borderId="13" xfId="0" applyFont="1" applyBorder="1" applyAlignment="1">
      <alignment horizontal="center" vertical="top" wrapText="1"/>
    </xf>
    <xf numFmtId="0" fontId="5" fillId="0" borderId="251" xfId="0" applyFont="1" applyBorder="1" applyAlignment="1">
      <alignment vertical="center" wrapText="1"/>
    </xf>
    <xf numFmtId="0" fontId="17" fillId="0" borderId="214" xfId="0" applyFont="1" applyBorder="1" applyAlignment="1">
      <alignment horizontal="center" vertical="center" wrapText="1"/>
    </xf>
    <xf numFmtId="0" fontId="5" fillId="0" borderId="254" xfId="0" applyFont="1" applyBorder="1" applyAlignment="1">
      <alignment vertical="center" wrapText="1"/>
    </xf>
    <xf numFmtId="0" fontId="5" fillId="0" borderId="253" xfId="0" applyFont="1" applyBorder="1" applyAlignment="1">
      <alignment vertical="center" wrapText="1"/>
    </xf>
    <xf numFmtId="0" fontId="19" fillId="0" borderId="252" xfId="0" applyFont="1" applyBorder="1" applyAlignment="1">
      <alignment vertical="center" wrapText="1"/>
    </xf>
    <xf numFmtId="0" fontId="19" fillId="0" borderId="216" xfId="0" applyFont="1" applyBorder="1" applyAlignment="1">
      <alignment vertical="center" wrapText="1"/>
    </xf>
    <xf numFmtId="0" fontId="5" fillId="0" borderId="216" xfId="0" applyFont="1" applyBorder="1" applyAlignment="1">
      <alignment vertical="center" wrapText="1"/>
    </xf>
    <xf numFmtId="2" fontId="19" fillId="0" borderId="253" xfId="0" applyNumberFormat="1" applyFont="1" applyBorder="1" applyAlignment="1">
      <alignment vertical="center" wrapText="1"/>
    </xf>
    <xf numFmtId="2" fontId="19" fillId="0" borderId="216" xfId="0" applyNumberFormat="1" applyFont="1" applyBorder="1" applyAlignment="1">
      <alignment vertical="center" wrapText="1"/>
    </xf>
    <xf numFmtId="49" fontId="19" fillId="0" borderId="216" xfId="0" applyNumberFormat="1" applyFont="1" applyBorder="1" applyAlignment="1">
      <alignment horizontal="center" vertical="center" wrapText="1"/>
    </xf>
    <xf numFmtId="0" fontId="38" fillId="0" borderId="251" xfId="0" applyFont="1" applyBorder="1" applyAlignment="1">
      <alignment vertical="top" wrapText="1"/>
    </xf>
    <xf numFmtId="49" fontId="18" fillId="0" borderId="251" xfId="0" applyNumberFormat="1" applyFont="1" applyBorder="1" applyAlignment="1">
      <alignment horizontal="left" vertical="top" wrapText="1"/>
    </xf>
    <xf numFmtId="164" fontId="38" fillId="0" borderId="0" xfId="0" applyNumberFormat="1" applyFont="1" applyAlignment="1">
      <alignment vertical="top" wrapText="1"/>
    </xf>
    <xf numFmtId="0" fontId="5" fillId="0" borderId="214" xfId="0" applyFont="1" applyBorder="1" applyAlignment="1">
      <alignment horizontal="center" vertical="center" wrapText="1"/>
    </xf>
    <xf numFmtId="0" fontId="5" fillId="0" borderId="251" xfId="0" applyFont="1" applyBorder="1" applyAlignment="1">
      <alignment horizontal="center" vertical="center" wrapText="1"/>
    </xf>
    <xf numFmtId="0" fontId="5" fillId="34" borderId="215" xfId="0" applyFont="1" applyFill="1" applyBorder="1" applyAlignment="1">
      <alignment horizontal="center" vertical="center" wrapText="1"/>
    </xf>
    <xf numFmtId="0" fontId="5" fillId="34" borderId="251" xfId="0" applyFont="1" applyFill="1" applyBorder="1" applyAlignment="1">
      <alignment horizontal="center" vertical="center" wrapText="1"/>
    </xf>
    <xf numFmtId="169" fontId="5" fillId="34" borderId="216" xfId="0" applyNumberFormat="1" applyFont="1" applyFill="1" applyBorder="1" applyAlignment="1">
      <alignment horizontal="center" vertical="center" wrapText="1"/>
    </xf>
    <xf numFmtId="49" fontId="17" fillId="0" borderId="17" xfId="0" applyNumberFormat="1" applyFont="1" applyBorder="1" applyAlignment="1">
      <alignment horizontal="left" vertical="top" wrapText="1"/>
    </xf>
    <xf numFmtId="169" fontId="5" fillId="0" borderId="17" xfId="0" applyNumberFormat="1" applyFont="1" applyBorder="1" applyAlignment="1">
      <alignment horizontal="center" vertical="center" wrapText="1"/>
    </xf>
    <xf numFmtId="168" fontId="5" fillId="0" borderId="17" xfId="0" applyNumberFormat="1" applyFont="1" applyBorder="1" applyAlignment="1">
      <alignment horizontal="center" vertical="center" wrapText="1"/>
    </xf>
    <xf numFmtId="0" fontId="38" fillId="0" borderId="17" xfId="0" applyFont="1" applyBorder="1" applyAlignment="1">
      <alignment vertical="top" wrapText="1"/>
    </xf>
    <xf numFmtId="0" fontId="19" fillId="0" borderId="214" xfId="0" applyFont="1" applyBorder="1" applyAlignment="1">
      <alignment horizontal="center" vertical="center" wrapText="1"/>
    </xf>
    <xf numFmtId="0" fontId="19" fillId="0" borderId="251" xfId="0" applyFont="1" applyBorder="1" applyAlignment="1">
      <alignment horizontal="center" vertical="center" wrapText="1"/>
    </xf>
    <xf numFmtId="2" fontId="19" fillId="0" borderId="251" xfId="0" applyNumberFormat="1" applyFont="1" applyBorder="1" applyAlignment="1">
      <alignment horizontal="center" vertical="center" wrapText="1"/>
    </xf>
    <xf numFmtId="49" fontId="18" fillId="0" borderId="13" xfId="0" applyNumberFormat="1" applyFont="1" applyBorder="1" applyAlignment="1">
      <alignment horizontal="left" vertical="center" wrapText="1"/>
    </xf>
    <xf numFmtId="164" fontId="5" fillId="0" borderId="0" xfId="0" applyNumberFormat="1" applyFont="1" applyAlignment="1">
      <alignment vertical="top" wrapText="1"/>
    </xf>
    <xf numFmtId="0" fontId="42" fillId="0" borderId="0" xfId="0" applyFont="1" applyAlignment="1">
      <alignment vertical="center" wrapText="1"/>
    </xf>
    <xf numFmtId="0" fontId="42" fillId="0" borderId="0" xfId="0" applyFont="1" applyAlignment="1">
      <alignment horizontal="center" vertical="center" wrapText="1"/>
    </xf>
    <xf numFmtId="2" fontId="5" fillId="0" borderId="0" xfId="0" applyNumberFormat="1" applyFont="1" applyAlignment="1">
      <alignment vertical="top" wrapText="1"/>
    </xf>
    <xf numFmtId="43" fontId="17" fillId="0" borderId="0" xfId="28" applyFont="1" applyBorder="1" applyAlignment="1">
      <alignment vertical="top" wrapText="1"/>
    </xf>
    <xf numFmtId="2" fontId="5" fillId="0" borderId="0" xfId="0" applyNumberFormat="1" applyFont="1" applyAlignment="1">
      <alignment horizontal="left" vertical="top" wrapText="1"/>
    </xf>
    <xf numFmtId="0" fontId="47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165" fontId="17" fillId="0" borderId="0" xfId="0" applyNumberFormat="1" applyFont="1" applyAlignment="1">
      <alignment vertical="top" wrapText="1"/>
    </xf>
    <xf numFmtId="43" fontId="5" fillId="0" borderId="0" xfId="28" applyFont="1" applyBorder="1" applyAlignment="1">
      <alignment vertical="top" wrapText="1"/>
    </xf>
    <xf numFmtId="169" fontId="19" fillId="0" borderId="14" xfId="0" applyNumberFormat="1" applyFont="1" applyBorder="1" applyAlignment="1">
      <alignment horizontal="center" vertical="center" wrapText="1"/>
    </xf>
    <xf numFmtId="166" fontId="19" fillId="0" borderId="17" xfId="0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166" fontId="19" fillId="0" borderId="13" xfId="36" applyFont="1" applyFill="1" applyBorder="1" applyAlignment="1">
      <alignment vertical="center"/>
    </xf>
    <xf numFmtId="0" fontId="14" fillId="0" borderId="0" xfId="0" applyFont="1" applyAlignment="1">
      <alignment vertical="top"/>
    </xf>
    <xf numFmtId="166" fontId="9" fillId="0" borderId="13" xfId="36" applyFont="1" applyFill="1" applyBorder="1" applyAlignment="1">
      <alignment vertical="center"/>
    </xf>
    <xf numFmtId="49" fontId="8" fillId="0" borderId="13" xfId="0" applyNumberFormat="1" applyFont="1" applyBorder="1" applyAlignment="1">
      <alignment horizontal="center" vertical="center" wrapText="1"/>
    </xf>
    <xf numFmtId="177" fontId="91" fillId="34" borderId="167" xfId="0" applyNumberFormat="1" applyFont="1" applyFill="1" applyBorder="1" applyAlignment="1">
      <alignment horizontal="center" wrapText="1"/>
    </xf>
    <xf numFmtId="164" fontId="5" fillId="0" borderId="0" xfId="0" applyNumberFormat="1" applyFont="1" applyAlignment="1">
      <alignment vertical="top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13" xfId="0" applyNumberFormat="1" applyFont="1" applyBorder="1" applyAlignment="1" applyProtection="1">
      <alignment horizontal="center" vertical="center" wrapText="1"/>
      <protection locked="0"/>
    </xf>
    <xf numFmtId="164" fontId="42" fillId="0" borderId="0" xfId="0" applyNumberFormat="1" applyFont="1" applyAlignment="1">
      <alignment vertical="top"/>
    </xf>
    <xf numFmtId="0" fontId="41" fillId="0" borderId="0" xfId="0" applyFont="1" applyAlignment="1">
      <alignment vertical="top" wrapText="1"/>
    </xf>
    <xf numFmtId="0" fontId="17" fillId="36" borderId="250" xfId="0" applyFont="1" applyFill="1" applyBorder="1" applyAlignment="1">
      <alignment horizontal="center" vertical="center" wrapText="1"/>
    </xf>
    <xf numFmtId="0" fontId="19" fillId="36" borderId="250" xfId="0" applyFont="1" applyFill="1" applyBorder="1" applyAlignment="1">
      <alignment vertical="center" wrapText="1"/>
    </xf>
    <xf numFmtId="0" fontId="5" fillId="36" borderId="0" xfId="0" applyFont="1" applyFill="1" applyAlignment="1">
      <alignment vertical="top"/>
    </xf>
    <xf numFmtId="0" fontId="5" fillId="36" borderId="0" xfId="0" applyFont="1" applyFill="1" applyAlignment="1">
      <alignment vertical="top" wrapText="1"/>
    </xf>
    <xf numFmtId="0" fontId="5" fillId="36" borderId="0" xfId="0" applyFont="1" applyFill="1" applyAlignment="1">
      <alignment vertical="center" wrapText="1"/>
    </xf>
    <xf numFmtId="0" fontId="5" fillId="36" borderId="0" xfId="0" applyFont="1" applyFill="1" applyAlignment="1">
      <alignment horizontal="center" vertical="top"/>
    </xf>
    <xf numFmtId="0" fontId="19" fillId="36" borderId="0" xfId="0" applyFont="1" applyFill="1" applyAlignment="1">
      <alignment vertical="top"/>
    </xf>
    <xf numFmtId="2" fontId="19" fillId="36" borderId="0" xfId="0" applyNumberFormat="1" applyFont="1" applyFill="1" applyAlignment="1">
      <alignment vertical="top"/>
    </xf>
    <xf numFmtId="0" fontId="42" fillId="36" borderId="0" xfId="0" applyFont="1" applyFill="1" applyAlignment="1">
      <alignment vertical="top"/>
    </xf>
    <xf numFmtId="0" fontId="42" fillId="36" borderId="0" xfId="0" applyFont="1" applyFill="1" applyAlignment="1">
      <alignment horizontal="center" vertical="top"/>
    </xf>
    <xf numFmtId="0" fontId="5" fillId="36" borderId="250" xfId="0" applyFont="1" applyFill="1" applyBorder="1" applyAlignment="1">
      <alignment vertical="top" wrapText="1"/>
    </xf>
    <xf numFmtId="0" fontId="5" fillId="36" borderId="250" xfId="0" applyFont="1" applyFill="1" applyBorder="1" applyAlignment="1">
      <alignment vertical="center" wrapText="1"/>
    </xf>
    <xf numFmtId="166" fontId="19" fillId="36" borderId="250" xfId="0" applyNumberFormat="1" applyFont="1" applyFill="1" applyBorder="1" applyAlignment="1">
      <alignment horizontal="center" vertical="center" wrapText="1"/>
    </xf>
    <xf numFmtId="166" fontId="19" fillId="36" borderId="250" xfId="36" applyFont="1" applyFill="1" applyBorder="1" applyAlignment="1">
      <alignment vertical="center"/>
    </xf>
    <xf numFmtId="0" fontId="19" fillId="36" borderId="250" xfId="0" applyFont="1" applyFill="1" applyBorder="1" applyAlignment="1">
      <alignment vertical="top"/>
    </xf>
    <xf numFmtId="2" fontId="19" fillId="36" borderId="250" xfId="0" applyNumberFormat="1" applyFont="1" applyFill="1" applyBorder="1" applyAlignment="1">
      <alignment vertical="top"/>
    </xf>
    <xf numFmtId="0" fontId="42" fillId="36" borderId="250" xfId="0" applyFont="1" applyFill="1" applyBorder="1" applyAlignment="1">
      <alignment vertical="top"/>
    </xf>
    <xf numFmtId="0" fontId="42" fillId="36" borderId="250" xfId="0" applyFont="1" applyFill="1" applyBorder="1" applyAlignment="1">
      <alignment horizontal="center" vertical="top"/>
    </xf>
    <xf numFmtId="0" fontId="17" fillId="36" borderId="254" xfId="0" applyFont="1" applyFill="1" applyBorder="1" applyAlignment="1">
      <alignment horizontal="center" vertical="center" wrapText="1"/>
    </xf>
    <xf numFmtId="0" fontId="19" fillId="36" borderId="254" xfId="0" applyFont="1" applyFill="1" applyBorder="1" applyAlignment="1">
      <alignment vertical="center" wrapText="1"/>
    </xf>
    <xf numFmtId="166" fontId="19" fillId="36" borderId="254" xfId="0" applyNumberFormat="1" applyFont="1" applyFill="1" applyBorder="1" applyAlignment="1">
      <alignment horizontal="center" vertical="center" wrapText="1"/>
    </xf>
    <xf numFmtId="166" fontId="19" fillId="36" borderId="254" xfId="36" applyFont="1" applyFill="1" applyBorder="1" applyAlignment="1">
      <alignment vertical="center"/>
    </xf>
    <xf numFmtId="0" fontId="42" fillId="36" borderId="266" xfId="0" applyFont="1" applyFill="1" applyBorder="1" applyAlignment="1">
      <alignment vertical="top"/>
    </xf>
    <xf numFmtId="0" fontId="42" fillId="36" borderId="267" xfId="0" applyFont="1" applyFill="1" applyBorder="1" applyAlignment="1">
      <alignment vertical="top"/>
    </xf>
    <xf numFmtId="0" fontId="42" fillId="36" borderId="255" xfId="0" applyFont="1" applyFill="1" applyBorder="1" applyAlignment="1">
      <alignment horizontal="center" vertical="top"/>
    </xf>
    <xf numFmtId="0" fontId="42" fillId="36" borderId="255" xfId="0" applyFont="1" applyFill="1" applyBorder="1" applyAlignment="1">
      <alignment vertical="top"/>
    </xf>
    <xf numFmtId="0" fontId="19" fillId="36" borderId="255" xfId="0" applyFont="1" applyFill="1" applyBorder="1" applyAlignment="1">
      <alignment vertical="top"/>
    </xf>
    <xf numFmtId="2" fontId="19" fillId="36" borderId="255" xfId="0" applyNumberFormat="1" applyFont="1" applyFill="1" applyBorder="1" applyAlignment="1">
      <alignment vertical="top"/>
    </xf>
    <xf numFmtId="0" fontId="17" fillId="0" borderId="254" xfId="0" applyFont="1" applyBorder="1" applyAlignment="1">
      <alignment horizontal="center" vertical="center" wrapText="1"/>
    </xf>
    <xf numFmtId="2" fontId="17" fillId="0" borderId="254" xfId="0" applyNumberFormat="1" applyFont="1" applyBorder="1" applyAlignment="1">
      <alignment horizontal="center" vertical="center" wrapText="1"/>
    </xf>
    <xf numFmtId="2" fontId="5" fillId="0" borderId="253" xfId="0" applyNumberFormat="1" applyFont="1" applyBorder="1" applyAlignment="1">
      <alignment vertical="center" wrapText="1"/>
    </xf>
    <xf numFmtId="49" fontId="17" fillId="0" borderId="251" xfId="0" applyNumberFormat="1" applyFont="1" applyBorder="1" applyAlignment="1">
      <alignment horizontal="left" vertical="top" wrapText="1"/>
    </xf>
    <xf numFmtId="49" fontId="5" fillId="0" borderId="251" xfId="0" applyNumberFormat="1" applyFont="1" applyBorder="1" applyAlignment="1">
      <alignment horizontal="center" vertical="center" wrapText="1"/>
    </xf>
    <xf numFmtId="2" fontId="5" fillId="0" borderId="251" xfId="0" applyNumberFormat="1" applyFont="1" applyBorder="1" applyAlignment="1">
      <alignment horizontal="center" vertical="center" wrapText="1"/>
    </xf>
    <xf numFmtId="168" fontId="19" fillId="0" borderId="251" xfId="0" applyNumberFormat="1" applyFont="1" applyBorder="1" applyAlignment="1">
      <alignment horizontal="center" vertical="center" wrapText="1"/>
    </xf>
    <xf numFmtId="0" fontId="42" fillId="0" borderId="0" xfId="0" applyFont="1" applyAlignment="1">
      <alignment horizontal="center" vertical="top"/>
    </xf>
    <xf numFmtId="164" fontId="19" fillId="36" borderId="0" xfId="0" applyNumberFormat="1" applyFont="1" applyFill="1" applyAlignment="1">
      <alignment vertical="top"/>
    </xf>
    <xf numFmtId="164" fontId="19" fillId="36" borderId="255" xfId="0" applyNumberFormat="1" applyFont="1" applyFill="1" applyBorder="1" applyAlignment="1">
      <alignment vertical="top"/>
    </xf>
    <xf numFmtId="164" fontId="19" fillId="36" borderId="250" xfId="0" applyNumberFormat="1" applyFont="1" applyFill="1" applyBorder="1" applyAlignment="1">
      <alignment vertical="top"/>
    </xf>
    <xf numFmtId="2" fontId="17" fillId="0" borderId="214" xfId="0" applyNumberFormat="1" applyFont="1" applyBorder="1" applyAlignment="1">
      <alignment horizontal="center" vertical="center" wrapText="1"/>
    </xf>
    <xf numFmtId="0" fontId="103" fillId="0" borderId="0" xfId="0" applyFont="1"/>
    <xf numFmtId="0" fontId="18" fillId="0" borderId="0" xfId="0" applyFont="1"/>
    <xf numFmtId="0" fontId="104" fillId="0" borderId="0" xfId="0" applyFont="1"/>
    <xf numFmtId="0" fontId="104" fillId="0" borderId="0" xfId="0" applyFont="1" applyAlignment="1">
      <alignment horizontal="center"/>
    </xf>
    <xf numFmtId="3" fontId="19" fillId="0" borderId="0" xfId="0" applyNumberFormat="1" applyFont="1" applyAlignment="1">
      <alignment horizontal="center"/>
    </xf>
    <xf numFmtId="0" fontId="19" fillId="0" borderId="0" xfId="0" applyFont="1"/>
    <xf numFmtId="0" fontId="19" fillId="0" borderId="0" xfId="0" applyFont="1" applyAlignment="1">
      <alignment horizontal="center"/>
    </xf>
    <xf numFmtId="0" fontId="19" fillId="0" borderId="253" xfId="0" applyFont="1" applyBorder="1"/>
    <xf numFmtId="0" fontId="19" fillId="0" borderId="253" xfId="0" applyFont="1" applyBorder="1" applyAlignment="1">
      <alignment horizontal="center"/>
    </xf>
    <xf numFmtId="3" fontId="19" fillId="0" borderId="253" xfId="0" applyNumberFormat="1" applyFont="1" applyBorder="1" applyAlignment="1">
      <alignment horizontal="center"/>
    </xf>
    <xf numFmtId="0" fontId="18" fillId="0" borderId="251" xfId="0" applyFont="1" applyBorder="1"/>
    <xf numFmtId="0" fontId="106" fillId="0" borderId="13" xfId="0" applyFont="1" applyBorder="1" applyAlignment="1">
      <alignment horizontal="center"/>
    </xf>
    <xf numFmtId="3" fontId="19" fillId="0" borderId="13" xfId="0" applyNumberFormat="1" applyFont="1" applyBorder="1" applyAlignment="1">
      <alignment horizontal="center"/>
    </xf>
    <xf numFmtId="2" fontId="19" fillId="0" borderId="17" xfId="0" applyNumberFormat="1" applyFont="1" applyBorder="1" applyAlignment="1">
      <alignment horizontal="center"/>
    </xf>
    <xf numFmtId="0" fontId="18" fillId="0" borderId="13" xfId="0" applyFont="1" applyBorder="1"/>
    <xf numFmtId="3" fontId="19" fillId="0" borderId="17" xfId="0" applyNumberFormat="1" applyFont="1" applyBorder="1" applyAlignment="1">
      <alignment horizontal="center"/>
    </xf>
    <xf numFmtId="0" fontId="18" fillId="0" borderId="13" xfId="0" applyFont="1" applyBorder="1" applyAlignment="1">
      <alignment horizontal="left"/>
    </xf>
    <xf numFmtId="0" fontId="19" fillId="0" borderId="13" xfId="0" applyFont="1" applyBorder="1" applyAlignment="1">
      <alignment horizontal="center"/>
    </xf>
    <xf numFmtId="3" fontId="19" fillId="0" borderId="13" xfId="0" applyNumberFormat="1" applyFont="1" applyBorder="1" applyAlignment="1">
      <alignment horizontal="right"/>
    </xf>
    <xf numFmtId="0" fontId="19" fillId="0" borderId="13" xfId="0" applyFont="1" applyBorder="1"/>
    <xf numFmtId="9" fontId="19" fillId="0" borderId="13" xfId="107" applyFont="1" applyFill="1" applyBorder="1" applyAlignment="1">
      <alignment horizontal="right"/>
    </xf>
    <xf numFmtId="0" fontId="19" fillId="0" borderId="17" xfId="0" applyFont="1" applyBorder="1" applyAlignment="1">
      <alignment horizontal="center"/>
    </xf>
    <xf numFmtId="0" fontId="104" fillId="0" borderId="13" xfId="0" applyFont="1" applyBorder="1" applyAlignment="1">
      <alignment horizontal="center"/>
    </xf>
    <xf numFmtId="0" fontId="42" fillId="0" borderId="13" xfId="0" applyFont="1" applyBorder="1"/>
    <xf numFmtId="0" fontId="47" fillId="0" borderId="13" xfId="0" applyFont="1" applyBorder="1"/>
    <xf numFmtId="2" fontId="19" fillId="2" borderId="17" xfId="0" applyNumberFormat="1" applyFont="1" applyFill="1" applyBorder="1" applyAlignment="1">
      <alignment horizontal="center"/>
    </xf>
    <xf numFmtId="0" fontId="19" fillId="0" borderId="13" xfId="0" applyFont="1" applyBorder="1" applyAlignment="1">
      <alignment wrapText="1"/>
    </xf>
    <xf numFmtId="164" fontId="19" fillId="0" borderId="0" xfId="0" applyNumberFormat="1" applyFont="1" applyAlignment="1">
      <alignment horizontal="right"/>
    </xf>
    <xf numFmtId="164" fontId="19" fillId="0" borderId="0" xfId="109" applyFont="1" applyFill="1"/>
    <xf numFmtId="164" fontId="18" fillId="0" borderId="214" xfId="0" applyNumberFormat="1" applyFont="1" applyBorder="1" applyAlignment="1">
      <alignment horizontal="center" vertical="center" wrapText="1"/>
    </xf>
    <xf numFmtId="164" fontId="19" fillId="0" borderId="253" xfId="0" applyNumberFormat="1" applyFont="1" applyBorder="1" applyAlignment="1">
      <alignment horizontal="right"/>
    </xf>
    <xf numFmtId="164" fontId="19" fillId="0" borderId="13" xfId="0" applyNumberFormat="1" applyFont="1" applyBorder="1" applyAlignment="1">
      <alignment horizontal="right"/>
    </xf>
    <xf numFmtId="164" fontId="19" fillId="0" borderId="17" xfId="109" applyFont="1" applyFill="1" applyBorder="1"/>
    <xf numFmtId="164" fontId="19" fillId="0" borderId="13" xfId="107" applyNumberFormat="1" applyFont="1" applyFill="1" applyBorder="1" applyAlignment="1">
      <alignment horizontal="right"/>
    </xf>
    <xf numFmtId="164" fontId="103" fillId="0" borderId="0" xfId="0" applyNumberFormat="1" applyFont="1"/>
    <xf numFmtId="0" fontId="4" fillId="36" borderId="250" xfId="0" applyFont="1" applyFill="1" applyBorder="1" applyAlignment="1">
      <alignment vertical="top"/>
    </xf>
    <xf numFmtId="0" fontId="4" fillId="36" borderId="254" xfId="0" applyFont="1" applyFill="1" applyBorder="1" applyAlignment="1">
      <alignment vertical="top"/>
    </xf>
    <xf numFmtId="0" fontId="4" fillId="36" borderId="0" xfId="0" applyFont="1" applyFill="1" applyAlignment="1">
      <alignment vertical="top"/>
    </xf>
    <xf numFmtId="9" fontId="5" fillId="36" borderId="0" xfId="107" applyFont="1" applyFill="1" applyBorder="1" applyAlignment="1">
      <alignment vertical="top" wrapText="1"/>
    </xf>
    <xf numFmtId="0" fontId="5" fillId="36" borderId="251" xfId="0" applyFont="1" applyFill="1" applyBorder="1" applyAlignment="1">
      <alignment vertical="center" wrapText="1"/>
    </xf>
    <xf numFmtId="177" fontId="5" fillId="36" borderId="251" xfId="0" applyNumberFormat="1" applyFont="1" applyFill="1" applyBorder="1" applyAlignment="1">
      <alignment horizontal="center" vertical="center" wrapText="1"/>
    </xf>
    <xf numFmtId="177" fontId="5" fillId="36" borderId="214" xfId="0" applyNumberFormat="1" applyFont="1" applyFill="1" applyBorder="1" applyAlignment="1">
      <alignment horizontal="center" vertical="center" wrapText="1"/>
    </xf>
    <xf numFmtId="0" fontId="103" fillId="36" borderId="0" xfId="0" applyFont="1" applyFill="1" applyAlignment="1">
      <alignment vertical="top"/>
    </xf>
    <xf numFmtId="0" fontId="103" fillId="36" borderId="255" xfId="0" applyFont="1" applyFill="1" applyBorder="1" applyAlignment="1">
      <alignment vertical="top"/>
    </xf>
    <xf numFmtId="0" fontId="103" fillId="36" borderId="217" xfId="0" applyFont="1" applyFill="1" applyBorder="1" applyAlignment="1">
      <alignment vertical="top"/>
    </xf>
    <xf numFmtId="0" fontId="103" fillId="36" borderId="250" xfId="0" applyFont="1" applyFill="1" applyBorder="1" applyAlignment="1">
      <alignment vertical="top"/>
    </xf>
    <xf numFmtId="0" fontId="103" fillId="36" borderId="254" xfId="0" applyFont="1" applyFill="1" applyBorder="1" applyAlignment="1">
      <alignment vertical="top"/>
    </xf>
    <xf numFmtId="0" fontId="18" fillId="0" borderId="257" xfId="0" applyFont="1" applyBorder="1" applyAlignment="1">
      <alignment horizontal="center"/>
    </xf>
    <xf numFmtId="0" fontId="18" fillId="0" borderId="258" xfId="0" applyFont="1" applyBorder="1" applyAlignment="1">
      <alignment horizontal="center"/>
    </xf>
    <xf numFmtId="0" fontId="18" fillId="0" borderId="259" xfId="0" applyFont="1" applyBorder="1" applyAlignment="1">
      <alignment horizontal="center"/>
    </xf>
    <xf numFmtId="3" fontId="18" fillId="0" borderId="259" xfId="0" applyNumberFormat="1" applyFont="1" applyBorder="1" applyAlignment="1">
      <alignment horizontal="center"/>
    </xf>
    <xf numFmtId="0" fontId="18" fillId="0" borderId="261" xfId="0" applyFont="1" applyBorder="1" applyAlignment="1">
      <alignment horizontal="center"/>
    </xf>
    <xf numFmtId="0" fontId="18" fillId="0" borderId="262" xfId="0" applyFont="1" applyBorder="1" applyAlignment="1">
      <alignment horizontal="center"/>
    </xf>
    <xf numFmtId="0" fontId="18" fillId="0" borderId="263" xfId="0" applyFont="1" applyBorder="1" applyAlignment="1">
      <alignment horizontal="center"/>
    </xf>
    <xf numFmtId="3" fontId="18" fillId="0" borderId="263" xfId="0" applyNumberFormat="1" applyFont="1" applyBorder="1" applyAlignment="1">
      <alignment horizontal="center"/>
    </xf>
    <xf numFmtId="0" fontId="19" fillId="0" borderId="48" xfId="0" applyFont="1" applyBorder="1" applyAlignment="1">
      <alignment horizontal="left"/>
    </xf>
    <xf numFmtId="0" fontId="19" fillId="0" borderId="144" xfId="0" applyFont="1" applyBorder="1" applyAlignment="1">
      <alignment horizontal="left"/>
    </xf>
    <xf numFmtId="0" fontId="19" fillId="0" borderId="119" xfId="0" applyFont="1" applyBorder="1"/>
    <xf numFmtId="0" fontId="19" fillId="0" borderId="144" xfId="0" applyFont="1" applyBorder="1" applyAlignment="1">
      <alignment horizontal="center"/>
    </xf>
    <xf numFmtId="3" fontId="19" fillId="0" borderId="119" xfId="0" applyNumberFormat="1" applyFont="1" applyBorder="1" applyAlignment="1">
      <alignment horizontal="center"/>
    </xf>
    <xf numFmtId="2" fontId="18" fillId="0" borderId="251" xfId="0" applyNumberFormat="1" applyFont="1" applyBorder="1" applyAlignment="1">
      <alignment horizontal="center"/>
    </xf>
    <xf numFmtId="0" fontId="19" fillId="0" borderId="251" xfId="0" applyFont="1" applyBorder="1" applyAlignment="1">
      <alignment horizontal="center"/>
    </xf>
    <xf numFmtId="0" fontId="19" fillId="0" borderId="81" xfId="0" applyFont="1" applyBorder="1" applyAlignment="1">
      <alignment horizontal="center"/>
    </xf>
    <xf numFmtId="3" fontId="19" fillId="0" borderId="0" xfId="0" applyNumberFormat="1" applyFont="1" applyAlignment="1">
      <alignment horizontal="right"/>
    </xf>
    <xf numFmtId="0" fontId="18" fillId="0" borderId="81" xfId="0" applyFont="1" applyBorder="1" applyAlignment="1">
      <alignment horizontal="center"/>
    </xf>
    <xf numFmtId="0" fontId="19" fillId="0" borderId="0" xfId="0" applyFont="1" applyProtection="1">
      <protection locked="0"/>
    </xf>
    <xf numFmtId="0" fontId="42" fillId="0" borderId="59" xfId="0" applyFont="1" applyBorder="1"/>
    <xf numFmtId="0" fontId="42" fillId="0" borderId="265" xfId="0" applyFont="1" applyBorder="1"/>
    <xf numFmtId="0" fontId="42" fillId="0" borderId="60" xfId="0" applyFont="1" applyBorder="1"/>
    <xf numFmtId="0" fontId="42" fillId="0" borderId="0" xfId="0" applyFont="1"/>
    <xf numFmtId="0" fontId="47" fillId="0" borderId="59" xfId="0" applyFont="1" applyBorder="1"/>
    <xf numFmtId="0" fontId="47" fillId="0" borderId="265" xfId="0" applyFont="1" applyBorder="1"/>
    <xf numFmtId="0" fontId="47" fillId="0" borderId="60" xfId="0" applyFont="1" applyBorder="1"/>
    <xf numFmtId="0" fontId="47" fillId="0" borderId="0" xfId="0" applyFont="1"/>
    <xf numFmtId="164" fontId="18" fillId="0" borderId="259" xfId="0" applyNumberFormat="1" applyFont="1" applyBorder="1" applyAlignment="1">
      <alignment horizontal="center"/>
    </xf>
    <xf numFmtId="164" fontId="18" fillId="0" borderId="260" xfId="109" applyFont="1" applyFill="1" applyBorder="1" applyAlignment="1">
      <alignment horizontal="center"/>
    </xf>
    <xf numFmtId="164" fontId="18" fillId="0" borderId="263" xfId="0" applyNumberFormat="1" applyFont="1" applyBorder="1" applyAlignment="1">
      <alignment horizontal="right"/>
    </xf>
    <xf numFmtId="164" fontId="19" fillId="0" borderId="41" xfId="109" applyFont="1" applyFill="1" applyBorder="1" applyAlignment="1">
      <alignment horizontal="center"/>
    </xf>
    <xf numFmtId="164" fontId="19" fillId="0" borderId="144" xfId="0" applyNumberFormat="1" applyFont="1" applyBorder="1" applyAlignment="1">
      <alignment horizontal="right"/>
    </xf>
    <xf numFmtId="164" fontId="19" fillId="0" borderId="145" xfId="109" applyFont="1" applyFill="1" applyBorder="1"/>
    <xf numFmtId="164" fontId="19" fillId="0" borderId="251" xfId="0" applyNumberFormat="1" applyFont="1" applyBorder="1" applyAlignment="1">
      <alignment horizontal="right"/>
    </xf>
    <xf numFmtId="164" fontId="19" fillId="0" borderId="264" xfId="109" applyFont="1" applyFill="1" applyBorder="1"/>
    <xf numFmtId="164" fontId="19" fillId="0" borderId="264" xfId="109" applyFont="1" applyFill="1" applyBorder="1" applyAlignment="1">
      <alignment horizontal="right"/>
    </xf>
    <xf numFmtId="164" fontId="103" fillId="0" borderId="255" xfId="0" applyNumberFormat="1" applyFont="1" applyBorder="1"/>
    <xf numFmtId="164" fontId="47" fillId="0" borderId="265" xfId="0" applyNumberFormat="1" applyFont="1" applyBorder="1"/>
    <xf numFmtId="164" fontId="47" fillId="0" borderId="86" xfId="0" applyNumberFormat="1" applyFont="1" applyBorder="1"/>
    <xf numFmtId="0" fontId="42" fillId="0" borderId="81" xfId="0" applyFont="1" applyBorder="1"/>
    <xf numFmtId="164" fontId="42" fillId="0" borderId="255" xfId="0" applyNumberFormat="1" applyFont="1" applyBorder="1"/>
    <xf numFmtId="164" fontId="42" fillId="0" borderId="0" xfId="0" applyNumberFormat="1" applyFont="1"/>
    <xf numFmtId="0" fontId="17" fillId="0" borderId="15" xfId="0" applyFont="1" applyBorder="1" applyAlignment="1">
      <alignment horizontal="left" vertical="center" wrapText="1" indent="1"/>
    </xf>
    <xf numFmtId="168" fontId="19" fillId="34" borderId="12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top" wrapText="1"/>
    </xf>
    <xf numFmtId="0" fontId="18" fillId="0" borderId="242" xfId="108" applyFont="1" applyBorder="1" applyAlignment="1">
      <alignment vertical="top" wrapText="1"/>
    </xf>
    <xf numFmtId="170" fontId="19" fillId="0" borderId="13" xfId="0" applyNumberFormat="1" applyFont="1" applyBorder="1" applyAlignment="1">
      <alignment horizontal="center" vertical="center" wrapText="1"/>
    </xf>
    <xf numFmtId="170" fontId="19" fillId="34" borderId="13" xfId="0" applyNumberFormat="1" applyFont="1" applyFill="1" applyBorder="1" applyAlignment="1">
      <alignment horizontal="center" vertical="center" wrapText="1"/>
    </xf>
    <xf numFmtId="170" fontId="108" fillId="34" borderId="44" xfId="0" applyNumberFormat="1" applyFont="1" applyFill="1" applyBorder="1" applyAlignment="1">
      <alignment horizontal="center" vertical="center" wrapText="1"/>
    </xf>
    <xf numFmtId="43" fontId="19" fillId="0" borderId="0" xfId="28" applyFont="1" applyAlignment="1">
      <alignment vertical="top"/>
    </xf>
    <xf numFmtId="0" fontId="103" fillId="0" borderId="0" xfId="0" applyFont="1" applyAlignment="1">
      <alignment vertical="top"/>
    </xf>
    <xf numFmtId="0" fontId="18" fillId="0" borderId="48" xfId="0" applyFont="1" applyBorder="1" applyAlignment="1">
      <alignment horizontal="left"/>
    </xf>
    <xf numFmtId="0" fontId="104" fillId="0" borderId="119" xfId="0" applyFont="1" applyBorder="1"/>
    <xf numFmtId="0" fontId="104" fillId="0" borderId="119" xfId="0" applyFont="1" applyBorder="1" applyAlignment="1">
      <alignment horizontal="center"/>
    </xf>
    <xf numFmtId="164" fontId="19" fillId="0" borderId="119" xfId="0" applyNumberFormat="1" applyFont="1" applyBorder="1" applyAlignment="1">
      <alignment horizontal="right"/>
    </xf>
    <xf numFmtId="164" fontId="18" fillId="0" borderId="269" xfId="109" applyFont="1" applyFill="1" applyBorder="1"/>
    <xf numFmtId="0" fontId="18" fillId="0" borderId="143" xfId="0" applyFont="1" applyBorder="1" applyAlignment="1">
      <alignment horizontal="left" vertical="top"/>
    </xf>
    <xf numFmtId="0" fontId="104" fillId="0" borderId="144" xfId="0" applyFont="1" applyBorder="1"/>
    <xf numFmtId="0" fontId="104" fillId="0" borderId="144" xfId="0" applyFont="1" applyBorder="1" applyAlignment="1">
      <alignment horizontal="center"/>
    </xf>
    <xf numFmtId="3" fontId="19" fillId="0" borderId="144" xfId="0" applyNumberFormat="1" applyFont="1" applyBorder="1" applyAlignment="1">
      <alignment horizontal="center"/>
    </xf>
    <xf numFmtId="0" fontId="17" fillId="0" borderId="81" xfId="0" applyFont="1" applyBorder="1" applyAlignment="1">
      <alignment horizontal="left" vertical="top"/>
    </xf>
    <xf numFmtId="164" fontId="19" fillId="0" borderId="82" xfId="109" applyFont="1" applyFill="1" applyBorder="1"/>
    <xf numFmtId="0" fontId="105" fillId="0" borderId="81" xfId="0" applyFont="1" applyBorder="1"/>
    <xf numFmtId="0" fontId="43" fillId="0" borderId="0" xfId="0" applyFont="1"/>
    <xf numFmtId="164" fontId="18" fillId="0" borderId="0" xfId="0" applyNumberFormat="1" applyFont="1" applyAlignment="1">
      <alignment horizontal="left"/>
    </xf>
    <xf numFmtId="164" fontId="18" fillId="0" borderId="82" xfId="109" applyFont="1" applyFill="1" applyBorder="1" applyAlignment="1">
      <alignment horizontal="right"/>
    </xf>
    <xf numFmtId="0" fontId="17" fillId="0" borderId="270" xfId="0" applyFont="1" applyBorder="1" applyAlignment="1">
      <alignment horizontal="center" vertical="center" wrapText="1"/>
    </xf>
    <xf numFmtId="164" fontId="18" fillId="0" borderId="134" xfId="0" applyNumberFormat="1" applyFont="1" applyBorder="1" applyAlignment="1">
      <alignment horizontal="center" vertical="center" wrapText="1"/>
    </xf>
    <xf numFmtId="0" fontId="19" fillId="0" borderId="271" xfId="0" applyFont="1" applyBorder="1" applyAlignment="1">
      <alignment horizontal="center"/>
    </xf>
    <xf numFmtId="164" fontId="19" fillId="0" borderId="169" xfId="109" applyFont="1" applyFill="1" applyBorder="1"/>
    <xf numFmtId="2" fontId="18" fillId="0" borderId="81" xfId="0" applyNumberFormat="1" applyFont="1" applyBorder="1" applyAlignment="1">
      <alignment horizontal="center"/>
    </xf>
    <xf numFmtId="2" fontId="19" fillId="0" borderId="81" xfId="0" applyNumberFormat="1" applyFont="1" applyBorder="1" applyAlignment="1">
      <alignment horizontal="center"/>
    </xf>
    <xf numFmtId="164" fontId="19" fillId="0" borderId="264" xfId="109" applyFont="1" applyFill="1" applyBorder="1" applyAlignment="1">
      <alignment horizontal="center"/>
    </xf>
    <xf numFmtId="164" fontId="19" fillId="0" borderId="264" xfId="0" applyNumberFormat="1" applyFont="1" applyBorder="1" applyAlignment="1">
      <alignment horizontal="right"/>
    </xf>
    <xf numFmtId="0" fontId="103" fillId="36" borderId="252" xfId="0" applyFont="1" applyFill="1" applyBorder="1" applyAlignment="1">
      <alignment vertical="top"/>
    </xf>
    <xf numFmtId="0" fontId="4" fillId="36" borderId="252" xfId="0" applyFont="1" applyFill="1" applyBorder="1" applyAlignment="1">
      <alignment vertical="top"/>
    </xf>
    <xf numFmtId="0" fontId="18" fillId="36" borderId="252" xfId="0" applyFont="1" applyFill="1" applyBorder="1" applyAlignment="1">
      <alignment horizontal="center" vertical="center" wrapText="1"/>
    </xf>
    <xf numFmtId="0" fontId="19" fillId="36" borderId="252" xfId="0" applyFont="1" applyFill="1" applyBorder="1" applyAlignment="1">
      <alignment vertical="center" wrapText="1"/>
    </xf>
    <xf numFmtId="168" fontId="19" fillId="36" borderId="252" xfId="0" applyNumberFormat="1" applyFont="1" applyFill="1" applyBorder="1" applyAlignment="1">
      <alignment horizontal="center" vertical="center" wrapText="1"/>
    </xf>
    <xf numFmtId="0" fontId="19" fillId="36" borderId="252" xfId="0" applyFont="1" applyFill="1" applyBorder="1" applyAlignment="1">
      <alignment horizontal="center" vertical="center" wrapText="1"/>
    </xf>
    <xf numFmtId="1" fontId="19" fillId="36" borderId="252" xfId="0" applyNumberFormat="1" applyFont="1" applyFill="1" applyBorder="1" applyAlignment="1">
      <alignment horizontal="center" vertical="center" wrapText="1"/>
    </xf>
    <xf numFmtId="10" fontId="18" fillId="36" borderId="252" xfId="0" applyNumberFormat="1" applyFont="1" applyFill="1" applyBorder="1" applyAlignment="1">
      <alignment horizontal="center"/>
    </xf>
    <xf numFmtId="169" fontId="19" fillId="36" borderId="252" xfId="0" applyNumberFormat="1" applyFont="1" applyFill="1" applyBorder="1" applyAlignment="1">
      <alignment horizontal="center" vertical="center" wrapText="1"/>
    </xf>
    <xf numFmtId="177" fontId="5" fillId="36" borderId="216" xfId="0" applyNumberFormat="1" applyFont="1" applyFill="1" applyBorder="1" applyAlignment="1">
      <alignment horizontal="center" vertical="center" wrapText="1"/>
    </xf>
    <xf numFmtId="0" fontId="42" fillId="36" borderId="214" xfId="0" applyFont="1" applyFill="1" applyBorder="1" applyAlignment="1">
      <alignment vertical="top"/>
    </xf>
    <xf numFmtId="0" fontId="42" fillId="36" borderId="215" xfId="0" applyFont="1" applyFill="1" applyBorder="1" applyAlignment="1">
      <alignment horizontal="center" vertical="top"/>
    </xf>
    <xf numFmtId="0" fontId="42" fillId="36" borderId="215" xfId="0" applyFont="1" applyFill="1" applyBorder="1" applyAlignment="1">
      <alignment vertical="top"/>
    </xf>
    <xf numFmtId="0" fontId="19" fillId="36" borderId="215" xfId="0" applyFont="1" applyFill="1" applyBorder="1" applyAlignment="1">
      <alignment vertical="top"/>
    </xf>
    <xf numFmtId="2" fontId="19" fillId="36" borderId="215" xfId="0" applyNumberFormat="1" applyFont="1" applyFill="1" applyBorder="1" applyAlignment="1">
      <alignment vertical="top"/>
    </xf>
    <xf numFmtId="164" fontId="19" fillId="36" borderId="215" xfId="0" applyNumberFormat="1" applyFont="1" applyFill="1" applyBorder="1" applyAlignment="1">
      <alignment vertical="top"/>
    </xf>
    <xf numFmtId="0" fontId="19" fillId="36" borderId="216" xfId="0" applyFont="1" applyFill="1" applyBorder="1" applyAlignment="1">
      <alignment vertical="top"/>
    </xf>
    <xf numFmtId="0" fontId="5" fillId="36" borderId="17" xfId="0" applyFont="1" applyFill="1" applyBorder="1" applyAlignment="1">
      <alignment vertical="top"/>
    </xf>
    <xf numFmtId="0" fontId="5" fillId="36" borderId="17" xfId="0" applyFont="1" applyFill="1" applyBorder="1" applyAlignment="1">
      <alignment vertical="top" wrapText="1"/>
    </xf>
    <xf numFmtId="0" fontId="5" fillId="36" borderId="17" xfId="0" applyFont="1" applyFill="1" applyBorder="1" applyAlignment="1">
      <alignment vertical="center" wrapText="1"/>
    </xf>
    <xf numFmtId="0" fontId="5" fillId="36" borderId="273" xfId="0" applyFont="1" applyFill="1" applyBorder="1" applyAlignment="1">
      <alignment vertical="center" wrapText="1"/>
    </xf>
    <xf numFmtId="0" fontId="5" fillId="0" borderId="188" xfId="0" applyFont="1" applyBorder="1" applyAlignment="1">
      <alignment vertical="top"/>
    </xf>
    <xf numFmtId="0" fontId="5" fillId="36" borderId="188" xfId="0" applyFont="1" applyFill="1" applyBorder="1" applyAlignment="1">
      <alignment vertical="top"/>
    </xf>
    <xf numFmtId="2" fontId="5" fillId="36" borderId="188" xfId="0" applyNumberFormat="1" applyFont="1" applyFill="1" applyBorder="1" applyAlignment="1">
      <alignment vertical="top"/>
    </xf>
    <xf numFmtId="164" fontId="5" fillId="36" borderId="188" xfId="0" applyNumberFormat="1" applyFont="1" applyFill="1" applyBorder="1" applyAlignment="1">
      <alignment vertical="top"/>
    </xf>
    <xf numFmtId="0" fontId="5" fillId="0" borderId="144" xfId="0" applyFont="1" applyBorder="1" applyAlignment="1">
      <alignment vertical="top"/>
    </xf>
    <xf numFmtId="0" fontId="5" fillId="36" borderId="144" xfId="0" applyFont="1" applyFill="1" applyBorder="1" applyAlignment="1">
      <alignment vertical="top"/>
    </xf>
    <xf numFmtId="2" fontId="5" fillId="36" borderId="144" xfId="0" applyNumberFormat="1" applyFont="1" applyFill="1" applyBorder="1" applyAlignment="1">
      <alignment vertical="top"/>
    </xf>
    <xf numFmtId="164" fontId="5" fillId="36" borderId="144" xfId="0" applyNumberFormat="1" applyFont="1" applyFill="1" applyBorder="1" applyAlignment="1">
      <alignment vertical="top"/>
    </xf>
    <xf numFmtId="0" fontId="5" fillId="36" borderId="145" xfId="0" applyFont="1" applyFill="1" applyBorder="1" applyAlignment="1">
      <alignment vertical="top"/>
    </xf>
    <xf numFmtId="0" fontId="17" fillId="0" borderId="187" xfId="0" applyFont="1" applyBorder="1" applyAlignment="1">
      <alignment horizontal="left" vertical="top"/>
    </xf>
    <xf numFmtId="0" fontId="5" fillId="36" borderId="196" xfId="0" applyFont="1" applyFill="1" applyBorder="1" applyAlignment="1">
      <alignment vertical="top"/>
    </xf>
    <xf numFmtId="0" fontId="17" fillId="36" borderId="203" xfId="0" applyFont="1" applyFill="1" applyBorder="1" applyAlignment="1">
      <alignment horizontal="left" vertical="center"/>
    </xf>
    <xf numFmtId="49" fontId="17" fillId="36" borderId="204" xfId="0" applyNumberFormat="1" applyFont="1" applyFill="1" applyBorder="1" applyAlignment="1">
      <alignment horizontal="left" vertical="center" wrapText="1"/>
    </xf>
    <xf numFmtId="0" fontId="18" fillId="36" borderId="204" xfId="0" applyFont="1" applyFill="1" applyBorder="1" applyAlignment="1">
      <alignment horizontal="center" vertical="center" wrapText="1"/>
    </xf>
    <xf numFmtId="2" fontId="18" fillId="36" borderId="204" xfId="0" applyNumberFormat="1" applyFont="1" applyFill="1" applyBorder="1" applyAlignment="1">
      <alignment horizontal="center" vertical="center" wrapText="1"/>
    </xf>
    <xf numFmtId="164" fontId="18" fillId="36" borderId="204" xfId="0" applyNumberFormat="1" applyFont="1" applyFill="1" applyBorder="1" applyAlignment="1">
      <alignment horizontal="center" vertical="center" wrapText="1"/>
    </xf>
    <xf numFmtId="166" fontId="17" fillId="36" borderId="205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top" wrapText="1"/>
    </xf>
    <xf numFmtId="49" fontId="19" fillId="0" borderId="0" xfId="0" applyNumberFormat="1" applyFont="1" applyAlignment="1">
      <alignment horizontal="left" vertical="top" wrapText="1"/>
    </xf>
    <xf numFmtId="49" fontId="19" fillId="0" borderId="0" xfId="0" applyNumberFormat="1" applyFont="1" applyAlignment="1">
      <alignment horizontal="center" vertical="top" wrapText="1"/>
    </xf>
    <xf numFmtId="2" fontId="19" fillId="0" borderId="0" xfId="0" applyNumberFormat="1" applyFont="1" applyAlignment="1">
      <alignment horizontal="right" vertical="top" wrapText="1"/>
    </xf>
    <xf numFmtId="168" fontId="19" fillId="0" borderId="0" xfId="0" applyNumberFormat="1" applyFont="1" applyAlignment="1">
      <alignment horizontal="right" vertical="top" wrapText="1"/>
    </xf>
    <xf numFmtId="0" fontId="16" fillId="0" borderId="144" xfId="0" applyFont="1" applyBorder="1" applyAlignment="1">
      <alignment vertical="top"/>
    </xf>
    <xf numFmtId="2" fontId="16" fillId="0" borderId="144" xfId="0" applyNumberFormat="1" applyFont="1" applyBorder="1" applyAlignment="1">
      <alignment vertical="top"/>
    </xf>
    <xf numFmtId="0" fontId="16" fillId="0" borderId="145" xfId="0" applyFont="1" applyBorder="1" applyAlignment="1">
      <alignment vertical="top"/>
    </xf>
    <xf numFmtId="2" fontId="16" fillId="0" borderId="0" xfId="0" applyNumberFormat="1" applyFont="1" applyAlignment="1">
      <alignment vertical="top"/>
    </xf>
    <xf numFmtId="0" fontId="16" fillId="0" borderId="82" xfId="0" applyFont="1" applyBorder="1" applyAlignment="1">
      <alignment vertical="top"/>
    </xf>
    <xf numFmtId="0" fontId="5" fillId="0" borderId="81" xfId="0" applyFont="1" applyBorder="1" applyAlignment="1">
      <alignment horizontal="center" vertical="top"/>
    </xf>
    <xf numFmtId="0" fontId="18" fillId="0" borderId="82" xfId="0" applyFont="1" applyBorder="1" applyAlignment="1">
      <alignment horizontal="right" vertical="center"/>
    </xf>
    <xf numFmtId="0" fontId="17" fillId="0" borderId="271" xfId="0" applyFont="1" applyBorder="1" applyAlignment="1">
      <alignment horizontal="center" vertical="center" wrapText="1"/>
    </xf>
    <xf numFmtId="0" fontId="18" fillId="0" borderId="249" xfId="0" applyFont="1" applyBorder="1" applyAlignment="1">
      <alignment horizontal="center" vertical="center" wrapText="1"/>
    </xf>
    <xf numFmtId="0" fontId="5" fillId="0" borderId="271" xfId="0" applyFont="1" applyBorder="1" applyAlignment="1">
      <alignment horizontal="center" vertical="center" wrapText="1"/>
    </xf>
    <xf numFmtId="0" fontId="19" fillId="0" borderId="249" xfId="0" applyFont="1" applyBorder="1" applyAlignment="1">
      <alignment vertical="center" wrapText="1"/>
    </xf>
    <xf numFmtId="49" fontId="17" fillId="0" borderId="274" xfId="0" applyNumberFormat="1" applyFont="1" applyBorder="1" applyAlignment="1">
      <alignment horizontal="center" vertical="top" wrapText="1"/>
    </xf>
    <xf numFmtId="168" fontId="19" fillId="0" borderId="134" xfId="0" applyNumberFormat="1" applyFont="1" applyBorder="1" applyAlignment="1">
      <alignment horizontal="center" vertical="center" wrapText="1"/>
    </xf>
    <xf numFmtId="0" fontId="5" fillId="0" borderId="275" xfId="0" applyFont="1" applyBorder="1" applyAlignment="1">
      <alignment horizontal="center" vertical="top" wrapText="1"/>
    </xf>
    <xf numFmtId="0" fontId="19" fillId="0" borderId="264" xfId="0" applyFont="1" applyBorder="1" applyAlignment="1">
      <alignment horizontal="center" vertical="center" wrapText="1"/>
    </xf>
    <xf numFmtId="49" fontId="5" fillId="0" borderId="275" xfId="0" applyNumberFormat="1" applyFont="1" applyBorder="1" applyAlignment="1">
      <alignment horizontal="center" vertical="top" wrapText="1"/>
    </xf>
    <xf numFmtId="168" fontId="19" fillId="0" borderId="264" xfId="0" applyNumberFormat="1" applyFont="1" applyBorder="1" applyAlignment="1">
      <alignment horizontal="center" vertical="center" wrapText="1"/>
    </xf>
    <xf numFmtId="166" fontId="19" fillId="0" borderId="264" xfId="0" applyNumberFormat="1" applyFont="1" applyBorder="1" applyAlignment="1">
      <alignment horizontal="center" vertical="center" wrapText="1"/>
    </xf>
    <xf numFmtId="49" fontId="5" fillId="0" borderId="275" xfId="0" applyNumberFormat="1" applyFont="1" applyBorder="1" applyAlignment="1">
      <alignment horizontal="center" vertical="center" wrapText="1"/>
    </xf>
    <xf numFmtId="0" fontId="17" fillId="0" borderId="59" xfId="0" applyFont="1" applyBorder="1" applyAlignment="1">
      <alignment horizontal="left" vertical="center"/>
    </xf>
    <xf numFmtId="49" fontId="18" fillId="0" borderId="60" xfId="0" applyNumberFormat="1" applyFont="1" applyBorder="1" applyAlignment="1">
      <alignment horizontal="left" vertical="center" wrapText="1"/>
    </xf>
    <xf numFmtId="0" fontId="18" fillId="0" borderId="60" xfId="0" applyFont="1" applyBorder="1" applyAlignment="1">
      <alignment horizontal="center" vertical="center" wrapText="1"/>
    </xf>
    <xf numFmtId="2" fontId="18" fillId="0" borderId="60" xfId="0" applyNumberFormat="1" applyFont="1" applyBorder="1" applyAlignment="1">
      <alignment horizontal="center" vertical="center" wrapText="1"/>
    </xf>
    <xf numFmtId="166" fontId="18" fillId="0" borderId="86" xfId="0" applyNumberFormat="1" applyFont="1" applyBorder="1" applyAlignment="1">
      <alignment horizontal="center" vertical="center" wrapText="1"/>
    </xf>
    <xf numFmtId="169" fontId="19" fillId="34" borderId="216" xfId="0" applyNumberFormat="1" applyFont="1" applyFill="1" applyBorder="1" applyAlignment="1">
      <alignment horizontal="right" vertical="top" wrapText="1"/>
    </xf>
    <xf numFmtId="0" fontId="19" fillId="34" borderId="272" xfId="0" applyFont="1" applyFill="1" applyBorder="1" applyAlignment="1">
      <alignment vertical="top" wrapText="1"/>
    </xf>
    <xf numFmtId="2" fontId="19" fillId="34" borderId="272" xfId="0" applyNumberFormat="1" applyFont="1" applyFill="1" applyBorder="1" applyAlignment="1">
      <alignment horizontal="center" vertical="center" wrapText="1"/>
    </xf>
    <xf numFmtId="0" fontId="19" fillId="34" borderId="272" xfId="0" applyFont="1" applyFill="1" applyBorder="1" applyAlignment="1">
      <alignment horizontal="center" vertical="center" wrapText="1"/>
    </xf>
    <xf numFmtId="169" fontId="19" fillId="34" borderId="272" xfId="0" applyNumberFormat="1" applyFont="1" applyFill="1" applyBorder="1" applyAlignment="1">
      <alignment horizontal="center" vertical="center" wrapText="1"/>
    </xf>
    <xf numFmtId="169" fontId="43" fillId="34" borderId="272" xfId="0" applyNumberFormat="1" applyFont="1" applyFill="1" applyBorder="1" applyAlignment="1">
      <alignment horizontal="center" vertical="center" wrapText="1"/>
    </xf>
    <xf numFmtId="177" fontId="14" fillId="34" borderId="167" xfId="0" applyNumberFormat="1" applyFont="1" applyFill="1" applyBorder="1" applyAlignment="1">
      <alignment horizontal="center" vertical="center" wrapText="1"/>
    </xf>
    <xf numFmtId="0" fontId="5" fillId="0" borderId="145" xfId="0" applyFont="1" applyBorder="1" applyAlignment="1">
      <alignment vertical="top"/>
    </xf>
    <xf numFmtId="0" fontId="5" fillId="0" borderId="82" xfId="0" applyFont="1" applyBorder="1" applyAlignment="1">
      <alignment vertical="top"/>
    </xf>
    <xf numFmtId="0" fontId="5" fillId="0" borderId="81" xfId="0" applyFont="1" applyBorder="1" applyAlignment="1">
      <alignment vertical="top"/>
    </xf>
    <xf numFmtId="0" fontId="5" fillId="0" borderId="271" xfId="0" applyFont="1" applyBorder="1" applyAlignment="1">
      <alignment vertical="center" wrapText="1"/>
    </xf>
    <xf numFmtId="49" fontId="5" fillId="0" borderId="251" xfId="0" applyNumberFormat="1" applyFont="1" applyBorder="1" applyAlignment="1">
      <alignment horizontal="center" vertical="top" wrapText="1"/>
    </xf>
    <xf numFmtId="168" fontId="19" fillId="0" borderId="251" xfId="0" applyNumberFormat="1" applyFont="1" applyBorder="1" applyAlignment="1">
      <alignment horizontal="right" vertical="top" wrapText="1"/>
    </xf>
    <xf numFmtId="49" fontId="17" fillId="0" borderId="275" xfId="0" applyNumberFormat="1" applyFont="1" applyBorder="1" applyAlignment="1">
      <alignment horizontal="center" vertical="top" wrapText="1"/>
    </xf>
    <xf numFmtId="0" fontId="5" fillId="0" borderId="275" xfId="0" applyFont="1" applyBorder="1" applyAlignment="1">
      <alignment vertical="top" wrapText="1"/>
    </xf>
    <xf numFmtId="49" fontId="5" fillId="0" borderId="275" xfId="0" applyNumberFormat="1" applyFont="1" applyBorder="1" applyAlignment="1">
      <alignment horizontal="left" vertical="top" wrapText="1"/>
    </xf>
    <xf numFmtId="49" fontId="19" fillId="0" borderId="275" xfId="0" applyNumberFormat="1" applyFont="1" applyBorder="1" applyAlignment="1">
      <alignment horizontal="center" vertical="top" wrapText="1"/>
    </xf>
    <xf numFmtId="49" fontId="19" fillId="0" borderId="275" xfId="0" applyNumberFormat="1" applyFont="1" applyBorder="1" applyAlignment="1">
      <alignment horizontal="center" vertical="center" wrapText="1"/>
    </xf>
    <xf numFmtId="49" fontId="18" fillId="0" borderId="275" xfId="0" applyNumberFormat="1" applyFont="1" applyBorder="1" applyAlignment="1">
      <alignment horizontal="center" vertical="top" wrapText="1"/>
    </xf>
    <xf numFmtId="166" fontId="43" fillId="0" borderId="264" xfId="0" applyNumberFormat="1" applyFont="1" applyBorder="1" applyAlignment="1">
      <alignment horizontal="center" vertical="center" wrapText="1"/>
    </xf>
    <xf numFmtId="49" fontId="17" fillId="0" borderId="60" xfId="0" applyNumberFormat="1" applyFont="1" applyBorder="1" applyAlignment="1">
      <alignment horizontal="left" vertical="center" wrapText="1"/>
    </xf>
    <xf numFmtId="0" fontId="17" fillId="0" borderId="60" xfId="0" applyFont="1" applyBorder="1" applyAlignment="1">
      <alignment horizontal="center" vertical="center" wrapText="1"/>
    </xf>
    <xf numFmtId="1" fontId="19" fillId="34" borderId="272" xfId="0" applyNumberFormat="1" applyFont="1" applyFill="1" applyBorder="1" applyAlignment="1">
      <alignment horizontal="center" vertical="center" wrapText="1"/>
    </xf>
    <xf numFmtId="2" fontId="19" fillId="0" borderId="0" xfId="0" applyNumberFormat="1" applyFont="1" applyAlignment="1">
      <alignment vertical="top" wrapText="1"/>
    </xf>
    <xf numFmtId="0" fontId="19" fillId="0" borderId="0" xfId="0" applyFont="1" applyAlignment="1">
      <alignment vertical="top" wrapText="1"/>
    </xf>
    <xf numFmtId="2" fontId="5" fillId="0" borderId="144" xfId="0" applyNumberFormat="1" applyFont="1" applyBorder="1" applyAlignment="1">
      <alignment vertical="top"/>
    </xf>
    <xf numFmtId="0" fontId="19" fillId="0" borderId="145" xfId="0" applyFont="1" applyBorder="1" applyAlignment="1">
      <alignment vertical="top"/>
    </xf>
    <xf numFmtId="0" fontId="19" fillId="0" borderId="82" xfId="0" applyFont="1" applyBorder="1" applyAlignment="1">
      <alignment vertical="top"/>
    </xf>
    <xf numFmtId="0" fontId="5" fillId="0" borderId="270" xfId="0" applyFont="1" applyBorder="1" applyAlignment="1">
      <alignment vertical="center" wrapText="1"/>
    </xf>
    <xf numFmtId="0" fontId="5" fillId="0" borderId="81" xfId="0" applyFont="1" applyBorder="1" applyAlignment="1">
      <alignment vertical="center" wrapText="1"/>
    </xf>
    <xf numFmtId="0" fontId="19" fillId="0" borderId="276" xfId="0" applyFont="1" applyBorder="1" applyAlignment="1">
      <alignment vertical="center" wrapText="1"/>
    </xf>
    <xf numFmtId="0" fontId="17" fillId="0" borderId="277" xfId="0" applyFont="1" applyBorder="1" applyAlignment="1">
      <alignment horizontal="center" vertical="center"/>
    </xf>
    <xf numFmtId="166" fontId="17" fillId="0" borderId="86" xfId="0" applyNumberFormat="1" applyFont="1" applyBorder="1" applyAlignment="1">
      <alignment horizontal="center" vertical="center" wrapText="1"/>
    </xf>
    <xf numFmtId="0" fontId="17" fillId="34" borderId="253" xfId="0" applyFont="1" applyFill="1" applyBorder="1" applyAlignment="1">
      <alignment horizontal="center" vertical="center" wrapText="1"/>
    </xf>
    <xf numFmtId="0" fontId="5" fillId="34" borderId="253" xfId="0" applyFont="1" applyFill="1" applyBorder="1" applyAlignment="1">
      <alignment horizontal="center" vertical="center" wrapText="1"/>
    </xf>
    <xf numFmtId="0" fontId="42" fillId="34" borderId="216" xfId="0" applyFont="1" applyFill="1" applyBorder="1" applyAlignment="1">
      <alignment horizontal="center" vertical="center" wrapText="1"/>
    </xf>
    <xf numFmtId="169" fontId="42" fillId="34" borderId="272" xfId="0" applyNumberFormat="1" applyFont="1" applyFill="1" applyBorder="1" applyAlignment="1">
      <alignment horizontal="center" vertical="center" wrapText="1"/>
    </xf>
    <xf numFmtId="0" fontId="42" fillId="34" borderId="272" xfId="0" applyFont="1" applyFill="1" applyBorder="1" applyAlignment="1">
      <alignment horizontal="center" vertical="center" wrapText="1"/>
    </xf>
    <xf numFmtId="169" fontId="5" fillId="34" borderId="272" xfId="0" applyNumberFormat="1" applyFont="1" applyFill="1" applyBorder="1" applyAlignment="1">
      <alignment horizontal="center" vertical="center" wrapText="1"/>
    </xf>
    <xf numFmtId="0" fontId="5" fillId="34" borderId="272" xfId="0" applyFont="1" applyFill="1" applyBorder="1" applyAlignment="1">
      <alignment horizontal="center" vertical="center" wrapText="1"/>
    </xf>
    <xf numFmtId="177" fontId="14" fillId="34" borderId="167" xfId="0" applyNumberFormat="1" applyFont="1" applyFill="1" applyBorder="1" applyAlignment="1">
      <alignment horizontal="center" wrapText="1"/>
    </xf>
    <xf numFmtId="0" fontId="17" fillId="0" borderId="82" xfId="0" applyFont="1" applyBorder="1" applyAlignment="1">
      <alignment horizontal="right" vertical="center"/>
    </xf>
    <xf numFmtId="0" fontId="17" fillId="0" borderId="249" xfId="0" applyFont="1" applyBorder="1" applyAlignment="1">
      <alignment horizontal="center" vertical="center" wrapText="1"/>
    </xf>
    <xf numFmtId="0" fontId="5" fillId="0" borderId="253" xfId="0" applyFont="1" applyBorder="1" applyAlignment="1">
      <alignment horizontal="center" vertical="center" wrapText="1"/>
    </xf>
    <xf numFmtId="0" fontId="5" fillId="0" borderId="249" xfId="0" applyFont="1" applyBorder="1" applyAlignment="1">
      <alignment horizontal="center" vertical="center" wrapText="1"/>
    </xf>
    <xf numFmtId="0" fontId="5" fillId="0" borderId="270" xfId="0" applyFont="1" applyBorder="1" applyAlignment="1">
      <alignment horizontal="center" vertical="center" wrapText="1"/>
    </xf>
    <xf numFmtId="0" fontId="42" fillId="0" borderId="251" xfId="0" applyFont="1" applyBorder="1" applyAlignment="1">
      <alignment horizontal="center" vertical="center" wrapText="1"/>
    </xf>
    <xf numFmtId="0" fontId="5" fillId="0" borderId="215" xfId="0" applyFont="1" applyBorder="1" applyAlignment="1">
      <alignment horizontal="center" vertical="center" wrapText="1"/>
    </xf>
    <xf numFmtId="166" fontId="5" fillId="0" borderId="134" xfId="0" applyNumberFormat="1" applyFont="1" applyBorder="1" applyAlignment="1">
      <alignment horizontal="center" vertical="center" wrapText="1"/>
    </xf>
    <xf numFmtId="166" fontId="5" fillId="0" borderId="264" xfId="0" applyNumberFormat="1" applyFont="1" applyBorder="1" applyAlignment="1">
      <alignment horizontal="center" vertical="center" wrapText="1"/>
    </xf>
    <xf numFmtId="49" fontId="19" fillId="0" borderId="275" xfId="0" applyNumberFormat="1" applyFont="1" applyBorder="1" applyAlignment="1">
      <alignment horizontal="left" vertical="top" wrapText="1"/>
    </xf>
    <xf numFmtId="169" fontId="5" fillId="0" borderId="272" xfId="0" applyNumberFormat="1" applyFont="1" applyBorder="1" applyAlignment="1">
      <alignment horizontal="center" vertical="center" wrapText="1"/>
    </xf>
    <xf numFmtId="2" fontId="5" fillId="0" borderId="253" xfId="0" applyNumberFormat="1" applyFont="1" applyBorder="1" applyAlignment="1">
      <alignment horizontal="center" vertical="center" wrapText="1"/>
    </xf>
    <xf numFmtId="168" fontId="5" fillId="0" borderId="251" xfId="0" applyNumberFormat="1" applyFont="1" applyBorder="1" applyAlignment="1">
      <alignment horizontal="center" vertical="center" wrapText="1"/>
    </xf>
    <xf numFmtId="168" fontId="5" fillId="0" borderId="134" xfId="0" applyNumberFormat="1" applyFont="1" applyBorder="1" applyAlignment="1">
      <alignment horizontal="center" vertical="center" wrapText="1"/>
    </xf>
    <xf numFmtId="168" fontId="5" fillId="0" borderId="264" xfId="0" applyNumberFormat="1" applyFont="1" applyBorder="1" applyAlignment="1">
      <alignment horizontal="center" vertical="center" wrapText="1"/>
    </xf>
    <xf numFmtId="0" fontId="14" fillId="0" borderId="81" xfId="0" applyFont="1" applyBorder="1" applyAlignment="1">
      <alignment vertical="top" wrapText="1"/>
    </xf>
    <xf numFmtId="0" fontId="17" fillId="0" borderId="275" xfId="0" applyFont="1" applyBorder="1" applyAlignment="1">
      <alignment horizontal="center" vertical="top" wrapText="1"/>
    </xf>
    <xf numFmtId="2" fontId="17" fillId="0" borderId="60" xfId="0" applyNumberFormat="1" applyFont="1" applyBorder="1" applyAlignment="1">
      <alignment horizontal="center" vertical="center" wrapText="1"/>
    </xf>
    <xf numFmtId="0" fontId="7" fillId="34" borderId="253" xfId="0" applyFont="1" applyFill="1" applyBorder="1" applyAlignment="1">
      <alignment horizontal="center" vertical="center" wrapText="1"/>
    </xf>
    <xf numFmtId="0" fontId="9" fillId="34" borderId="253" xfId="0" applyFont="1" applyFill="1" applyBorder="1" applyAlignment="1">
      <alignment vertical="center" wrapText="1"/>
    </xf>
    <xf numFmtId="169" fontId="9" fillId="34" borderId="216" xfId="0" applyNumberFormat="1" applyFont="1" applyFill="1" applyBorder="1" applyAlignment="1">
      <alignment horizontal="center" vertical="center" wrapText="1"/>
    </xf>
    <xf numFmtId="0" fontId="9" fillId="34" borderId="272" xfId="0" applyFont="1" applyFill="1" applyBorder="1" applyAlignment="1">
      <alignment horizontal="center" vertical="center" wrapText="1"/>
    </xf>
    <xf numFmtId="169" fontId="9" fillId="34" borderId="272" xfId="0" applyNumberFormat="1" applyFont="1" applyFill="1" applyBorder="1" applyAlignment="1">
      <alignment horizontal="center" vertical="center" wrapText="1"/>
    </xf>
    <xf numFmtId="169" fontId="9" fillId="34" borderId="272" xfId="0" applyNumberFormat="1" applyFont="1" applyFill="1" applyBorder="1" applyAlignment="1">
      <alignment horizontal="center" vertical="top" wrapText="1"/>
    </xf>
    <xf numFmtId="0" fontId="9" fillId="34" borderId="272" xfId="0" applyFont="1" applyFill="1" applyBorder="1" applyAlignment="1">
      <alignment horizontal="center" vertical="top" wrapText="1"/>
    </xf>
    <xf numFmtId="169" fontId="9" fillId="0" borderId="272" xfId="0" applyNumberFormat="1" applyFont="1" applyBorder="1" applyAlignment="1">
      <alignment horizontal="center" vertical="top" wrapText="1"/>
    </xf>
    <xf numFmtId="169" fontId="9" fillId="34" borderId="0" xfId="0" applyNumberFormat="1" applyFont="1" applyFill="1" applyAlignment="1">
      <alignment horizontal="center" vertical="top" wrapText="1"/>
    </xf>
    <xf numFmtId="0" fontId="91" fillId="0" borderId="144" xfId="0" applyFont="1" applyBorder="1" applyAlignment="1">
      <alignment vertical="top"/>
    </xf>
    <xf numFmtId="1" fontId="91" fillId="0" borderId="144" xfId="0" applyNumberFormat="1" applyFont="1" applyBorder="1" applyAlignment="1">
      <alignment vertical="top"/>
    </xf>
    <xf numFmtId="0" fontId="91" fillId="0" borderId="144" xfId="0" applyFont="1" applyBorder="1" applyAlignment="1">
      <alignment horizontal="center" vertical="top"/>
    </xf>
    <xf numFmtId="43" fontId="91" fillId="0" borderId="145" xfId="28" applyFont="1" applyBorder="1" applyAlignment="1">
      <alignment vertical="top"/>
    </xf>
    <xf numFmtId="43" fontId="91" fillId="0" borderId="82" xfId="28" applyFont="1" applyBorder="1" applyAlignment="1">
      <alignment vertical="top"/>
    </xf>
    <xf numFmtId="0" fontId="91" fillId="0" borderId="81" xfId="0" applyFont="1" applyBorder="1" applyAlignment="1">
      <alignment horizontal="center" vertical="top"/>
    </xf>
    <xf numFmtId="43" fontId="7" fillId="0" borderId="82" xfId="28" applyFont="1" applyBorder="1" applyAlignment="1">
      <alignment horizontal="right" vertical="center"/>
    </xf>
    <xf numFmtId="0" fontId="89" fillId="0" borderId="271" xfId="0" applyFont="1" applyBorder="1" applyAlignment="1">
      <alignment horizontal="center" vertical="center" wrapText="1"/>
    </xf>
    <xf numFmtId="0" fontId="7" fillId="0" borderId="254" xfId="0" applyFont="1" applyBorder="1" applyAlignment="1">
      <alignment horizontal="center" vertical="center" wrapText="1"/>
    </xf>
    <xf numFmtId="1" fontId="7" fillId="0" borderId="254" xfId="0" applyNumberFormat="1" applyFont="1" applyBorder="1" applyAlignment="1">
      <alignment horizontal="center" vertical="center" wrapText="1"/>
    </xf>
    <xf numFmtId="43" fontId="7" fillId="0" borderId="249" xfId="28" applyFont="1" applyBorder="1" applyAlignment="1">
      <alignment horizontal="center" vertical="center" wrapText="1"/>
    </xf>
    <xf numFmtId="0" fontId="91" fillId="0" borderId="271" xfId="0" applyFont="1" applyBorder="1" applyAlignment="1">
      <alignment horizontal="center" vertical="center" wrapText="1"/>
    </xf>
    <xf numFmtId="0" fontId="9" fillId="0" borderId="253" xfId="0" applyFont="1" applyBorder="1" applyAlignment="1">
      <alignment vertical="center" wrapText="1"/>
    </xf>
    <xf numFmtId="1" fontId="9" fillId="0" borderId="253" xfId="0" applyNumberFormat="1" applyFont="1" applyBorder="1" applyAlignment="1">
      <alignment vertical="center" wrapText="1"/>
    </xf>
    <xf numFmtId="0" fontId="9" fillId="0" borderId="253" xfId="0" applyFont="1" applyBorder="1" applyAlignment="1">
      <alignment horizontal="center" vertical="center" wrapText="1"/>
    </xf>
    <xf numFmtId="43" fontId="9" fillId="0" borderId="249" xfId="28" applyFont="1" applyBorder="1" applyAlignment="1">
      <alignment vertical="center" wrapText="1"/>
    </xf>
    <xf numFmtId="49" fontId="89" fillId="0" borderId="274" xfId="0" applyNumberFormat="1" applyFont="1" applyBorder="1" applyAlignment="1">
      <alignment horizontal="center" vertical="top" wrapText="1"/>
    </xf>
    <xf numFmtId="49" fontId="7" fillId="0" borderId="251" xfId="0" applyNumberFormat="1" applyFont="1" applyBorder="1" applyAlignment="1">
      <alignment horizontal="left" vertical="top" wrapText="1"/>
    </xf>
    <xf numFmtId="49" fontId="9" fillId="0" borderId="251" xfId="0" applyNumberFormat="1" applyFont="1" applyBorder="1" applyAlignment="1">
      <alignment horizontal="center" vertical="center" wrapText="1"/>
    </xf>
    <xf numFmtId="1" fontId="9" fillId="0" borderId="251" xfId="0" applyNumberFormat="1" applyFont="1" applyBorder="1" applyAlignment="1">
      <alignment horizontal="center" vertical="center" wrapText="1"/>
    </xf>
    <xf numFmtId="168" fontId="9" fillId="0" borderId="251" xfId="0" applyNumberFormat="1" applyFont="1" applyBorder="1" applyAlignment="1">
      <alignment horizontal="center" vertical="center" wrapText="1"/>
    </xf>
    <xf numFmtId="43" fontId="9" fillId="0" borderId="134" xfId="28" applyFont="1" applyBorder="1" applyAlignment="1">
      <alignment horizontal="center" vertical="center" wrapText="1"/>
    </xf>
    <xf numFmtId="0" fontId="91" fillId="0" borderId="275" xfId="0" applyFont="1" applyBorder="1" applyAlignment="1">
      <alignment horizontal="center" vertical="top" wrapText="1"/>
    </xf>
    <xf numFmtId="43" fontId="9" fillId="0" borderId="264" xfId="28" applyFont="1" applyBorder="1" applyAlignment="1">
      <alignment horizontal="center" vertical="center" wrapText="1"/>
    </xf>
    <xf numFmtId="49" fontId="89" fillId="0" borderId="275" xfId="0" applyNumberFormat="1" applyFont="1" applyBorder="1" applyAlignment="1">
      <alignment horizontal="center" vertical="top" wrapText="1"/>
    </xf>
    <xf numFmtId="1" fontId="91" fillId="0" borderId="0" xfId="0" applyNumberFormat="1" applyFont="1" applyAlignment="1">
      <alignment vertical="top" wrapText="1"/>
    </xf>
    <xf numFmtId="49" fontId="91" fillId="0" borderId="275" xfId="0" applyNumberFormat="1" applyFont="1" applyBorder="1" applyAlignment="1">
      <alignment horizontal="center" vertical="top" wrapText="1"/>
    </xf>
    <xf numFmtId="0" fontId="89" fillId="0" borderId="275" xfId="0" applyFont="1" applyBorder="1" applyAlignment="1">
      <alignment horizontal="center" vertical="top" wrapText="1"/>
    </xf>
    <xf numFmtId="0" fontId="89" fillId="0" borderId="59" xfId="0" applyFont="1" applyBorder="1" applyAlignment="1">
      <alignment horizontal="left" vertical="center"/>
    </xf>
    <xf numFmtId="49" fontId="7" fillId="0" borderId="60" xfId="0" applyNumberFormat="1" applyFont="1" applyBorder="1" applyAlignment="1">
      <alignment horizontal="left" vertical="center" wrapText="1"/>
    </xf>
    <xf numFmtId="0" fontId="7" fillId="0" borderId="60" xfId="0" applyFont="1" applyBorder="1" applyAlignment="1">
      <alignment horizontal="center" vertical="center" wrapText="1"/>
    </xf>
    <xf numFmtId="1" fontId="7" fillId="0" borderId="60" xfId="0" applyNumberFormat="1" applyFont="1" applyBorder="1" applyAlignment="1">
      <alignment horizontal="center" vertical="center" wrapText="1"/>
    </xf>
    <xf numFmtId="1" fontId="19" fillId="0" borderId="272" xfId="0" applyNumberFormat="1" applyFont="1" applyBorder="1" applyAlignment="1">
      <alignment horizontal="center" vertical="center" wrapText="1"/>
    </xf>
    <xf numFmtId="170" fontId="19" fillId="34" borderId="272" xfId="0" applyNumberFormat="1" applyFont="1" applyFill="1" applyBorder="1" applyAlignment="1">
      <alignment horizontal="center" vertical="center" wrapText="1"/>
    </xf>
    <xf numFmtId="177" fontId="5" fillId="34" borderId="167" xfId="0" applyNumberFormat="1" applyFont="1" applyFill="1" applyBorder="1" applyAlignment="1">
      <alignment horizontal="center" wrapText="1"/>
    </xf>
    <xf numFmtId="43" fontId="19" fillId="0" borderId="0" xfId="28" applyFont="1" applyBorder="1" applyAlignment="1">
      <alignment vertical="top" wrapText="1"/>
    </xf>
    <xf numFmtId="43" fontId="5" fillId="0" borderId="145" xfId="28" applyFont="1" applyBorder="1" applyAlignment="1">
      <alignment vertical="top"/>
    </xf>
    <xf numFmtId="43" fontId="5" fillId="0" borderId="82" xfId="28" applyFont="1" applyBorder="1" applyAlignment="1">
      <alignment vertical="top"/>
    </xf>
    <xf numFmtId="0" fontId="19" fillId="0" borderId="81" xfId="0" applyFont="1" applyBorder="1" applyAlignment="1">
      <alignment horizontal="center" vertical="top"/>
    </xf>
    <xf numFmtId="43" fontId="18" fillId="0" borderId="82" xfId="28" applyFont="1" applyBorder="1" applyAlignment="1">
      <alignment horizontal="right" vertical="center"/>
    </xf>
    <xf numFmtId="0" fontId="18" fillId="0" borderId="271" xfId="0" applyFont="1" applyBorder="1" applyAlignment="1">
      <alignment horizontal="center" vertical="center" wrapText="1"/>
    </xf>
    <xf numFmtId="43" fontId="18" fillId="0" borderId="249" xfId="28" applyFont="1" applyBorder="1" applyAlignment="1">
      <alignment horizontal="center" vertical="center" wrapText="1"/>
    </xf>
    <xf numFmtId="0" fontId="19" fillId="0" borderId="271" xfId="0" applyFont="1" applyBorder="1" applyAlignment="1">
      <alignment horizontal="center" vertical="center" wrapText="1"/>
    </xf>
    <xf numFmtId="43" fontId="19" fillId="0" borderId="249" xfId="28" applyFont="1" applyBorder="1" applyAlignment="1">
      <alignment vertical="center" wrapText="1"/>
    </xf>
    <xf numFmtId="49" fontId="18" fillId="0" borderId="274" xfId="0" applyNumberFormat="1" applyFont="1" applyBorder="1" applyAlignment="1">
      <alignment horizontal="center" vertical="center" wrapText="1"/>
    </xf>
    <xf numFmtId="49" fontId="18" fillId="0" borderId="251" xfId="0" applyNumberFormat="1" applyFont="1" applyBorder="1" applyAlignment="1">
      <alignment horizontal="left" vertical="center" wrapText="1"/>
    </xf>
    <xf numFmtId="49" fontId="19" fillId="0" borderId="251" xfId="0" applyNumberFormat="1" applyFont="1" applyBorder="1" applyAlignment="1">
      <alignment horizontal="center" vertical="center" wrapText="1"/>
    </xf>
    <xf numFmtId="164" fontId="19" fillId="0" borderId="251" xfId="0" applyNumberFormat="1" applyFont="1" applyBorder="1" applyAlignment="1">
      <alignment horizontal="center" vertical="center" wrapText="1"/>
    </xf>
    <xf numFmtId="164" fontId="19" fillId="0" borderId="134" xfId="0" applyNumberFormat="1" applyFont="1" applyBorder="1" applyAlignment="1">
      <alignment horizontal="center" vertical="center" wrapText="1"/>
    </xf>
    <xf numFmtId="49" fontId="18" fillId="0" borderId="275" xfId="0" applyNumberFormat="1" applyFont="1" applyBorder="1" applyAlignment="1">
      <alignment horizontal="center" vertical="center" wrapText="1"/>
    </xf>
    <xf numFmtId="43" fontId="19" fillId="0" borderId="264" xfId="28" applyFont="1" applyBorder="1" applyAlignment="1">
      <alignment horizontal="center" vertical="center" wrapText="1"/>
    </xf>
    <xf numFmtId="43" fontId="19" fillId="0" borderId="264" xfId="76" applyFont="1" applyBorder="1" applyAlignment="1">
      <alignment horizontal="center" vertical="center" wrapText="1"/>
    </xf>
    <xf numFmtId="0" fontId="19" fillId="0" borderId="275" xfId="0" applyFont="1" applyBorder="1" applyAlignment="1">
      <alignment horizontal="center" vertical="top" wrapText="1"/>
    </xf>
    <xf numFmtId="0" fontId="18" fillId="0" borderId="59" xfId="0" applyFont="1" applyBorder="1" applyAlignment="1">
      <alignment horizontal="left" vertical="center"/>
    </xf>
    <xf numFmtId="170" fontId="18" fillId="0" borderId="60" xfId="0" applyNumberFormat="1" applyFont="1" applyBorder="1" applyAlignment="1">
      <alignment horizontal="center" vertical="center" wrapText="1"/>
    </xf>
    <xf numFmtId="1" fontId="9" fillId="34" borderId="272" xfId="0" applyNumberFormat="1" applyFont="1" applyFill="1" applyBorder="1" applyAlignment="1">
      <alignment horizontal="center" vertical="center" wrapText="1"/>
    </xf>
    <xf numFmtId="170" fontId="9" fillId="34" borderId="272" xfId="0" applyNumberFormat="1" applyFont="1" applyFill="1" applyBorder="1" applyAlignment="1">
      <alignment horizontal="center" vertical="center" wrapText="1"/>
    </xf>
    <xf numFmtId="2" fontId="9" fillId="0" borderId="0" xfId="0" applyNumberFormat="1" applyFont="1" applyAlignment="1">
      <alignment vertical="top" wrapText="1"/>
    </xf>
    <xf numFmtId="43" fontId="9" fillId="0" borderId="0" xfId="28" applyFont="1" applyBorder="1" applyAlignment="1">
      <alignment vertical="top" wrapText="1"/>
    </xf>
    <xf numFmtId="2" fontId="91" fillId="0" borderId="144" xfId="0" applyNumberFormat="1" applyFont="1" applyBorder="1" applyAlignment="1">
      <alignment vertical="top"/>
    </xf>
    <xf numFmtId="0" fontId="9" fillId="0" borderId="81" xfId="0" applyFont="1" applyBorder="1" applyAlignment="1">
      <alignment horizontal="center" vertical="top"/>
    </xf>
    <xf numFmtId="0" fontId="7" fillId="0" borderId="271" xfId="0" applyFont="1" applyBorder="1" applyAlignment="1">
      <alignment horizontal="center" vertical="center" wrapText="1"/>
    </xf>
    <xf numFmtId="2" fontId="7" fillId="0" borderId="254" xfId="0" applyNumberFormat="1" applyFont="1" applyBorder="1" applyAlignment="1">
      <alignment horizontal="center" vertical="center" wrapText="1"/>
    </xf>
    <xf numFmtId="0" fontId="9" fillId="0" borderId="271" xfId="0" applyFont="1" applyBorder="1" applyAlignment="1">
      <alignment horizontal="center" vertical="center" wrapText="1"/>
    </xf>
    <xf numFmtId="2" fontId="9" fillId="0" borderId="253" xfId="0" applyNumberFormat="1" applyFont="1" applyBorder="1" applyAlignment="1">
      <alignment vertical="center" wrapText="1"/>
    </xf>
    <xf numFmtId="43" fontId="19" fillId="0" borderId="134" xfId="28" applyFont="1" applyBorder="1" applyAlignment="1">
      <alignment horizontal="center" vertical="center" wrapText="1"/>
    </xf>
    <xf numFmtId="49" fontId="9" fillId="0" borderId="275" xfId="0" applyNumberFormat="1" applyFont="1" applyBorder="1" applyAlignment="1">
      <alignment horizontal="center" vertical="top" wrapText="1"/>
    </xf>
    <xf numFmtId="49" fontId="9" fillId="0" borderId="275" xfId="0" applyNumberFormat="1" applyFont="1" applyBorder="1" applyAlignment="1">
      <alignment horizontal="left" vertical="top" wrapText="1"/>
    </xf>
    <xf numFmtId="0" fontId="7" fillId="0" borderId="59" xfId="0" applyFont="1" applyBorder="1" applyAlignment="1">
      <alignment horizontal="left" vertical="center"/>
    </xf>
    <xf numFmtId="170" fontId="7" fillId="0" borderId="60" xfId="0" applyNumberFormat="1" applyFont="1" applyBorder="1" applyAlignment="1">
      <alignment horizontal="center" vertical="center" wrapText="1"/>
    </xf>
    <xf numFmtId="2" fontId="7" fillId="0" borderId="60" xfId="0" applyNumberFormat="1" applyFont="1" applyBorder="1" applyAlignment="1">
      <alignment horizontal="center" vertical="center" wrapText="1"/>
    </xf>
    <xf numFmtId="0" fontId="19" fillId="0" borderId="81" xfId="0" applyFont="1" applyBorder="1" applyAlignment="1">
      <alignment horizontal="center" vertical="center" wrapText="1"/>
    </xf>
    <xf numFmtId="0" fontId="19" fillId="0" borderId="134" xfId="0" applyFont="1" applyBorder="1" applyAlignment="1">
      <alignment vertical="center" wrapText="1"/>
    </xf>
    <xf numFmtId="0" fontId="18" fillId="0" borderId="271" xfId="0" applyFont="1" applyBorder="1" applyAlignment="1">
      <alignment horizontal="left" vertical="center"/>
    </xf>
    <xf numFmtId="166" fontId="18" fillId="0" borderId="249" xfId="0" applyNumberFormat="1" applyFont="1" applyBorder="1" applyAlignment="1">
      <alignment horizontal="center" vertical="center" wrapText="1"/>
    </xf>
    <xf numFmtId="0" fontId="18" fillId="0" borderId="81" xfId="0" applyFont="1" applyBorder="1" applyAlignment="1">
      <alignment horizontal="left" vertical="center"/>
    </xf>
    <xf numFmtId="49" fontId="18" fillId="0" borderId="0" xfId="0" applyNumberFormat="1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2" fontId="18" fillId="0" borderId="0" xfId="0" applyNumberFormat="1" applyFont="1" applyAlignment="1">
      <alignment horizontal="center" vertical="center" wrapText="1"/>
    </xf>
    <xf numFmtId="166" fontId="18" fillId="0" borderId="82" xfId="0" applyNumberFormat="1" applyFont="1" applyBorder="1" applyAlignment="1">
      <alignment horizontal="center" vertical="center" wrapText="1"/>
    </xf>
    <xf numFmtId="2" fontId="18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horizontal="right" vertical="center" wrapText="1"/>
    </xf>
    <xf numFmtId="166" fontId="18" fillId="0" borderId="82" xfId="0" applyNumberFormat="1" applyFont="1" applyBorder="1" applyAlignment="1">
      <alignment horizontal="right" vertical="center" wrapText="1"/>
    </xf>
    <xf numFmtId="0" fontId="18" fillId="0" borderId="81" xfId="0" applyFont="1" applyBorder="1" applyAlignment="1">
      <alignment horizontal="left" vertical="top"/>
    </xf>
    <xf numFmtId="166" fontId="5" fillId="0" borderId="82" xfId="0" applyNumberFormat="1" applyFont="1" applyBorder="1" applyAlignment="1">
      <alignment vertical="top"/>
    </xf>
    <xf numFmtId="0" fontId="20" fillId="0" borderId="81" xfId="0" applyFont="1" applyBorder="1" applyAlignment="1">
      <alignment horizontal="left" vertical="top"/>
    </xf>
    <xf numFmtId="166" fontId="18" fillId="0" borderId="278" xfId="0" applyNumberFormat="1" applyFont="1" applyBorder="1" applyAlignment="1">
      <alignment horizontal="right" vertical="center"/>
    </xf>
    <xf numFmtId="166" fontId="18" fillId="0" borderId="279" xfId="0" applyNumberFormat="1" applyFont="1" applyBorder="1" applyAlignment="1">
      <alignment horizontal="center" vertical="center" wrapText="1"/>
    </xf>
    <xf numFmtId="166" fontId="18" fillId="0" borderId="264" xfId="0" applyNumberFormat="1" applyFont="1" applyBorder="1" applyAlignment="1">
      <alignment horizontal="center" vertical="center" wrapText="1"/>
    </xf>
    <xf numFmtId="0" fontId="19" fillId="0" borderId="275" xfId="0" applyFont="1" applyBorder="1" applyAlignment="1">
      <alignment vertical="top" wrapText="1"/>
    </xf>
    <xf numFmtId="0" fontId="18" fillId="0" borderId="48" xfId="0" applyFont="1" applyBorder="1" applyAlignment="1">
      <alignment horizontal="left" vertical="center"/>
    </xf>
    <xf numFmtId="49" fontId="18" fillId="0" borderId="119" xfId="0" applyNumberFormat="1" applyFont="1" applyBorder="1" applyAlignment="1">
      <alignment horizontal="left" vertical="center" wrapText="1"/>
    </xf>
    <xf numFmtId="0" fontId="18" fillId="0" borderId="119" xfId="0" applyFont="1" applyBorder="1" applyAlignment="1">
      <alignment horizontal="center" vertical="center" wrapText="1"/>
    </xf>
    <xf numFmtId="2" fontId="18" fillId="0" borderId="119" xfId="0" applyNumberFormat="1" applyFont="1" applyBorder="1" applyAlignment="1">
      <alignment horizontal="center" vertical="center" wrapText="1"/>
    </xf>
    <xf numFmtId="166" fontId="18" fillId="0" borderId="269" xfId="0" applyNumberFormat="1" applyFont="1" applyBorder="1" applyAlignment="1">
      <alignment horizontal="center" vertical="center" wrapText="1"/>
    </xf>
    <xf numFmtId="0" fontId="19" fillId="34" borderId="216" xfId="0" applyFont="1" applyFill="1" applyBorder="1" applyAlignment="1">
      <alignment horizontal="center" vertical="center" wrapText="1"/>
    </xf>
    <xf numFmtId="1" fontId="5" fillId="0" borderId="0" xfId="0" applyNumberFormat="1" applyFont="1" applyAlignment="1">
      <alignment vertical="top" wrapText="1"/>
    </xf>
    <xf numFmtId="1" fontId="5" fillId="0" borderId="144" xfId="0" applyNumberFormat="1" applyFont="1" applyBorder="1" applyAlignment="1">
      <alignment vertical="top"/>
    </xf>
    <xf numFmtId="1" fontId="17" fillId="0" borderId="254" xfId="0" applyNumberFormat="1" applyFont="1" applyBorder="1" applyAlignment="1">
      <alignment horizontal="center" vertical="center" wrapText="1"/>
    </xf>
    <xf numFmtId="1" fontId="5" fillId="0" borderId="253" xfId="0" applyNumberFormat="1" applyFont="1" applyBorder="1" applyAlignment="1">
      <alignment horizontal="center" vertical="center" wrapText="1"/>
    </xf>
    <xf numFmtId="0" fontId="19" fillId="0" borderId="274" xfId="0" applyFont="1" applyBorder="1" applyAlignment="1">
      <alignment horizontal="center" vertical="center" wrapText="1"/>
    </xf>
    <xf numFmtId="0" fontId="19" fillId="0" borderId="215" xfId="0" applyFont="1" applyBorder="1" applyAlignment="1">
      <alignment vertical="center" wrapText="1"/>
    </xf>
    <xf numFmtId="1" fontId="19" fillId="0" borderId="251" xfId="0" applyNumberFormat="1" applyFont="1" applyBorder="1" applyAlignment="1">
      <alignment horizontal="center" vertical="center" wrapText="1"/>
    </xf>
    <xf numFmtId="0" fontId="19" fillId="0" borderId="215" xfId="0" applyFont="1" applyBorder="1" applyAlignment="1">
      <alignment horizontal="center" vertical="center" wrapText="1"/>
    </xf>
    <xf numFmtId="166" fontId="19" fillId="0" borderId="134" xfId="0" applyNumberFormat="1" applyFont="1" applyBorder="1" applyAlignment="1">
      <alignment horizontal="center" vertical="center" wrapText="1"/>
    </xf>
    <xf numFmtId="1" fontId="17" fillId="0" borderId="60" xfId="0" applyNumberFormat="1" applyFont="1" applyBorder="1" applyAlignment="1">
      <alignment horizontal="center" vertical="center" wrapText="1"/>
    </xf>
    <xf numFmtId="169" fontId="5" fillId="34" borderId="216" xfId="0" applyNumberFormat="1" applyFont="1" applyFill="1" applyBorder="1" applyAlignment="1">
      <alignment horizontal="center" vertical="top" wrapText="1"/>
    </xf>
    <xf numFmtId="0" fontId="5" fillId="34" borderId="272" xfId="0" applyFont="1" applyFill="1" applyBorder="1" applyAlignment="1">
      <alignment horizontal="center" vertical="top" wrapText="1"/>
    </xf>
    <xf numFmtId="169" fontId="5" fillId="34" borderId="272" xfId="0" applyNumberFormat="1" applyFont="1" applyFill="1" applyBorder="1" applyAlignment="1">
      <alignment horizontal="center" vertical="top" wrapText="1"/>
    </xf>
    <xf numFmtId="0" fontId="19" fillId="34" borderId="272" xfId="0" applyFont="1" applyFill="1" applyBorder="1" applyAlignment="1">
      <alignment horizontal="center" vertical="top" wrapText="1"/>
    </xf>
    <xf numFmtId="169" fontId="8" fillId="34" borderId="272" xfId="0" applyNumberFormat="1" applyFont="1" applyFill="1" applyBorder="1" applyAlignment="1">
      <alignment horizontal="center" vertical="top" wrapText="1"/>
    </xf>
    <xf numFmtId="0" fontId="8" fillId="34" borderId="272" xfId="0" applyFont="1" applyFill="1" applyBorder="1" applyAlignment="1">
      <alignment horizontal="center" vertical="top" wrapText="1"/>
    </xf>
    <xf numFmtId="169" fontId="5" fillId="0" borderId="251" xfId="0" applyNumberFormat="1" applyFont="1" applyBorder="1" applyAlignment="1">
      <alignment horizontal="center" vertical="top" wrapText="1"/>
    </xf>
    <xf numFmtId="168" fontId="5" fillId="0" borderId="251" xfId="0" applyNumberFormat="1" applyFont="1" applyBorder="1" applyAlignment="1">
      <alignment horizontal="center" vertical="top" wrapText="1"/>
    </xf>
    <xf numFmtId="166" fontId="5" fillId="0" borderId="134" xfId="0" applyNumberFormat="1" applyFont="1" applyBorder="1" applyAlignment="1">
      <alignment horizontal="center" vertical="top" wrapText="1"/>
    </xf>
    <xf numFmtId="166" fontId="5" fillId="0" borderId="264" xfId="0" applyNumberFormat="1" applyFont="1" applyBorder="1" applyAlignment="1">
      <alignment horizontal="center" vertical="top" wrapText="1"/>
    </xf>
    <xf numFmtId="49" fontId="43" fillId="0" borderId="275" xfId="0" applyNumberFormat="1" applyFont="1" applyBorder="1" applyAlignment="1">
      <alignment horizontal="center" vertical="top" wrapText="1"/>
    </xf>
    <xf numFmtId="166" fontId="19" fillId="0" borderId="264" xfId="0" applyNumberFormat="1" applyFont="1" applyBorder="1" applyAlignment="1">
      <alignment horizontal="center" vertical="top" wrapText="1"/>
    </xf>
    <xf numFmtId="0" fontId="18" fillId="0" borderId="275" xfId="0" applyFont="1" applyBorder="1" applyAlignment="1">
      <alignment horizontal="center" vertical="top" wrapText="1"/>
    </xf>
    <xf numFmtId="164" fontId="19" fillId="0" borderId="82" xfId="109" applyFont="1" applyFill="1" applyBorder="1" applyAlignment="1">
      <alignment horizontal="right"/>
    </xf>
    <xf numFmtId="164" fontId="42" fillId="0" borderId="82" xfId="0" applyNumberFormat="1" applyFont="1" applyBorder="1"/>
    <xf numFmtId="164" fontId="42" fillId="0" borderId="263" xfId="0" applyNumberFormat="1" applyFont="1" applyBorder="1"/>
    <xf numFmtId="2" fontId="18" fillId="0" borderId="13" xfId="0" applyNumberFormat="1" applyFont="1" applyBorder="1" applyAlignment="1">
      <alignment horizontal="center"/>
    </xf>
    <xf numFmtId="0" fontId="19" fillId="0" borderId="119" xfId="0" applyFont="1" applyBorder="1" applyAlignment="1">
      <alignment horizontal="left"/>
    </xf>
    <xf numFmtId="0" fontId="19" fillId="0" borderId="119" xfId="0" applyFont="1" applyBorder="1" applyAlignment="1">
      <alignment horizontal="center"/>
    </xf>
    <xf numFmtId="164" fontId="19" fillId="0" borderId="167" xfId="109" applyFont="1" applyFill="1" applyBorder="1"/>
    <xf numFmtId="169" fontId="5" fillId="0" borderId="251" xfId="0" applyNumberFormat="1" applyFont="1" applyBorder="1" applyAlignment="1">
      <alignment horizontal="center" vertical="center" wrapText="1"/>
    </xf>
    <xf numFmtId="0" fontId="5" fillId="0" borderId="264" xfId="0" applyFont="1" applyBorder="1" applyAlignment="1">
      <alignment horizontal="center" vertical="center" wrapText="1"/>
    </xf>
    <xf numFmtId="164" fontId="5" fillId="0" borderId="144" xfId="0" applyNumberFormat="1" applyFont="1" applyBorder="1" applyAlignment="1">
      <alignment vertical="top"/>
    </xf>
    <xf numFmtId="164" fontId="5" fillId="0" borderId="145" xfId="0" applyNumberFormat="1" applyFont="1" applyBorder="1" applyAlignment="1">
      <alignment vertical="top"/>
    </xf>
    <xf numFmtId="164" fontId="5" fillId="0" borderId="82" xfId="0" applyNumberFormat="1" applyFont="1" applyBorder="1" applyAlignment="1">
      <alignment vertical="top"/>
    </xf>
    <xf numFmtId="164" fontId="17" fillId="0" borderId="82" xfId="0" applyNumberFormat="1" applyFont="1" applyBorder="1" applyAlignment="1">
      <alignment horizontal="right" vertical="center"/>
    </xf>
    <xf numFmtId="164" fontId="17" fillId="0" borderId="254" xfId="0" applyNumberFormat="1" applyFont="1" applyBorder="1" applyAlignment="1">
      <alignment horizontal="center" vertical="center" wrapText="1"/>
    </xf>
    <xf numFmtId="164" fontId="17" fillId="0" borderId="249" xfId="0" applyNumberFormat="1" applyFont="1" applyBorder="1" applyAlignment="1">
      <alignment horizontal="center" vertical="center" wrapText="1"/>
    </xf>
    <xf numFmtId="164" fontId="5" fillId="0" borderId="253" xfId="0" applyNumberFormat="1" applyFont="1" applyBorder="1" applyAlignment="1">
      <alignment horizontal="center" vertical="center" wrapText="1"/>
    </xf>
    <xf numFmtId="164" fontId="5" fillId="0" borderId="249" xfId="0" applyNumberFormat="1" applyFont="1" applyBorder="1" applyAlignment="1">
      <alignment horizontal="center" vertical="center" wrapText="1"/>
    </xf>
    <xf numFmtId="164" fontId="5" fillId="0" borderId="251" xfId="0" applyNumberFormat="1" applyFont="1" applyBorder="1" applyAlignment="1">
      <alignment horizontal="center" vertical="center" wrapText="1"/>
    </xf>
    <xf numFmtId="164" fontId="5" fillId="0" borderId="134" xfId="0" applyNumberFormat="1" applyFont="1" applyBorder="1" applyAlignment="1">
      <alignment horizontal="center" vertical="center" wrapText="1"/>
    </xf>
    <xf numFmtId="164" fontId="5" fillId="0" borderId="264" xfId="0" applyNumberFormat="1" applyFont="1" applyBorder="1" applyAlignment="1">
      <alignment horizontal="center" vertical="center" wrapText="1"/>
    </xf>
    <xf numFmtId="164" fontId="19" fillId="0" borderId="264" xfId="0" applyNumberFormat="1" applyFont="1" applyBorder="1" applyAlignment="1">
      <alignment horizontal="center" vertical="center" wrapText="1"/>
    </xf>
    <xf numFmtId="0" fontId="17" fillId="0" borderId="275" xfId="0" applyFont="1" applyBorder="1" applyAlignment="1">
      <alignment vertical="top" wrapText="1"/>
    </xf>
    <xf numFmtId="164" fontId="17" fillId="0" borderId="60" xfId="0" applyNumberFormat="1" applyFont="1" applyBorder="1" applyAlignment="1">
      <alignment horizontal="center" vertical="center" wrapText="1"/>
    </xf>
    <xf numFmtId="164" fontId="17" fillId="0" borderId="86" xfId="0" applyNumberFormat="1" applyFont="1" applyBorder="1" applyAlignment="1">
      <alignment horizontal="center" vertical="center" wrapText="1"/>
    </xf>
    <xf numFmtId="169" fontId="5" fillId="34" borderId="219" xfId="0" applyNumberFormat="1" applyFont="1" applyFill="1" applyBorder="1" applyAlignment="1">
      <alignment horizontal="center" vertical="center" wrapText="1"/>
    </xf>
    <xf numFmtId="0" fontId="5" fillId="0" borderId="134" xfId="0" applyFont="1" applyBorder="1" applyAlignment="1">
      <alignment horizontal="center" vertical="center" wrapText="1"/>
    </xf>
    <xf numFmtId="49" fontId="17" fillId="0" borderId="81" xfId="0" applyNumberFormat="1" applyFont="1" applyBorder="1" applyAlignment="1">
      <alignment horizontal="center" vertical="top" wrapText="1"/>
    </xf>
    <xf numFmtId="49" fontId="5" fillId="0" borderId="81" xfId="0" applyNumberFormat="1" applyFont="1" applyBorder="1" applyAlignment="1">
      <alignment horizontal="center" vertical="top" wrapText="1"/>
    </xf>
    <xf numFmtId="49" fontId="5" fillId="0" borderId="255" xfId="0" applyNumberFormat="1" applyFont="1" applyBorder="1" applyAlignment="1">
      <alignment horizontal="left" vertical="top" wrapText="1"/>
    </xf>
    <xf numFmtId="49" fontId="5" fillId="0" borderId="255" xfId="0" applyNumberFormat="1" applyFont="1" applyBorder="1" applyAlignment="1">
      <alignment horizontal="center" vertical="center" wrapText="1"/>
    </xf>
    <xf numFmtId="169" fontId="5" fillId="0" borderId="255" xfId="0" applyNumberFormat="1" applyFont="1" applyBorder="1" applyAlignment="1">
      <alignment horizontal="center" vertical="center" wrapText="1"/>
    </xf>
    <xf numFmtId="166" fontId="19" fillId="34" borderId="272" xfId="36" applyFont="1" applyFill="1" applyBorder="1" applyAlignment="1">
      <alignment vertical="center"/>
    </xf>
    <xf numFmtId="4" fontId="19" fillId="34" borderId="272" xfId="0" applyNumberFormat="1" applyFont="1" applyFill="1" applyBorder="1" applyAlignment="1">
      <alignment horizontal="center" vertical="center" wrapText="1"/>
    </xf>
    <xf numFmtId="177" fontId="15" fillId="34" borderId="167" xfId="0" applyNumberFormat="1" applyFont="1" applyFill="1" applyBorder="1" applyAlignment="1">
      <alignment horizontal="center" wrapText="1"/>
    </xf>
    <xf numFmtId="49" fontId="18" fillId="0" borderId="274" xfId="0" applyNumberFormat="1" applyFont="1" applyBorder="1" applyAlignment="1">
      <alignment horizontal="center" vertical="top" wrapText="1"/>
    </xf>
    <xf numFmtId="49" fontId="18" fillId="0" borderId="251" xfId="0" applyNumberFormat="1" applyFont="1" applyBorder="1" applyAlignment="1">
      <alignment horizontal="left" vertical="top" wrapText="1" indent="1"/>
    </xf>
    <xf numFmtId="169" fontId="19" fillId="0" borderId="251" xfId="0" applyNumberFormat="1" applyFont="1" applyBorder="1" applyAlignment="1">
      <alignment horizontal="center" vertical="center" wrapText="1"/>
    </xf>
    <xf numFmtId="170" fontId="17" fillId="34" borderId="252" xfId="0" applyNumberFormat="1" applyFont="1" applyFill="1" applyBorder="1" applyAlignment="1">
      <alignment horizontal="center" vertical="center" wrapText="1"/>
    </xf>
    <xf numFmtId="43" fontId="5" fillId="0" borderId="144" xfId="28" applyFont="1" applyBorder="1" applyAlignment="1">
      <alignment vertical="top"/>
    </xf>
    <xf numFmtId="177" fontId="5" fillId="0" borderId="145" xfId="0" applyNumberFormat="1" applyFont="1" applyBorder="1" applyAlignment="1">
      <alignment horizontal="right" vertical="top"/>
    </xf>
    <xf numFmtId="43" fontId="5" fillId="0" borderId="0" xfId="28" applyFont="1" applyBorder="1" applyAlignment="1">
      <alignment vertical="top"/>
    </xf>
    <xf numFmtId="177" fontId="5" fillId="0" borderId="82" xfId="0" applyNumberFormat="1" applyFont="1" applyBorder="1" applyAlignment="1">
      <alignment horizontal="right" vertical="top"/>
    </xf>
    <xf numFmtId="177" fontId="17" fillId="0" borderId="82" xfId="0" applyNumberFormat="1" applyFont="1" applyBorder="1" applyAlignment="1">
      <alignment horizontal="right" vertical="center"/>
    </xf>
    <xf numFmtId="43" fontId="17" fillId="0" borderId="254" xfId="28" applyFont="1" applyBorder="1" applyAlignment="1">
      <alignment horizontal="center" vertical="center" wrapText="1"/>
    </xf>
    <xf numFmtId="177" fontId="17" fillId="0" borderId="249" xfId="0" applyNumberFormat="1" applyFont="1" applyBorder="1" applyAlignment="1">
      <alignment horizontal="right" vertical="center" wrapText="1"/>
    </xf>
    <xf numFmtId="43" fontId="5" fillId="0" borderId="253" xfId="28" applyFont="1" applyBorder="1" applyAlignment="1">
      <alignment horizontal="center" vertical="center" wrapText="1"/>
    </xf>
    <xf numFmtId="177" fontId="5" fillId="0" borderId="249" xfId="0" applyNumberFormat="1" applyFont="1" applyBorder="1" applyAlignment="1">
      <alignment horizontal="right" vertical="center" wrapText="1"/>
    </xf>
    <xf numFmtId="43" fontId="5" fillId="0" borderId="251" xfId="28" applyFont="1" applyBorder="1" applyAlignment="1">
      <alignment horizontal="center" vertical="center" wrapText="1"/>
    </xf>
    <xf numFmtId="177" fontId="5" fillId="0" borderId="134" xfId="0" applyNumberFormat="1" applyFont="1" applyBorder="1" applyAlignment="1">
      <alignment horizontal="right" vertical="center" wrapText="1"/>
    </xf>
    <xf numFmtId="177" fontId="19" fillId="0" borderId="264" xfId="0" applyNumberFormat="1" applyFont="1" applyBorder="1" applyAlignment="1">
      <alignment horizontal="right" vertical="center" wrapText="1"/>
    </xf>
    <xf numFmtId="177" fontId="5" fillId="0" borderId="264" xfId="0" applyNumberFormat="1" applyFont="1" applyBorder="1" applyAlignment="1">
      <alignment horizontal="right" vertical="center" wrapText="1"/>
    </xf>
    <xf numFmtId="43" fontId="17" fillId="0" borderId="60" xfId="28" applyFont="1" applyBorder="1" applyAlignment="1">
      <alignment horizontal="center" vertical="center" wrapText="1"/>
    </xf>
    <xf numFmtId="0" fontId="5" fillId="0" borderId="248" xfId="0" applyFont="1" applyBorder="1" applyAlignment="1">
      <alignment horizontal="center" vertical="center" wrapText="1"/>
    </xf>
    <xf numFmtId="0" fontId="38" fillId="0" borderId="274" xfId="0" applyFont="1" applyBorder="1" applyAlignment="1">
      <alignment vertical="top" wrapText="1"/>
    </xf>
    <xf numFmtId="169" fontId="19" fillId="0" borderId="0" xfId="0" applyNumberFormat="1" applyFont="1" applyAlignment="1">
      <alignment horizontal="center" vertical="center" wrapText="1"/>
    </xf>
    <xf numFmtId="0" fontId="5" fillId="0" borderId="272" xfId="0" applyFont="1" applyBorder="1" applyAlignment="1">
      <alignment horizontal="left" vertical="center" wrapText="1"/>
    </xf>
    <xf numFmtId="164" fontId="17" fillId="0" borderId="0" xfId="0" applyNumberFormat="1" applyFont="1" applyAlignment="1">
      <alignment vertical="top" wrapText="1"/>
    </xf>
    <xf numFmtId="164" fontId="42" fillId="0" borderId="0" xfId="109" applyFont="1" applyAlignment="1">
      <alignment vertical="center" wrapText="1"/>
    </xf>
    <xf numFmtId="164" fontId="5" fillId="0" borderId="0" xfId="109" applyFont="1" applyAlignment="1">
      <alignment vertical="top" wrapText="1"/>
    </xf>
    <xf numFmtId="164" fontId="42" fillId="0" borderId="0" xfId="0" applyNumberFormat="1" applyFont="1" applyAlignment="1">
      <alignment vertical="center" wrapText="1"/>
    </xf>
    <xf numFmtId="164" fontId="5" fillId="0" borderId="0" xfId="109" applyFont="1" applyAlignment="1">
      <alignment vertical="center" wrapText="1"/>
    </xf>
    <xf numFmtId="164" fontId="5" fillId="0" borderId="0" xfId="0" applyNumberFormat="1" applyFont="1" applyAlignment="1">
      <alignment horizontal="left" vertical="center" wrapText="1" indent="1"/>
    </xf>
    <xf numFmtId="164" fontId="5" fillId="0" borderId="0" xfId="109" applyFont="1" applyBorder="1" applyAlignment="1">
      <alignment vertical="top" wrapText="1"/>
    </xf>
    <xf numFmtId="189" fontId="5" fillId="0" borderId="13" xfId="0" applyNumberFormat="1" applyFont="1" applyBorder="1" applyAlignment="1">
      <alignment horizontal="center" vertical="center" wrapText="1"/>
    </xf>
    <xf numFmtId="189" fontId="19" fillId="0" borderId="13" xfId="0" applyNumberFormat="1" applyFont="1" applyBorder="1" applyAlignment="1">
      <alignment horizontal="center" vertical="center" wrapText="1"/>
    </xf>
    <xf numFmtId="1" fontId="5" fillId="0" borderId="251" xfId="0" applyNumberFormat="1" applyFont="1" applyBorder="1" applyAlignment="1">
      <alignment horizontal="right" vertical="center" wrapText="1"/>
    </xf>
    <xf numFmtId="1" fontId="5" fillId="0" borderId="13" xfId="0" applyNumberFormat="1" applyFont="1" applyBorder="1" applyAlignment="1">
      <alignment horizontal="right" vertical="center" wrapText="1"/>
    </xf>
    <xf numFmtId="1" fontId="19" fillId="0" borderId="13" xfId="0" applyNumberFormat="1" applyFont="1" applyBorder="1" applyAlignment="1">
      <alignment horizontal="right" vertical="center" wrapText="1"/>
    </xf>
    <xf numFmtId="190" fontId="19" fillId="0" borderId="251" xfId="0" applyNumberFormat="1" applyFont="1" applyBorder="1" applyAlignment="1">
      <alignment horizontal="right" vertical="top" wrapText="1"/>
    </xf>
    <xf numFmtId="190" fontId="19" fillId="0" borderId="13" xfId="0" applyNumberFormat="1" applyFont="1" applyBorder="1" applyAlignment="1">
      <alignment vertical="top" wrapText="1"/>
    </xf>
    <xf numFmtId="190" fontId="19" fillId="0" borderId="13" xfId="0" applyNumberFormat="1" applyFont="1" applyBorder="1" applyAlignment="1">
      <alignment horizontal="center" vertical="center" wrapText="1"/>
    </xf>
    <xf numFmtId="191" fontId="19" fillId="0" borderId="13" xfId="0" applyNumberFormat="1" applyFont="1" applyBorder="1" applyAlignment="1">
      <alignment horizontal="center" vertical="center" wrapText="1"/>
    </xf>
    <xf numFmtId="192" fontId="19" fillId="0" borderId="13" xfId="0" applyNumberFormat="1" applyFont="1" applyBorder="1" applyAlignment="1">
      <alignment horizontal="center" vertical="center" wrapText="1"/>
    </xf>
    <xf numFmtId="192" fontId="43" fillId="0" borderId="13" xfId="0" applyNumberFormat="1" applyFont="1" applyBorder="1" applyAlignment="1">
      <alignment horizontal="center" vertical="center" wrapText="1"/>
    </xf>
    <xf numFmtId="193" fontId="19" fillId="0" borderId="13" xfId="0" applyNumberFormat="1" applyFont="1" applyBorder="1" applyAlignment="1">
      <alignment horizontal="center" vertical="center" wrapText="1"/>
    </xf>
    <xf numFmtId="9" fontId="5" fillId="0" borderId="0" xfId="107" applyFont="1" applyAlignment="1">
      <alignment horizontal="left" vertical="center" wrapText="1" indent="1"/>
    </xf>
    <xf numFmtId="173" fontId="19" fillId="0" borderId="17" xfId="0" applyNumberFormat="1" applyFont="1" applyBorder="1" applyAlignment="1">
      <alignment horizontal="center"/>
    </xf>
    <xf numFmtId="173" fontId="19" fillId="0" borderId="13" xfId="0" applyNumberFormat="1" applyFont="1" applyBorder="1" applyAlignment="1">
      <alignment horizontal="center"/>
    </xf>
    <xf numFmtId="173" fontId="19" fillId="0" borderId="17" xfId="109" applyNumberFormat="1" applyFont="1" applyFill="1" applyBorder="1" applyAlignment="1">
      <alignment horizontal="center"/>
    </xf>
    <xf numFmtId="188" fontId="19" fillId="0" borderId="13" xfId="0" applyNumberFormat="1" applyFont="1" applyBorder="1" applyAlignment="1" applyProtection="1">
      <alignment horizontal="center" vertical="center" wrapText="1"/>
      <protection locked="0"/>
    </xf>
    <xf numFmtId="188" fontId="19" fillId="0" borderId="13" xfId="0" applyNumberFormat="1" applyFont="1" applyBorder="1" applyAlignment="1">
      <alignment horizontal="center" vertical="center" wrapText="1"/>
    </xf>
    <xf numFmtId="188" fontId="19" fillId="0" borderId="13" xfId="0" applyNumberFormat="1" applyFont="1" applyBorder="1" applyAlignment="1" applyProtection="1">
      <alignment horizontal="right" vertical="center" wrapText="1"/>
      <protection locked="0"/>
    </xf>
    <xf numFmtId="188" fontId="19" fillId="0" borderId="13" xfId="0" applyNumberFormat="1" applyFont="1" applyBorder="1" applyAlignment="1">
      <alignment horizontal="right" vertical="center" wrapText="1"/>
    </xf>
    <xf numFmtId="9" fontId="19" fillId="0" borderId="13" xfId="0" applyNumberFormat="1" applyFont="1" applyBorder="1" applyAlignment="1" applyProtection="1">
      <alignment horizontal="right" vertical="center"/>
      <protection locked="0"/>
    </xf>
    <xf numFmtId="168" fontId="19" fillId="0" borderId="13" xfId="0" applyNumberFormat="1" applyFont="1" applyBorder="1" applyAlignment="1" applyProtection="1">
      <alignment horizontal="right" vertical="center" wrapText="1"/>
      <protection locked="0"/>
    </xf>
    <xf numFmtId="9" fontId="19" fillId="0" borderId="13" xfId="0" applyNumberFormat="1" applyFont="1" applyBorder="1" applyAlignment="1" applyProtection="1">
      <alignment horizontal="right" vertical="center" wrapText="1"/>
      <protection locked="0"/>
    </xf>
    <xf numFmtId="188" fontId="5" fillId="0" borderId="13" xfId="0" applyNumberFormat="1" applyFont="1" applyBorder="1" applyAlignment="1">
      <alignment horizontal="center" vertical="center" wrapText="1"/>
    </xf>
    <xf numFmtId="188" fontId="5" fillId="0" borderId="13" xfId="0" applyNumberFormat="1" applyFont="1" applyBorder="1" applyAlignment="1" applyProtection="1">
      <alignment horizontal="right" vertical="center" wrapText="1"/>
      <protection locked="0"/>
    </xf>
    <xf numFmtId="188" fontId="5" fillId="0" borderId="13" xfId="0" applyNumberFormat="1" applyFont="1" applyBorder="1" applyAlignment="1">
      <alignment horizontal="right" vertical="center" wrapText="1"/>
    </xf>
    <xf numFmtId="188" fontId="5" fillId="0" borderId="264" xfId="0" applyNumberFormat="1" applyFont="1" applyBorder="1" applyAlignment="1">
      <alignment horizontal="center" vertical="center" wrapText="1"/>
    </xf>
    <xf numFmtId="188" fontId="19" fillId="0" borderId="264" xfId="0" applyNumberFormat="1" applyFont="1" applyBorder="1" applyAlignment="1">
      <alignment horizontal="center" vertical="center" wrapText="1"/>
    </xf>
    <xf numFmtId="188" fontId="17" fillId="0" borderId="86" xfId="0" applyNumberFormat="1" applyFont="1" applyBorder="1" applyAlignment="1">
      <alignment horizontal="center" vertical="center" wrapText="1"/>
    </xf>
    <xf numFmtId="188" fontId="9" fillId="0" borderId="264" xfId="28" applyNumberFormat="1" applyFont="1" applyBorder="1" applyAlignment="1">
      <alignment horizontal="right" vertical="center" wrapText="1"/>
    </xf>
    <xf numFmtId="188" fontId="9" fillId="0" borderId="13" xfId="0" applyNumberFormat="1" applyFont="1" applyBorder="1" applyAlignment="1" applyProtection="1">
      <alignment horizontal="right" vertical="center" wrapText="1"/>
      <protection locked="0"/>
    </xf>
    <xf numFmtId="188" fontId="9" fillId="0" borderId="13" xfId="0" applyNumberFormat="1" applyFont="1" applyBorder="1" applyAlignment="1">
      <alignment horizontal="right" vertical="center" wrapText="1"/>
    </xf>
    <xf numFmtId="188" fontId="95" fillId="0" borderId="13" xfId="0" applyNumberFormat="1" applyFont="1" applyBorder="1" applyAlignment="1" applyProtection="1">
      <alignment horizontal="right" vertical="center" wrapText="1"/>
      <protection locked="0"/>
    </xf>
    <xf numFmtId="188" fontId="95" fillId="0" borderId="264" xfId="28" applyNumberFormat="1" applyFont="1" applyBorder="1" applyAlignment="1">
      <alignment horizontal="right" vertical="center" wrapText="1"/>
    </xf>
    <xf numFmtId="188" fontId="9" fillId="0" borderId="264" xfId="76" applyNumberFormat="1" applyFont="1" applyFill="1" applyBorder="1" applyAlignment="1">
      <alignment horizontal="right" vertical="center" wrapText="1"/>
    </xf>
    <xf numFmtId="188" fontId="7" fillId="0" borderId="255" xfId="0" applyNumberFormat="1" applyFont="1" applyBorder="1" applyAlignment="1">
      <alignment horizontal="right" vertical="center" wrapText="1"/>
    </xf>
    <xf numFmtId="188" fontId="9" fillId="0" borderId="82" xfId="28" applyNumberFormat="1" applyFont="1" applyBorder="1" applyAlignment="1">
      <alignment horizontal="right" vertical="center" wrapText="1"/>
    </xf>
    <xf numFmtId="188" fontId="89" fillId="0" borderId="265" xfId="0" applyNumberFormat="1" applyFont="1" applyBorder="1" applyAlignment="1">
      <alignment horizontal="right" vertical="center" wrapText="1"/>
    </xf>
    <xf numFmtId="188" fontId="7" fillId="0" borderId="86" xfId="28" applyNumberFormat="1" applyFont="1" applyBorder="1" applyAlignment="1">
      <alignment horizontal="right" vertical="center" wrapText="1"/>
    </xf>
    <xf numFmtId="188" fontId="19" fillId="0" borderId="264" xfId="76" applyNumberFormat="1" applyFont="1" applyBorder="1" applyAlignment="1">
      <alignment horizontal="center" vertical="center" wrapText="1"/>
    </xf>
    <xf numFmtId="188" fontId="19" fillId="0" borderId="264" xfId="28" applyNumberFormat="1" applyFont="1" applyBorder="1" applyAlignment="1">
      <alignment horizontal="center" vertical="center" wrapText="1"/>
    </xf>
    <xf numFmtId="188" fontId="19" fillId="0" borderId="264" xfId="28" applyNumberFormat="1" applyFont="1" applyFill="1" applyBorder="1" applyAlignment="1">
      <alignment horizontal="center" vertical="center" wrapText="1"/>
    </xf>
    <xf numFmtId="188" fontId="18" fillId="0" borderId="60" xfId="0" applyNumberFormat="1" applyFont="1" applyBorder="1" applyAlignment="1">
      <alignment horizontal="center" vertical="center" wrapText="1"/>
    </xf>
    <xf numFmtId="188" fontId="18" fillId="0" borderId="86" xfId="28" applyNumberFormat="1" applyFont="1" applyBorder="1" applyAlignment="1">
      <alignment horizontal="center" vertical="center" wrapText="1"/>
    </xf>
    <xf numFmtId="164" fontId="19" fillId="0" borderId="13" xfId="109" applyFont="1" applyBorder="1" applyAlignment="1">
      <alignment horizontal="center" vertical="center" wrapText="1"/>
    </xf>
    <xf numFmtId="164" fontId="19" fillId="0" borderId="264" xfId="109" applyFont="1" applyBorder="1" applyAlignment="1">
      <alignment horizontal="center" vertical="center" wrapText="1"/>
    </xf>
    <xf numFmtId="164" fontId="19" fillId="0" borderId="13" xfId="109" applyFont="1" applyBorder="1" applyAlignment="1" applyProtection="1">
      <alignment horizontal="center" vertical="center" wrapText="1"/>
      <protection locked="0"/>
    </xf>
    <xf numFmtId="164" fontId="9" fillId="0" borderId="13" xfId="109" applyFont="1" applyBorder="1" applyAlignment="1" applyProtection="1">
      <alignment horizontal="center" vertical="center" wrapText="1"/>
      <protection locked="0"/>
    </xf>
    <xf numFmtId="164" fontId="9" fillId="0" borderId="264" xfId="109" applyFont="1" applyBorder="1" applyAlignment="1">
      <alignment horizontal="center" vertical="center" wrapText="1"/>
    </xf>
    <xf numFmtId="164" fontId="7" fillId="0" borderId="60" xfId="109" applyFont="1" applyBorder="1" applyAlignment="1">
      <alignment horizontal="center" vertical="center" wrapText="1"/>
    </xf>
    <xf numFmtId="164" fontId="7" fillId="0" borderId="86" xfId="109" applyFont="1" applyBorder="1" applyAlignment="1">
      <alignment horizontal="center" vertical="center" wrapText="1"/>
    </xf>
    <xf numFmtId="188" fontId="19" fillId="0" borderId="13" xfId="109" applyNumberFormat="1" applyFont="1" applyBorder="1" applyAlignment="1" applyProtection="1">
      <alignment horizontal="center" vertical="center" wrapText="1"/>
      <protection locked="0"/>
    </xf>
    <xf numFmtId="188" fontId="19" fillId="0" borderId="13" xfId="109" applyNumberFormat="1" applyFont="1" applyBorder="1" applyAlignment="1">
      <alignment horizontal="center" vertical="center" wrapText="1"/>
    </xf>
    <xf numFmtId="188" fontId="5" fillId="0" borderId="13" xfId="0" applyNumberFormat="1" applyFont="1" applyBorder="1" applyAlignment="1">
      <alignment horizontal="center" vertical="top" wrapText="1"/>
    </xf>
    <xf numFmtId="188" fontId="19" fillId="0" borderId="13" xfId="0" applyNumberFormat="1" applyFont="1" applyBorder="1" applyAlignment="1" applyProtection="1">
      <alignment horizontal="center" vertical="top" wrapText="1"/>
      <protection locked="0"/>
    </xf>
    <xf numFmtId="188" fontId="5" fillId="0" borderId="13" xfId="0" applyNumberFormat="1" applyFont="1" applyBorder="1" applyAlignment="1" applyProtection="1">
      <alignment horizontal="center" vertical="top" wrapText="1"/>
      <protection locked="0"/>
    </xf>
    <xf numFmtId="188" fontId="19" fillId="0" borderId="13" xfId="0" applyNumberFormat="1" applyFont="1" applyBorder="1" applyAlignment="1">
      <alignment horizontal="center" vertical="top" wrapText="1"/>
    </xf>
    <xf numFmtId="188" fontId="5" fillId="0" borderId="13" xfId="0" applyNumberFormat="1" applyFont="1" applyBorder="1" applyAlignment="1" applyProtection="1">
      <alignment horizontal="center" vertical="center" wrapText="1"/>
      <protection locked="0"/>
    </xf>
    <xf numFmtId="188" fontId="17" fillId="0" borderId="60" xfId="0" applyNumberFormat="1" applyFont="1" applyBorder="1" applyAlignment="1">
      <alignment horizontal="center" vertical="center" wrapText="1"/>
    </xf>
    <xf numFmtId="188" fontId="5" fillId="0" borderId="0" xfId="0" applyNumberFormat="1" applyFont="1" applyAlignment="1" applyProtection="1">
      <alignment horizontal="center" vertical="center" wrapText="1"/>
      <protection locked="0"/>
    </xf>
    <xf numFmtId="188" fontId="5" fillId="0" borderId="13" xfId="28" applyNumberFormat="1" applyFont="1" applyFill="1" applyBorder="1" applyAlignment="1" applyProtection="1">
      <alignment horizontal="center" vertical="center" wrapText="1"/>
      <protection locked="0"/>
    </xf>
    <xf numFmtId="188" fontId="5" fillId="0" borderId="13" xfId="28" applyNumberFormat="1" applyFont="1" applyBorder="1" applyAlignment="1">
      <alignment horizontal="center" vertical="center" wrapText="1"/>
    </xf>
    <xf numFmtId="188" fontId="19" fillId="0" borderId="264" xfId="0" applyNumberFormat="1" applyFont="1" applyBorder="1" applyAlignment="1">
      <alignment horizontal="right" vertical="center" wrapText="1"/>
    </xf>
    <xf numFmtId="188" fontId="17" fillId="0" borderId="86" xfId="0" applyNumberFormat="1" applyFont="1" applyBorder="1" applyAlignment="1">
      <alignment horizontal="right" vertical="center" wrapText="1"/>
    </xf>
    <xf numFmtId="164" fontId="19" fillId="0" borderId="12" xfId="109" applyFont="1" applyBorder="1" applyAlignment="1">
      <alignment horizontal="right" vertical="center" wrapText="1"/>
    </xf>
    <xf numFmtId="164" fontId="5" fillId="0" borderId="13" xfId="109" applyFont="1" applyBorder="1" applyAlignment="1">
      <alignment horizontal="right" vertical="center" wrapText="1"/>
    </xf>
    <xf numFmtId="164" fontId="19" fillId="0" borderId="13" xfId="109" applyFont="1" applyBorder="1" applyAlignment="1">
      <alignment horizontal="right" vertical="center" wrapText="1"/>
    </xf>
    <xf numFmtId="166" fontId="17" fillId="0" borderId="25" xfId="0" applyNumberFormat="1" applyFont="1" applyBorder="1" applyAlignment="1">
      <alignment horizontal="left" vertical="center" wrapText="1"/>
    </xf>
    <xf numFmtId="166" fontId="17" fillId="0" borderId="13" xfId="0" applyNumberFormat="1" applyFont="1" applyBorder="1" applyAlignment="1">
      <alignment horizontal="left" vertical="center" wrapText="1"/>
    </xf>
    <xf numFmtId="166" fontId="17" fillId="0" borderId="268" xfId="0" applyNumberFormat="1" applyFont="1" applyBorder="1" applyAlignment="1">
      <alignment horizontal="left" vertical="center" wrapText="1"/>
    </xf>
    <xf numFmtId="166" fontId="17" fillId="0" borderId="26" xfId="0" applyNumberFormat="1" applyFont="1" applyBorder="1" applyAlignment="1">
      <alignment horizontal="left" vertical="center" wrapText="1"/>
    </xf>
    <xf numFmtId="9" fontId="109" fillId="0" borderId="13" xfId="107" applyFont="1" applyFill="1" applyBorder="1" applyAlignment="1">
      <alignment horizontal="right"/>
    </xf>
    <xf numFmtId="0" fontId="5" fillId="36" borderId="199" xfId="0" applyFont="1" applyFill="1" applyBorder="1" applyAlignment="1">
      <alignment horizontal="center" vertical="top"/>
    </xf>
    <xf numFmtId="0" fontId="5" fillId="36" borderId="200" xfId="0" applyFont="1" applyFill="1" applyBorder="1" applyAlignment="1">
      <alignment vertical="top"/>
    </xf>
    <xf numFmtId="0" fontId="19" fillId="36" borderId="200" xfId="0" applyFont="1" applyFill="1" applyBorder="1" applyAlignment="1">
      <alignment vertical="top"/>
    </xf>
    <xf numFmtId="2" fontId="19" fillId="36" borderId="200" xfId="0" applyNumberFormat="1" applyFont="1" applyFill="1" applyBorder="1" applyAlignment="1">
      <alignment vertical="top"/>
    </xf>
    <xf numFmtId="164" fontId="19" fillId="36" borderId="200" xfId="0" applyNumberFormat="1" applyFont="1" applyFill="1" applyBorder="1" applyAlignment="1">
      <alignment vertical="top"/>
    </xf>
    <xf numFmtId="0" fontId="18" fillId="36" borderId="201" xfId="0" applyFont="1" applyFill="1" applyBorder="1" applyAlignment="1">
      <alignment horizontal="right" vertical="center"/>
    </xf>
    <xf numFmtId="0" fontId="17" fillId="36" borderId="280" xfId="0" applyFont="1" applyFill="1" applyBorder="1" applyAlignment="1">
      <alignment horizontal="center" vertical="center" wrapText="1"/>
    </xf>
    <xf numFmtId="0" fontId="5" fillId="36" borderId="281" xfId="0" applyFont="1" applyFill="1" applyBorder="1" applyAlignment="1">
      <alignment horizontal="center" vertical="center" wrapText="1"/>
    </xf>
    <xf numFmtId="49" fontId="17" fillId="36" borderId="282" xfId="0" applyNumberFormat="1" applyFont="1" applyFill="1" applyBorder="1" applyAlignment="1">
      <alignment horizontal="center" vertical="top" wrapText="1"/>
    </xf>
    <xf numFmtId="0" fontId="5" fillId="36" borderId="282" xfId="0" applyFont="1" applyFill="1" applyBorder="1" applyAlignment="1">
      <alignment horizontal="center" vertical="top" wrapText="1"/>
    </xf>
    <xf numFmtId="49" fontId="5" fillId="36" borderId="282" xfId="0" applyNumberFormat="1" applyFont="1" applyFill="1" applyBorder="1" applyAlignment="1">
      <alignment horizontal="center" vertical="top" wrapText="1"/>
    </xf>
    <xf numFmtId="0" fontId="18" fillId="36" borderId="282" xfId="0" applyFont="1" applyFill="1" applyBorder="1" applyAlignment="1">
      <alignment horizontal="center"/>
    </xf>
    <xf numFmtId="49" fontId="19" fillId="36" borderId="282" xfId="0" applyNumberFormat="1" applyFont="1" applyFill="1" applyBorder="1" applyAlignment="1">
      <alignment horizontal="left" vertical="top" wrapText="1"/>
    </xf>
    <xf numFmtId="49" fontId="19" fillId="36" borderId="282" xfId="0" applyNumberFormat="1" applyFont="1" applyFill="1" applyBorder="1" applyAlignment="1">
      <alignment horizontal="center" vertical="top" wrapText="1"/>
    </xf>
    <xf numFmtId="49" fontId="19" fillId="36" borderId="283" xfId="0" applyNumberFormat="1" applyFont="1" applyFill="1" applyBorder="1" applyAlignment="1">
      <alignment horizontal="center" vertical="top" wrapText="1"/>
    </xf>
    <xf numFmtId="0" fontId="17" fillId="36" borderId="284" xfId="0" applyFont="1" applyFill="1" applyBorder="1" applyAlignment="1">
      <alignment horizontal="center" vertical="center" wrapText="1"/>
    </xf>
    <xf numFmtId="0" fontId="5" fillId="36" borderId="4" xfId="0" applyFont="1" applyFill="1" applyBorder="1" applyAlignment="1">
      <alignment vertical="center" wrapText="1"/>
    </xf>
    <xf numFmtId="49" fontId="17" fillId="36" borderId="285" xfId="0" applyNumberFormat="1" applyFont="1" applyFill="1" applyBorder="1" applyAlignment="1">
      <alignment horizontal="left" vertical="top" wrapText="1"/>
    </xf>
    <xf numFmtId="0" fontId="5" fillId="36" borderId="285" xfId="0" applyFont="1" applyFill="1" applyBorder="1" applyAlignment="1">
      <alignment vertical="top" wrapText="1"/>
    </xf>
    <xf numFmtId="49" fontId="19" fillId="36" borderId="285" xfId="0" applyNumberFormat="1" applyFont="1" applyFill="1" applyBorder="1" applyAlignment="1">
      <alignment horizontal="left" vertical="top" wrapText="1"/>
    </xf>
    <xf numFmtId="49" fontId="18" fillId="36" borderId="285" xfId="0" applyNumberFormat="1" applyFont="1" applyFill="1" applyBorder="1" applyAlignment="1">
      <alignment horizontal="left" vertical="top" wrapText="1"/>
    </xf>
    <xf numFmtId="0" fontId="18" fillId="36" borderId="286" xfId="0" applyFont="1" applyFill="1" applyBorder="1"/>
    <xf numFmtId="0" fontId="19" fillId="36" borderId="287" xfId="0" applyFont="1" applyFill="1" applyBorder="1" applyAlignment="1">
      <alignment vertical="top" wrapText="1"/>
    </xf>
    <xf numFmtId="49" fontId="19" fillId="36" borderId="288" xfId="0" applyNumberFormat="1" applyFont="1" applyFill="1" applyBorder="1" applyAlignment="1">
      <alignment horizontal="left" vertical="top" wrapText="1"/>
    </xf>
    <xf numFmtId="49" fontId="19" fillId="36" borderId="4" xfId="0" applyNumberFormat="1" applyFont="1" applyFill="1" applyBorder="1" applyAlignment="1">
      <alignment horizontal="left" vertical="top" wrapText="1"/>
    </xf>
    <xf numFmtId="49" fontId="19" fillId="36" borderId="289" xfId="0" applyNumberFormat="1" applyFont="1" applyFill="1" applyBorder="1" applyAlignment="1">
      <alignment horizontal="left" vertical="top" wrapText="1"/>
    </xf>
    <xf numFmtId="0" fontId="18" fillId="36" borderId="284" xfId="0" applyFont="1" applyFill="1" applyBorder="1" applyAlignment="1">
      <alignment horizontal="center" vertical="center" wrapText="1"/>
    </xf>
    <xf numFmtId="0" fontId="19" fillId="36" borderId="4" xfId="0" applyFont="1" applyFill="1" applyBorder="1" applyAlignment="1">
      <alignment vertical="center" wrapText="1"/>
    </xf>
    <xf numFmtId="49" fontId="19" fillId="36" borderId="285" xfId="0" applyNumberFormat="1" applyFont="1" applyFill="1" applyBorder="1" applyAlignment="1">
      <alignment horizontal="center" vertical="center" wrapText="1"/>
    </xf>
    <xf numFmtId="0" fontId="19" fillId="36" borderId="285" xfId="0" applyFont="1" applyFill="1" applyBorder="1" applyAlignment="1">
      <alignment horizontal="center" vertical="center" wrapText="1"/>
    </xf>
    <xf numFmtId="0" fontId="18" fillId="36" borderId="285" xfId="0" applyFont="1" applyFill="1" applyBorder="1" applyAlignment="1">
      <alignment horizontal="center"/>
    </xf>
    <xf numFmtId="49" fontId="19" fillId="36" borderId="289" xfId="0" applyNumberFormat="1" applyFont="1" applyFill="1" applyBorder="1" applyAlignment="1">
      <alignment horizontal="center" vertical="center" wrapText="1"/>
    </xf>
    <xf numFmtId="2" fontId="18" fillId="36" borderId="284" xfId="0" applyNumberFormat="1" applyFont="1" applyFill="1" applyBorder="1" applyAlignment="1">
      <alignment horizontal="center" vertical="center" wrapText="1"/>
    </xf>
    <xf numFmtId="1" fontId="19" fillId="36" borderId="4" xfId="0" applyNumberFormat="1" applyFont="1" applyFill="1" applyBorder="1" applyAlignment="1">
      <alignment horizontal="right" vertical="center" wrapText="1"/>
    </xf>
    <xf numFmtId="1" fontId="19" fillId="36" borderId="285" xfId="0" applyNumberFormat="1" applyFont="1" applyFill="1" applyBorder="1" applyAlignment="1">
      <alignment horizontal="right" vertical="center" wrapText="1"/>
    </xf>
    <xf numFmtId="189" fontId="19" fillId="36" borderId="285" xfId="0" applyNumberFormat="1" applyFont="1" applyFill="1" applyBorder="1" applyAlignment="1">
      <alignment horizontal="center" vertical="center" wrapText="1"/>
    </xf>
    <xf numFmtId="189" fontId="19" fillId="36" borderId="285" xfId="76" applyNumberFormat="1" applyFont="1" applyFill="1" applyBorder="1" applyAlignment="1">
      <alignment horizontal="center" vertical="center" wrapText="1"/>
    </xf>
    <xf numFmtId="189" fontId="18" fillId="36" borderId="285" xfId="0" applyNumberFormat="1" applyFont="1" applyFill="1" applyBorder="1" applyAlignment="1">
      <alignment horizontal="center"/>
    </xf>
    <xf numFmtId="2" fontId="19" fillId="36" borderId="285" xfId="0" applyNumberFormat="1" applyFont="1" applyFill="1" applyBorder="1" applyAlignment="1">
      <alignment horizontal="center" vertical="center" wrapText="1"/>
    </xf>
    <xf numFmtId="2" fontId="19" fillId="36" borderId="289" xfId="0" applyNumberFormat="1" applyFont="1" applyFill="1" applyBorder="1" applyAlignment="1">
      <alignment horizontal="center" vertical="center" wrapText="1"/>
    </xf>
    <xf numFmtId="0" fontId="18" fillId="36" borderId="54" xfId="0" applyFont="1" applyFill="1" applyBorder="1" applyAlignment="1">
      <alignment horizontal="center" vertical="center" wrapText="1"/>
    </xf>
    <xf numFmtId="0" fontId="19" fillId="36" borderId="207" xfId="0" applyFont="1" applyFill="1" applyBorder="1" applyAlignment="1">
      <alignment vertical="center" wrapText="1"/>
    </xf>
    <xf numFmtId="166" fontId="19" fillId="36" borderId="186" xfId="0" applyNumberFormat="1" applyFont="1" applyFill="1" applyBorder="1" applyAlignment="1">
      <alignment horizontal="center" vertical="center" wrapText="1"/>
    </xf>
    <xf numFmtId="49" fontId="19" fillId="36" borderId="186" xfId="0" applyNumberFormat="1" applyFont="1" applyFill="1" applyBorder="1" applyAlignment="1">
      <alignment horizontal="left" vertical="top" wrapText="1"/>
    </xf>
    <xf numFmtId="166" fontId="19" fillId="36" borderId="192" xfId="0" applyNumberFormat="1" applyFont="1" applyFill="1" applyBorder="1" applyAlignment="1">
      <alignment horizontal="center" vertical="center" wrapText="1"/>
    </xf>
    <xf numFmtId="164" fontId="18" fillId="36" borderId="284" xfId="0" applyNumberFormat="1" applyFont="1" applyFill="1" applyBorder="1" applyAlignment="1">
      <alignment horizontal="center" vertical="center" wrapText="1"/>
    </xf>
    <xf numFmtId="164" fontId="19" fillId="36" borderId="4" xfId="0" applyNumberFormat="1" applyFont="1" applyFill="1" applyBorder="1" applyAlignment="1">
      <alignment vertical="center" wrapText="1"/>
    </xf>
    <xf numFmtId="164" fontId="19" fillId="36" borderId="285" xfId="0" applyNumberFormat="1" applyFont="1" applyFill="1" applyBorder="1" applyAlignment="1">
      <alignment horizontal="center" vertical="center" wrapText="1"/>
    </xf>
    <xf numFmtId="164" fontId="19" fillId="36" borderId="285" xfId="0" applyNumberFormat="1" applyFont="1" applyFill="1" applyBorder="1" applyAlignment="1" applyProtection="1">
      <alignment horizontal="center" vertical="center" wrapText="1"/>
      <protection locked="0"/>
    </xf>
    <xf numFmtId="164" fontId="19" fillId="36" borderId="285" xfId="0" applyNumberFormat="1" applyFont="1" applyFill="1" applyBorder="1" applyAlignment="1">
      <alignment horizontal="left" vertical="top" wrapText="1"/>
    </xf>
    <xf numFmtId="164" fontId="19" fillId="36" borderId="289" xfId="0" applyNumberFormat="1" applyFont="1" applyFill="1" applyBorder="1" applyAlignment="1" applyProtection="1">
      <alignment horizontal="center" vertical="center" wrapText="1"/>
      <protection locked="0"/>
    </xf>
    <xf numFmtId="164" fontId="9" fillId="0" borderId="264" xfId="109" applyFont="1" applyBorder="1" applyAlignment="1">
      <alignment horizontal="right" vertical="center" wrapText="1"/>
    </xf>
    <xf numFmtId="164" fontId="42" fillId="0" borderId="145" xfId="0" applyNumberFormat="1" applyFont="1" applyBorder="1"/>
    <xf numFmtId="0" fontId="5" fillId="0" borderId="171" xfId="0" applyFont="1" applyBorder="1" applyAlignment="1">
      <alignment horizontal="center" vertical="top"/>
    </xf>
    <xf numFmtId="0" fontId="5" fillId="0" borderId="163" xfId="0" applyFont="1" applyBorder="1" applyAlignment="1">
      <alignment vertical="top"/>
    </xf>
    <xf numFmtId="0" fontId="17" fillId="0" borderId="163" xfId="0" applyFont="1" applyBorder="1" applyAlignment="1">
      <alignment horizontal="right" vertical="center"/>
    </xf>
    <xf numFmtId="0" fontId="17" fillId="0" borderId="172" xfId="0" applyFont="1" applyBorder="1" applyAlignment="1">
      <alignment horizontal="right" vertical="center"/>
    </xf>
    <xf numFmtId="0" fontId="19" fillId="0" borderId="143" xfId="0" applyFont="1" applyBorder="1" applyAlignment="1">
      <alignment horizontal="left"/>
    </xf>
    <xf numFmtId="0" fontId="19" fillId="0" borderId="144" xfId="0" applyFont="1" applyBorder="1"/>
    <xf numFmtId="1" fontId="18" fillId="0" borderId="214" xfId="0" applyNumberFormat="1" applyFont="1" applyBorder="1" applyAlignment="1">
      <alignment horizontal="center"/>
    </xf>
    <xf numFmtId="0" fontId="18" fillId="0" borderId="215" xfId="0" applyFont="1" applyBorder="1"/>
    <xf numFmtId="3" fontId="19" fillId="0" borderId="216" xfId="0" applyNumberFormat="1" applyFont="1" applyBorder="1" applyAlignment="1">
      <alignment horizontal="right"/>
    </xf>
    <xf numFmtId="164" fontId="19" fillId="0" borderId="251" xfId="109" applyFont="1" applyFill="1" applyBorder="1"/>
    <xf numFmtId="164" fontId="19" fillId="0" borderId="13" xfId="109" applyFont="1" applyFill="1" applyBorder="1"/>
    <xf numFmtId="0" fontId="18" fillId="0" borderId="17" xfId="0" applyFont="1" applyBorder="1" applyAlignment="1">
      <alignment horizontal="center"/>
    </xf>
    <xf numFmtId="0" fontId="19" fillId="0" borderId="0" xfId="0" applyFont="1" applyAlignment="1">
      <alignment wrapText="1"/>
    </xf>
    <xf numFmtId="164" fontId="19" fillId="0" borderId="13" xfId="109" applyFont="1" applyFill="1" applyBorder="1" applyAlignment="1">
      <alignment horizontal="right"/>
    </xf>
    <xf numFmtId="0" fontId="103" fillId="0" borderId="273" xfId="0" applyFont="1" applyBorder="1"/>
    <xf numFmtId="0" fontId="103" fillId="0" borderId="255" xfId="0" applyFont="1" applyBorder="1"/>
    <xf numFmtId="0" fontId="103" fillId="0" borderId="218" xfId="0" applyFont="1" applyBorder="1"/>
    <xf numFmtId="188" fontId="42" fillId="0" borderId="13" xfId="0" applyNumberFormat="1" applyFont="1" applyBorder="1" applyAlignment="1">
      <alignment horizontal="right" vertical="center" wrapText="1"/>
    </xf>
    <xf numFmtId="189" fontId="42" fillId="0" borderId="13" xfId="0" applyNumberFormat="1" applyFont="1" applyBorder="1" applyAlignment="1">
      <alignment horizontal="center" vertical="center" wrapText="1"/>
    </xf>
    <xf numFmtId="0" fontId="48" fillId="0" borderId="0" xfId="101" applyFont="1" applyAlignment="1">
      <alignment horizontal="center"/>
    </xf>
    <xf numFmtId="0" fontId="0" fillId="0" borderId="51" xfId="101" applyFont="1" applyBorder="1" applyAlignment="1">
      <alignment horizontal="left" wrapText="1"/>
    </xf>
    <xf numFmtId="0" fontId="21" fillId="0" borderId="51" xfId="101" applyBorder="1" applyAlignment="1">
      <alignment horizontal="left" wrapText="1"/>
    </xf>
    <xf numFmtId="0" fontId="52" fillId="0" borderId="0" xfId="0" applyFont="1" applyAlignment="1">
      <alignment horizontal="left" vertical="center" wrapText="1"/>
    </xf>
    <xf numFmtId="0" fontId="51" fillId="0" borderId="0" xfId="0" applyFont="1" applyAlignment="1">
      <alignment horizontal="center" vertical="center"/>
    </xf>
    <xf numFmtId="0" fontId="52" fillId="0" borderId="0" xfId="0" applyFont="1" applyAlignment="1">
      <alignment horizontal="right" vertical="center"/>
    </xf>
    <xf numFmtId="0" fontId="52" fillId="0" borderId="0" xfId="0" applyFont="1" applyAlignment="1" applyProtection="1">
      <alignment horizontal="left" vertical="center" wrapText="1"/>
      <protection locked="0"/>
    </xf>
    <xf numFmtId="0" fontId="52" fillId="0" borderId="0" xfId="0" applyFont="1" applyAlignment="1" applyProtection="1">
      <alignment horizontal="left" wrapText="1"/>
      <protection locked="0"/>
    </xf>
    <xf numFmtId="178" fontId="52" fillId="0" borderId="0" xfId="0" applyNumberFormat="1" applyFont="1" applyAlignment="1" applyProtection="1">
      <alignment horizontal="left" vertical="center" wrapText="1"/>
      <protection locked="0"/>
    </xf>
    <xf numFmtId="0" fontId="52" fillId="0" borderId="74" xfId="0" applyFont="1" applyBorder="1" applyAlignment="1">
      <alignment horizontal="left" vertical="center"/>
    </xf>
    <xf numFmtId="0" fontId="52" fillId="0" borderId="75" xfId="0" applyFont="1" applyBorder="1" applyAlignment="1">
      <alignment horizontal="left" vertical="center"/>
    </xf>
    <xf numFmtId="0" fontId="59" fillId="0" borderId="0" xfId="0" applyFont="1" applyAlignment="1">
      <alignment horizontal="right"/>
    </xf>
    <xf numFmtId="0" fontId="53" fillId="0" borderId="0" xfId="0" applyFont="1" applyAlignment="1">
      <alignment horizontal="center"/>
    </xf>
    <xf numFmtId="0" fontId="53" fillId="0" borderId="82" xfId="0" applyFont="1" applyBorder="1" applyAlignment="1">
      <alignment horizontal="center"/>
    </xf>
    <xf numFmtId="0" fontId="7" fillId="0" borderId="8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54" fillId="0" borderId="79" xfId="0" applyFont="1" applyBorder="1" applyAlignment="1">
      <alignment horizontal="left"/>
    </xf>
    <xf numFmtId="0" fontId="54" fillId="0" borderId="80" xfId="0" applyFont="1" applyBorder="1" applyAlignment="1">
      <alignment horizontal="left"/>
    </xf>
    <xf numFmtId="0" fontId="55" fillId="0" borderId="0" xfId="0" applyFont="1" applyAlignment="1">
      <alignment horizontal="left"/>
    </xf>
    <xf numFmtId="0" fontId="55" fillId="0" borderId="82" xfId="0" applyFont="1" applyBorder="1" applyAlignment="1">
      <alignment horizontal="left"/>
    </xf>
    <xf numFmtId="0" fontId="56" fillId="0" borderId="0" xfId="0" applyFont="1" applyAlignment="1">
      <alignment horizontal="left"/>
    </xf>
    <xf numFmtId="0" fontId="56" fillId="0" borderId="82" xfId="0" applyFont="1" applyBorder="1" applyAlignment="1">
      <alignment horizontal="left"/>
    </xf>
    <xf numFmtId="0" fontId="57" fillId="0" borderId="23" xfId="0" applyFont="1" applyBorder="1" applyAlignment="1">
      <alignment horizontal="center"/>
    </xf>
    <xf numFmtId="49" fontId="58" fillId="35" borderId="46" xfId="0" applyNumberFormat="1" applyFont="1" applyFill="1" applyBorder="1" applyAlignment="1" applyProtection="1">
      <alignment horizontal="left" vertical="center"/>
      <protection locked="0"/>
    </xf>
    <xf numFmtId="49" fontId="58" fillId="35" borderId="10" xfId="0" applyNumberFormat="1" applyFont="1" applyFill="1" applyBorder="1" applyAlignment="1" applyProtection="1">
      <alignment horizontal="left" vertical="center"/>
      <protection locked="0"/>
    </xf>
    <xf numFmtId="49" fontId="58" fillId="35" borderId="11" xfId="0" applyNumberFormat="1" applyFont="1" applyFill="1" applyBorder="1" applyAlignment="1" applyProtection="1">
      <alignment horizontal="left" vertical="center"/>
      <protection locked="0"/>
    </xf>
    <xf numFmtId="0" fontId="53" fillId="35" borderId="99" xfId="0" applyFont="1" applyFill="1" applyBorder="1" applyAlignment="1" applyProtection="1">
      <alignment horizontal="left"/>
      <protection locked="0"/>
    </xf>
    <xf numFmtId="180" fontId="58" fillId="35" borderId="17" xfId="0" applyNumberFormat="1" applyFont="1" applyFill="1" applyBorder="1" applyAlignment="1" applyProtection="1">
      <alignment horizontal="left"/>
      <protection locked="0"/>
    </xf>
    <xf numFmtId="180" fontId="58" fillId="35" borderId="0" xfId="0" applyNumberFormat="1" applyFont="1" applyFill="1" applyAlignment="1" applyProtection="1">
      <alignment horizontal="left"/>
      <protection locked="0"/>
    </xf>
    <xf numFmtId="180" fontId="58" fillId="35" borderId="14" xfId="0" applyNumberFormat="1" applyFont="1" applyFill="1" applyBorder="1" applyAlignment="1" applyProtection="1">
      <alignment horizontal="left"/>
      <protection locked="0"/>
    </xf>
    <xf numFmtId="180" fontId="58" fillId="35" borderId="17" xfId="0" applyNumberFormat="1" applyFont="1" applyFill="1" applyBorder="1" applyAlignment="1" applyProtection="1">
      <alignment horizontal="left" wrapText="1"/>
      <protection locked="0"/>
    </xf>
    <xf numFmtId="180" fontId="58" fillId="35" borderId="0" xfId="0" applyNumberFormat="1" applyFont="1" applyFill="1" applyAlignment="1" applyProtection="1">
      <alignment horizontal="left" wrapText="1"/>
      <protection locked="0"/>
    </xf>
    <xf numFmtId="180" fontId="58" fillId="35" borderId="14" xfId="0" applyNumberFormat="1" applyFont="1" applyFill="1" applyBorder="1" applyAlignment="1" applyProtection="1">
      <alignment horizontal="left" wrapText="1"/>
      <protection locked="0"/>
    </xf>
    <xf numFmtId="180" fontId="58" fillId="35" borderId="22" xfId="0" applyNumberFormat="1" applyFont="1" applyFill="1" applyBorder="1" applyAlignment="1" applyProtection="1">
      <alignment horizontal="left"/>
      <protection locked="0"/>
    </xf>
    <xf numFmtId="180" fontId="58" fillId="35" borderId="23" xfId="0" applyNumberFormat="1" applyFont="1" applyFill="1" applyBorder="1" applyAlignment="1" applyProtection="1">
      <alignment horizontal="left"/>
      <protection locked="0"/>
    </xf>
    <xf numFmtId="180" fontId="58" fillId="35" borderId="24" xfId="0" applyNumberFormat="1" applyFont="1" applyFill="1" applyBorder="1" applyAlignment="1" applyProtection="1">
      <alignment horizontal="left"/>
      <protection locked="0"/>
    </xf>
    <xf numFmtId="0" fontId="53" fillId="35" borderId="84" xfId="0" applyFont="1" applyFill="1" applyBorder="1" applyAlignment="1">
      <alignment horizontal="center" vertical="center"/>
    </xf>
    <xf numFmtId="0" fontId="0" fillId="35" borderId="60" xfId="0" applyFill="1" applyBorder="1" applyAlignment="1">
      <alignment vertical="center"/>
    </xf>
    <xf numFmtId="0" fontId="0" fillId="35" borderId="85" xfId="0" applyFill="1" applyBorder="1" applyAlignment="1">
      <alignment vertical="center"/>
    </xf>
    <xf numFmtId="0" fontId="7" fillId="0" borderId="91" xfId="0" applyFont="1" applyBorder="1" applyAlignment="1">
      <alignment horizontal="left"/>
    </xf>
    <xf numFmtId="0" fontId="7" fillId="0" borderId="92" xfId="0" applyFont="1" applyBorder="1" applyAlignment="1">
      <alignment horizontal="left"/>
    </xf>
    <xf numFmtId="0" fontId="53" fillId="35" borderId="95" xfId="0" applyFont="1" applyFill="1" applyBorder="1" applyAlignment="1">
      <alignment horizontal="center" vertical="center"/>
    </xf>
    <xf numFmtId="0" fontId="53" fillId="35" borderId="96" xfId="0" applyFont="1" applyFill="1" applyBorder="1" applyAlignment="1">
      <alignment horizontal="center" vertical="center"/>
    </xf>
    <xf numFmtId="0" fontId="53" fillId="35" borderId="108" xfId="0" applyFont="1" applyFill="1" applyBorder="1" applyAlignment="1">
      <alignment horizontal="center" vertical="center"/>
    </xf>
    <xf numFmtId="0" fontId="7" fillId="0" borderId="122" xfId="0" applyFont="1" applyBorder="1" applyAlignment="1">
      <alignment horizontal="left"/>
    </xf>
    <xf numFmtId="0" fontId="7" fillId="0" borderId="123" xfId="0" applyFont="1" applyBorder="1" applyAlignment="1">
      <alignment horizontal="left"/>
    </xf>
    <xf numFmtId="0" fontId="53" fillId="35" borderId="47" xfId="0" applyFont="1" applyFill="1" applyBorder="1" applyProtection="1">
      <protection locked="0"/>
    </xf>
    <xf numFmtId="0" fontId="53" fillId="35" borderId="47" xfId="0" applyFont="1" applyFill="1" applyBorder="1" applyAlignment="1" applyProtection="1">
      <alignment horizontal="left"/>
      <protection locked="0"/>
    </xf>
    <xf numFmtId="0" fontId="53" fillId="35" borderId="114" xfId="0" applyFont="1" applyFill="1" applyBorder="1" applyAlignment="1" applyProtection="1">
      <alignment horizontal="left"/>
      <protection locked="0"/>
    </xf>
    <xf numFmtId="0" fontId="0" fillId="35" borderId="23" xfId="0" applyFill="1" applyBorder="1" applyAlignment="1" applyProtection="1">
      <alignment horizontal="left"/>
      <protection locked="0"/>
    </xf>
    <xf numFmtId="0" fontId="0" fillId="35" borderId="24" xfId="0" applyFill="1" applyBorder="1" applyAlignment="1" applyProtection="1">
      <alignment horizontal="left"/>
      <protection locked="0"/>
    </xf>
    <xf numFmtId="0" fontId="53" fillId="0" borderId="8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53" fillId="35" borderId="117" xfId="0" applyFont="1" applyFill="1" applyBorder="1" applyAlignment="1">
      <alignment horizontal="right" vertical="center"/>
    </xf>
    <xf numFmtId="0" fontId="53" fillId="35" borderId="118" xfId="0" applyFont="1" applyFill="1" applyBorder="1" applyAlignment="1">
      <alignment horizontal="right" vertical="center"/>
    </xf>
    <xf numFmtId="10" fontId="53" fillId="35" borderId="119" xfId="0" applyNumberFormat="1" applyFont="1" applyFill="1" applyBorder="1" applyAlignment="1">
      <alignment horizontal="left" vertical="center"/>
    </xf>
    <xf numFmtId="0" fontId="0" fillId="35" borderId="120" xfId="0" applyFill="1" applyBorder="1" applyAlignment="1">
      <alignment horizontal="left"/>
    </xf>
    <xf numFmtId="0" fontId="53" fillId="35" borderId="126" xfId="0" applyFont="1" applyFill="1" applyBorder="1" applyAlignment="1">
      <alignment horizontal="center" vertical="center"/>
    </xf>
    <xf numFmtId="0" fontId="0" fillId="35" borderId="127" xfId="0" applyFill="1" applyBorder="1" applyAlignment="1">
      <alignment horizontal="center" vertical="center"/>
    </xf>
    <xf numFmtId="0" fontId="0" fillId="35" borderId="107" xfId="0" applyFill="1" applyBorder="1" applyAlignment="1">
      <alignment horizontal="center" vertical="center"/>
    </xf>
    <xf numFmtId="0" fontId="0" fillId="35" borderId="131" xfId="0" applyFill="1" applyBorder="1" applyAlignment="1">
      <alignment horizontal="center" vertical="center"/>
    </xf>
    <xf numFmtId="182" fontId="53" fillId="35" borderId="128" xfId="0" applyNumberFormat="1" applyFont="1" applyFill="1" applyBorder="1" applyAlignment="1">
      <alignment horizontal="center" vertical="center" wrapText="1"/>
    </xf>
    <xf numFmtId="182" fontId="53" fillId="35" borderId="132" xfId="0" applyNumberFormat="1" applyFont="1" applyFill="1" applyBorder="1" applyAlignment="1">
      <alignment horizontal="center" vertical="center" wrapText="1"/>
    </xf>
    <xf numFmtId="182" fontId="53" fillId="35" borderId="129" xfId="0" applyNumberFormat="1" applyFont="1" applyFill="1" applyBorder="1" applyAlignment="1">
      <alignment horizontal="center" vertical="center" wrapText="1"/>
    </xf>
    <xf numFmtId="182" fontId="53" fillId="35" borderId="133" xfId="0" applyNumberFormat="1" applyFont="1" applyFill="1" applyBorder="1" applyAlignment="1">
      <alignment horizontal="center" vertical="center" wrapText="1"/>
    </xf>
    <xf numFmtId="0" fontId="58" fillId="0" borderId="127" xfId="0" applyFont="1" applyBorder="1" applyAlignment="1">
      <alignment horizontal="center" vertical="justify"/>
    </xf>
    <xf numFmtId="0" fontId="58" fillId="0" borderId="142" xfId="0" applyFont="1" applyBorder="1" applyAlignment="1">
      <alignment horizontal="center" vertical="justify"/>
    </xf>
    <xf numFmtId="0" fontId="0" fillId="35" borderId="108" xfId="0" applyFill="1" applyBorder="1" applyAlignment="1">
      <alignment horizontal="center" vertical="center"/>
    </xf>
    <xf numFmtId="0" fontId="0" fillId="35" borderId="109" xfId="0" applyFill="1" applyBorder="1" applyAlignment="1">
      <alignment vertical="center"/>
    </xf>
    <xf numFmtId="49" fontId="58" fillId="35" borderId="117" xfId="0" applyNumberFormat="1" applyFont="1" applyFill="1" applyBorder="1" applyAlignment="1" applyProtection="1">
      <alignment horizontal="center" vertical="center"/>
      <protection locked="0"/>
    </xf>
    <xf numFmtId="49" fontId="58" fillId="35" borderId="118" xfId="0" applyNumberFormat="1" applyFont="1" applyFill="1" applyBorder="1" applyAlignment="1" applyProtection="1">
      <alignment horizontal="center" vertical="center"/>
      <protection locked="0"/>
    </xf>
    <xf numFmtId="49" fontId="58" fillId="35" borderId="140" xfId="0" applyNumberFormat="1" applyFont="1" applyFill="1" applyBorder="1" applyAlignment="1" applyProtection="1">
      <alignment horizontal="center" vertical="center"/>
      <protection locked="0"/>
    </xf>
    <xf numFmtId="1" fontId="58" fillId="35" borderId="98" xfId="0" applyNumberFormat="1" applyFont="1" applyFill="1" applyBorder="1" applyAlignment="1">
      <alignment horizontal="center"/>
    </xf>
    <xf numFmtId="0" fontId="0" fillId="35" borderId="99" xfId="0" applyFill="1" applyBorder="1" applyAlignment="1">
      <alignment horizontal="center"/>
    </xf>
    <xf numFmtId="0" fontId="0" fillId="35" borderId="100" xfId="0" applyFill="1" applyBorder="1" applyAlignment="1">
      <alignment horizontal="center"/>
    </xf>
    <xf numFmtId="49" fontId="58" fillId="35" borderId="55" xfId="0" applyNumberFormat="1" applyFont="1" applyFill="1" applyBorder="1" applyAlignment="1">
      <alignment horizontal="center"/>
    </xf>
    <xf numFmtId="49" fontId="0" fillId="35" borderId="47" xfId="0" applyNumberFormat="1" applyFill="1" applyBorder="1"/>
    <xf numFmtId="49" fontId="0" fillId="35" borderId="102" xfId="0" applyNumberFormat="1" applyFill="1" applyBorder="1"/>
    <xf numFmtId="0" fontId="58" fillId="0" borderId="0" xfId="0" applyFont="1" applyAlignment="1">
      <alignment horizontal="center" vertical="justify"/>
    </xf>
    <xf numFmtId="0" fontId="58" fillId="0" borderId="82" xfId="0" applyFont="1" applyBorder="1" applyAlignment="1">
      <alignment horizontal="center" vertical="justify"/>
    </xf>
    <xf numFmtId="0" fontId="58" fillId="0" borderId="123" xfId="0" applyFont="1" applyBorder="1" applyAlignment="1">
      <alignment horizontal="left" vertical="justify" wrapText="1"/>
    </xf>
    <xf numFmtId="0" fontId="0" fillId="0" borderId="141" xfId="0" applyBorder="1" applyAlignment="1">
      <alignment vertical="justify" wrapText="1"/>
    </xf>
    <xf numFmtId="0" fontId="45" fillId="35" borderId="143" xfId="0" applyFont="1" applyFill="1" applyBorder="1" applyAlignment="1">
      <alignment horizontal="center"/>
    </xf>
    <xf numFmtId="0" fontId="45" fillId="35" borderId="144" xfId="0" applyFont="1" applyFill="1" applyBorder="1" applyAlignment="1">
      <alignment horizontal="center"/>
    </xf>
    <xf numFmtId="0" fontId="45" fillId="35" borderId="145" xfId="0" applyFont="1" applyFill="1" applyBorder="1" applyAlignment="1">
      <alignment horizontal="center"/>
    </xf>
    <xf numFmtId="0" fontId="45" fillId="35" borderId="81" xfId="0" applyFont="1" applyFill="1" applyBorder="1" applyAlignment="1">
      <alignment horizontal="center"/>
    </xf>
    <xf numFmtId="0" fontId="45" fillId="35" borderId="0" xfId="0" applyFont="1" applyFill="1" applyAlignment="1">
      <alignment horizontal="center"/>
    </xf>
    <xf numFmtId="0" fontId="45" fillId="35" borderId="82" xfId="0" applyFont="1" applyFill="1" applyBorder="1" applyAlignment="1">
      <alignment horizontal="center"/>
    </xf>
    <xf numFmtId="0" fontId="58" fillId="0" borderId="0" xfId="0" applyFont="1" applyAlignment="1">
      <alignment horizontal="center"/>
    </xf>
    <xf numFmtId="0" fontId="58" fillId="0" borderId="82" xfId="0" applyFont="1" applyBorder="1" applyAlignment="1">
      <alignment horizontal="center"/>
    </xf>
    <xf numFmtId="0" fontId="9" fillId="35" borderId="122" xfId="0" applyFont="1" applyFill="1" applyBorder="1" applyAlignment="1" applyProtection="1">
      <alignment horizontal="left"/>
      <protection locked="0"/>
    </xf>
    <xf numFmtId="0" fontId="9" fillId="35" borderId="123" xfId="0" applyFont="1" applyFill="1" applyBorder="1" applyAlignment="1" applyProtection="1">
      <alignment horizontal="left"/>
      <protection locked="0"/>
    </xf>
    <xf numFmtId="0" fontId="7" fillId="35" borderId="146" xfId="0" applyFont="1" applyFill="1" applyBorder="1" applyAlignment="1">
      <alignment horizontal="center"/>
    </xf>
    <xf numFmtId="0" fontId="7" fillId="35" borderId="147" xfId="0" applyFont="1" applyFill="1" applyBorder="1" applyAlignment="1">
      <alignment horizontal="center"/>
    </xf>
    <xf numFmtId="0" fontId="7" fillId="35" borderId="148" xfId="0" applyFont="1" applyFill="1" applyBorder="1" applyAlignment="1">
      <alignment horizontal="center"/>
    </xf>
    <xf numFmtId="0" fontId="7" fillId="0" borderId="141" xfId="0" applyFont="1" applyBorder="1" applyAlignment="1">
      <alignment horizontal="left"/>
    </xf>
    <xf numFmtId="0" fontId="0" fillId="0" borderId="143" xfId="0" applyBorder="1"/>
    <xf numFmtId="0" fontId="0" fillId="0" borderId="144" xfId="0" applyBorder="1"/>
    <xf numFmtId="0" fontId="0" fillId="0" borderId="145" xfId="0" applyBorder="1"/>
    <xf numFmtId="0" fontId="0" fillId="0" borderId="171" xfId="0" applyBorder="1"/>
    <xf numFmtId="0" fontId="0" fillId="0" borderId="163" xfId="0" applyBorder="1"/>
    <xf numFmtId="0" fontId="0" fillId="0" borderId="172" xfId="0" applyBorder="1"/>
    <xf numFmtId="0" fontId="56" fillId="0" borderId="0" xfId="102" applyFont="1" applyAlignment="1">
      <alignment horizontal="center"/>
    </xf>
    <xf numFmtId="0" fontId="53" fillId="0" borderId="0" xfId="102" applyFont="1" applyAlignment="1">
      <alignment horizontal="center"/>
    </xf>
    <xf numFmtId="0" fontId="70" fillId="37" borderId="48" xfId="0" applyFont="1" applyFill="1" applyBorder="1" applyAlignment="1">
      <alignment horizontal="center" vertical="center"/>
    </xf>
    <xf numFmtId="0" fontId="70" fillId="37" borderId="167" xfId="0" applyFont="1" applyFill="1" applyBorder="1" applyAlignment="1">
      <alignment horizontal="center" vertical="center"/>
    </xf>
    <xf numFmtId="0" fontId="70" fillId="38" borderId="167" xfId="0" applyFont="1" applyFill="1" applyBorder="1" applyAlignment="1">
      <alignment horizontal="center" vertical="center"/>
    </xf>
    <xf numFmtId="0" fontId="7" fillId="38" borderId="48" xfId="102" applyFont="1" applyFill="1" applyBorder="1" applyAlignment="1">
      <alignment horizontal="center" vertical="center" wrapText="1"/>
    </xf>
    <xf numFmtId="0" fontId="7" fillId="38" borderId="48" xfId="102" applyFont="1" applyFill="1" applyBorder="1" applyAlignment="1">
      <alignment horizontal="center" vertical="center"/>
    </xf>
    <xf numFmtId="0" fontId="7" fillId="38" borderId="119" xfId="102" applyFont="1" applyFill="1" applyBorder="1" applyAlignment="1">
      <alignment horizontal="center" vertical="center"/>
    </xf>
    <xf numFmtId="0" fontId="70" fillId="38" borderId="119" xfId="0" applyFont="1" applyFill="1" applyBorder="1" applyAlignment="1">
      <alignment horizontal="center" vertical="center"/>
    </xf>
    <xf numFmtId="0" fontId="70" fillId="38" borderId="48" xfId="0" applyFont="1" applyFill="1" applyBorder="1" applyAlignment="1">
      <alignment horizontal="center" vertical="center"/>
    </xf>
    <xf numFmtId="0" fontId="58" fillId="2" borderId="168" xfId="102" applyFont="1" applyFill="1" applyBorder="1" applyAlignment="1">
      <alignment horizontal="center" vertical="center"/>
    </xf>
    <xf numFmtId="0" fontId="71" fillId="0" borderId="170" xfId="0" applyFont="1" applyBorder="1" applyAlignment="1">
      <alignment horizontal="center" vertical="center"/>
    </xf>
    <xf numFmtId="0" fontId="58" fillId="2" borderId="143" xfId="102" applyFont="1" applyFill="1" applyBorder="1" applyAlignment="1">
      <alignment horizontal="center" vertical="center"/>
    </xf>
    <xf numFmtId="0" fontId="71" fillId="0" borderId="145" xfId="0" applyFont="1" applyBorder="1" applyAlignment="1">
      <alignment horizontal="center" vertical="center"/>
    </xf>
    <xf numFmtId="0" fontId="71" fillId="0" borderId="171" xfId="0" applyFont="1" applyBorder="1" applyAlignment="1">
      <alignment horizontal="center" vertical="center"/>
    </xf>
    <xf numFmtId="0" fontId="71" fillId="0" borderId="172" xfId="0" applyFont="1" applyBorder="1" applyAlignment="1">
      <alignment horizontal="center" vertical="center"/>
    </xf>
    <xf numFmtId="0" fontId="0" fillId="0" borderId="143" xfId="0" applyBorder="1" applyAlignment="1" applyProtection="1">
      <alignment horizontal="center" vertical="center"/>
      <protection locked="0"/>
    </xf>
    <xf numFmtId="0" fontId="0" fillId="0" borderId="145" xfId="0" applyBorder="1" applyAlignment="1" applyProtection="1">
      <alignment horizontal="center" vertical="center"/>
      <protection locked="0"/>
    </xf>
    <xf numFmtId="0" fontId="0" fillId="0" borderId="171" xfId="0" applyBorder="1" applyAlignment="1" applyProtection="1">
      <alignment horizontal="center" vertical="center"/>
      <protection locked="0"/>
    </xf>
    <xf numFmtId="0" fontId="0" fillId="0" borderId="172" xfId="0" applyBorder="1" applyAlignment="1" applyProtection="1">
      <alignment horizontal="center" vertical="center"/>
      <protection locked="0"/>
    </xf>
    <xf numFmtId="0" fontId="19" fillId="0" borderId="143" xfId="102" applyFont="1" applyBorder="1" applyAlignment="1">
      <alignment horizontal="left" vertical="center" wrapText="1"/>
    </xf>
    <xf numFmtId="0" fontId="72" fillId="0" borderId="145" xfId="0" applyFont="1" applyBorder="1" applyAlignment="1">
      <alignment horizontal="left" vertical="center" wrapText="1"/>
    </xf>
    <xf numFmtId="0" fontId="0" fillId="0" borderId="171" xfId="0" applyBorder="1" applyAlignment="1">
      <alignment horizontal="left" vertical="center" wrapText="1"/>
    </xf>
    <xf numFmtId="0" fontId="0" fillId="0" borderId="172" xfId="0" applyBorder="1" applyAlignment="1">
      <alignment horizontal="left" vertical="center" wrapText="1"/>
    </xf>
    <xf numFmtId="15" fontId="73" fillId="0" borderId="143" xfId="102" applyNumberFormat="1" applyFont="1" applyBorder="1" applyAlignment="1">
      <alignment horizontal="center"/>
    </xf>
    <xf numFmtId="0" fontId="73" fillId="0" borderId="144" xfId="102" applyFont="1" applyBorder="1" applyAlignment="1">
      <alignment horizontal="center"/>
    </xf>
    <xf numFmtId="0" fontId="73" fillId="0" borderId="144" xfId="0" applyFont="1" applyBorder="1"/>
    <xf numFmtId="0" fontId="73" fillId="0" borderId="145" xfId="0" applyFont="1" applyBorder="1"/>
    <xf numFmtId="0" fontId="73" fillId="0" borderId="171" xfId="0" applyFont="1" applyBorder="1"/>
    <xf numFmtId="0" fontId="73" fillId="0" borderId="163" xfId="0" applyFont="1" applyBorder="1"/>
    <xf numFmtId="0" fontId="73" fillId="0" borderId="172" xfId="0" applyFont="1" applyBorder="1"/>
    <xf numFmtId="0" fontId="19" fillId="0" borderId="0" xfId="102" applyFont="1" applyAlignment="1">
      <alignment horizontal="left" vertical="center" wrapText="1"/>
    </xf>
    <xf numFmtId="0" fontId="75" fillId="0" borderId="0" xfId="102" applyFont="1" applyAlignment="1">
      <alignment horizontal="center"/>
    </xf>
    <xf numFmtId="0" fontId="75" fillId="0" borderId="0" xfId="102" applyFont="1"/>
    <xf numFmtId="0" fontId="0" fillId="0" borderId="0" xfId="0"/>
    <xf numFmtId="0" fontId="0" fillId="0" borderId="82" xfId="0" applyBorder="1"/>
    <xf numFmtId="0" fontId="71" fillId="0" borderId="58" xfId="0" applyFont="1" applyBorder="1" applyAlignment="1">
      <alignment horizontal="center" vertical="center"/>
    </xf>
    <xf numFmtId="0" fontId="58" fillId="2" borderId="143" xfId="102" applyFont="1" applyFill="1" applyBorder="1" applyAlignment="1">
      <alignment horizontal="center" vertical="center" wrapText="1"/>
    </xf>
    <xf numFmtId="0" fontId="71" fillId="0" borderId="145" xfId="0" applyFont="1" applyBorder="1" applyAlignment="1">
      <alignment horizontal="center" vertical="center" wrapText="1"/>
    </xf>
    <xf numFmtId="0" fontId="71" fillId="0" borderId="81" xfId="0" applyFont="1" applyBorder="1" applyAlignment="1">
      <alignment horizontal="center" vertical="center" wrapText="1"/>
    </xf>
    <xf numFmtId="0" fontId="71" fillId="0" borderId="82" xfId="0" applyFont="1" applyBorder="1" applyAlignment="1">
      <alignment horizontal="center" vertical="center" wrapText="1"/>
    </xf>
    <xf numFmtId="0" fontId="74" fillId="0" borderId="143" xfId="0" applyFont="1" applyBorder="1" applyAlignment="1">
      <alignment horizontal="center" vertical="center"/>
    </xf>
    <xf numFmtId="0" fontId="74" fillId="0" borderId="145" xfId="0" applyFont="1" applyBorder="1" applyAlignment="1">
      <alignment horizontal="center" vertical="center"/>
    </xf>
    <xf numFmtId="0" fontId="74" fillId="0" borderId="81" xfId="0" applyFont="1" applyBorder="1" applyAlignment="1">
      <alignment horizontal="center" vertical="center"/>
    </xf>
    <xf numFmtId="0" fontId="74" fillId="0" borderId="82" xfId="0" applyFont="1" applyBorder="1" applyAlignment="1">
      <alignment horizontal="center" vertical="center"/>
    </xf>
    <xf numFmtId="0" fontId="19" fillId="0" borderId="143" xfId="102" applyFont="1" applyBorder="1" applyAlignment="1">
      <alignment horizontal="left" vertical="center"/>
    </xf>
    <xf numFmtId="0" fontId="0" fillId="0" borderId="145" xfId="0" applyBorder="1" applyAlignment="1">
      <alignment horizontal="left" vertical="center"/>
    </xf>
    <xf numFmtId="0" fontId="0" fillId="0" borderId="81" xfId="0" applyBorder="1" applyAlignment="1">
      <alignment horizontal="left" vertical="center"/>
    </xf>
    <xf numFmtId="0" fontId="0" fillId="0" borderId="82" xfId="0" applyBorder="1" applyAlignment="1">
      <alignment horizontal="left" vertical="center"/>
    </xf>
    <xf numFmtId="0" fontId="75" fillId="0" borderId="143" xfId="102" applyFont="1" applyBorder="1" applyAlignment="1">
      <alignment horizontal="center"/>
    </xf>
    <xf numFmtId="0" fontId="75" fillId="0" borderId="144" xfId="102" applyFont="1" applyBorder="1" applyAlignment="1">
      <alignment horizontal="center"/>
    </xf>
    <xf numFmtId="0" fontId="0" fillId="0" borderId="81" xfId="0" applyBorder="1"/>
    <xf numFmtId="0" fontId="58" fillId="2" borderId="48" xfId="102" applyFont="1" applyFill="1" applyBorder="1" applyAlignment="1">
      <alignment horizontal="center" vertical="center"/>
    </xf>
    <xf numFmtId="0" fontId="58" fillId="2" borderId="167" xfId="102" applyFont="1" applyFill="1" applyBorder="1" applyAlignment="1">
      <alignment horizontal="center" vertical="center"/>
    </xf>
    <xf numFmtId="0" fontId="19" fillId="2" borderId="48" xfId="102" applyFont="1" applyFill="1" applyBorder="1" applyAlignment="1">
      <alignment horizontal="center" vertical="center"/>
    </xf>
    <xf numFmtId="0" fontId="0" fillId="0" borderId="167" xfId="0" applyBorder="1" applyAlignment="1">
      <alignment horizontal="center" vertical="center"/>
    </xf>
    <xf numFmtId="0" fontId="19" fillId="0" borderId="48" xfId="102" applyFont="1" applyBorder="1" applyAlignment="1">
      <alignment vertical="center"/>
    </xf>
    <xf numFmtId="0" fontId="0" fillId="0" borderId="167" xfId="0" applyBorder="1" applyAlignment="1">
      <alignment vertical="center"/>
    </xf>
    <xf numFmtId="0" fontId="75" fillId="0" borderId="48" xfId="102" applyFont="1" applyBorder="1"/>
    <xf numFmtId="0" fontId="0" fillId="0" borderId="119" xfId="0" applyBorder="1"/>
    <xf numFmtId="0" fontId="0" fillId="0" borderId="167" xfId="0" applyBorder="1"/>
    <xf numFmtId="0" fontId="70" fillId="0" borderId="48" xfId="0" applyFont="1" applyBorder="1" applyAlignment="1">
      <alignment vertical="center"/>
    </xf>
    <xf numFmtId="0" fontId="0" fillId="0" borderId="119" xfId="0" applyBorder="1" applyAlignment="1">
      <alignment vertical="center"/>
    </xf>
    <xf numFmtId="0" fontId="58" fillId="38" borderId="174" xfId="102" applyFont="1" applyFill="1" applyBorder="1" applyAlignment="1">
      <alignment horizontal="center" vertical="center"/>
    </xf>
    <xf numFmtId="0" fontId="58" fillId="38" borderId="175" xfId="102" applyFont="1" applyFill="1" applyBorder="1" applyAlignment="1">
      <alignment horizontal="center" vertical="center"/>
    </xf>
    <xf numFmtId="0" fontId="58" fillId="38" borderId="176" xfId="102" applyFont="1" applyFill="1" applyBorder="1" applyAlignment="1">
      <alignment horizontal="center" vertical="center"/>
    </xf>
    <xf numFmtId="0" fontId="58" fillId="38" borderId="177" xfId="102" applyFont="1" applyFill="1" applyBorder="1" applyAlignment="1">
      <alignment horizontal="center" vertical="center"/>
    </xf>
    <xf numFmtId="0" fontId="58" fillId="38" borderId="178" xfId="102" applyFont="1" applyFill="1" applyBorder="1" applyAlignment="1">
      <alignment horizontal="center" vertical="center"/>
    </xf>
    <xf numFmtId="0" fontId="58" fillId="38" borderId="179" xfId="102" applyFont="1" applyFill="1" applyBorder="1" applyAlignment="1">
      <alignment horizontal="center" vertical="center"/>
    </xf>
    <xf numFmtId="0" fontId="58" fillId="38" borderId="143" xfId="102" applyFont="1" applyFill="1" applyBorder="1" applyAlignment="1">
      <alignment horizontal="center" vertical="center" wrapText="1"/>
    </xf>
    <xf numFmtId="0" fontId="58" fillId="38" borderId="144" xfId="102" applyFont="1" applyFill="1" applyBorder="1" applyAlignment="1">
      <alignment horizontal="center" vertical="center" wrapText="1"/>
    </xf>
    <xf numFmtId="0" fontId="58" fillId="38" borderId="145" xfId="102" applyFont="1" applyFill="1" applyBorder="1" applyAlignment="1">
      <alignment horizontal="center" vertical="center" wrapText="1"/>
    </xf>
    <xf numFmtId="0" fontId="58" fillId="38" borderId="81" xfId="102" applyFont="1" applyFill="1" applyBorder="1" applyAlignment="1">
      <alignment horizontal="center" vertical="center" wrapText="1"/>
    </xf>
    <xf numFmtId="0" fontId="58" fillId="38" borderId="0" xfId="102" applyFont="1" applyFill="1" applyAlignment="1">
      <alignment horizontal="center" vertical="center" wrapText="1"/>
    </xf>
    <xf numFmtId="0" fontId="58" fillId="38" borderId="82" xfId="102" applyFont="1" applyFill="1" applyBorder="1" applyAlignment="1">
      <alignment horizontal="center" vertical="center" wrapText="1"/>
    </xf>
    <xf numFmtId="0" fontId="58" fillId="38" borderId="144" xfId="102" applyFont="1" applyFill="1" applyBorder="1" applyAlignment="1">
      <alignment horizontal="center" vertical="center"/>
    </xf>
    <xf numFmtId="0" fontId="58" fillId="38" borderId="145" xfId="102" applyFont="1" applyFill="1" applyBorder="1" applyAlignment="1">
      <alignment horizontal="center" vertical="center"/>
    </xf>
    <xf numFmtId="0" fontId="58" fillId="38" borderId="0" xfId="102" applyFont="1" applyFill="1" applyAlignment="1">
      <alignment horizontal="center" vertical="center"/>
    </xf>
    <xf numFmtId="0" fontId="71" fillId="0" borderId="82" xfId="0" applyFont="1" applyBorder="1" applyAlignment="1">
      <alignment horizontal="center" vertical="center"/>
    </xf>
    <xf numFmtId="0" fontId="76" fillId="0" borderId="180" xfId="102" applyFont="1" applyBorder="1" applyAlignment="1">
      <alignment vertical="center"/>
    </xf>
    <xf numFmtId="0" fontId="76" fillId="0" borderId="181" xfId="102" applyFont="1" applyBorder="1" applyAlignment="1">
      <alignment vertical="center"/>
    </xf>
    <xf numFmtId="0" fontId="76" fillId="0" borderId="182" xfId="102" applyFont="1" applyBorder="1" applyAlignment="1">
      <alignment vertical="center"/>
    </xf>
    <xf numFmtId="0" fontId="45" fillId="0" borderId="181" xfId="102" applyFont="1" applyBorder="1"/>
    <xf numFmtId="0" fontId="45" fillId="0" borderId="182" xfId="102" applyFont="1" applyBorder="1"/>
    <xf numFmtId="0" fontId="7" fillId="0" borderId="184" xfId="102" applyFont="1" applyBorder="1" applyAlignment="1">
      <alignment horizontal="left" vertical="center"/>
    </xf>
    <xf numFmtId="0" fontId="7" fillId="0" borderId="185" xfId="102" applyFont="1" applyBorder="1" applyAlignment="1">
      <alignment horizontal="left" vertical="center"/>
    </xf>
    <xf numFmtId="0" fontId="7" fillId="0" borderId="186" xfId="102" applyFont="1" applyBorder="1" applyAlignment="1">
      <alignment horizontal="left" vertical="center"/>
    </xf>
    <xf numFmtId="178" fontId="7" fillId="0" borderId="184" xfId="102" quotePrefix="1" applyNumberFormat="1" applyFont="1" applyBorder="1" applyAlignment="1">
      <alignment horizontal="right" vertical="center"/>
    </xf>
    <xf numFmtId="178" fontId="10" fillId="0" borderId="186" xfId="0" applyNumberFormat="1" applyFont="1" applyBorder="1" applyAlignment="1">
      <alignment horizontal="right" vertical="center"/>
    </xf>
    <xf numFmtId="0" fontId="18" fillId="0" borderId="190" xfId="102" applyFont="1" applyBorder="1" applyAlignment="1">
      <alignment horizontal="left" vertical="center"/>
    </xf>
    <xf numFmtId="0" fontId="18" fillId="0" borderId="191" xfId="102" applyFont="1" applyBorder="1" applyAlignment="1">
      <alignment horizontal="left" vertical="center"/>
    </xf>
    <xf numFmtId="0" fontId="18" fillId="0" borderId="192" xfId="102" applyFont="1" applyBorder="1" applyAlignment="1">
      <alignment horizontal="left" vertical="center"/>
    </xf>
    <xf numFmtId="178" fontId="58" fillId="0" borderId="190" xfId="102" quotePrefix="1" applyNumberFormat="1" applyFont="1" applyBorder="1" applyAlignment="1">
      <alignment horizontal="right" vertical="center"/>
    </xf>
    <xf numFmtId="178" fontId="58" fillId="0" borderId="192" xfId="102" quotePrefix="1" applyNumberFormat="1" applyFont="1" applyBorder="1" applyAlignment="1">
      <alignment horizontal="right" vertical="center"/>
    </xf>
    <xf numFmtId="0" fontId="58" fillId="0" borderId="184" xfId="102" applyFont="1" applyBorder="1" applyAlignment="1">
      <alignment horizontal="left" vertical="center"/>
    </xf>
    <xf numFmtId="0" fontId="58" fillId="0" borderId="185" xfId="102" applyFont="1" applyBorder="1" applyAlignment="1">
      <alignment horizontal="left" vertical="center"/>
    </xf>
    <xf numFmtId="0" fontId="18" fillId="0" borderId="197" xfId="102" applyFont="1" applyBorder="1" applyAlignment="1">
      <alignment horizontal="left" vertical="center"/>
    </xf>
    <xf numFmtId="0" fontId="18" fillId="0" borderId="198" xfId="102" applyFont="1" applyBorder="1" applyAlignment="1">
      <alignment horizontal="left" vertical="center"/>
    </xf>
    <xf numFmtId="178" fontId="58" fillId="0" borderId="197" xfId="102" quotePrefix="1" applyNumberFormat="1" applyFont="1" applyBorder="1" applyAlignment="1">
      <alignment horizontal="right" vertical="center"/>
    </xf>
    <xf numFmtId="178" fontId="58" fillId="0" borderId="202" xfId="102" quotePrefix="1" applyNumberFormat="1" applyFont="1" applyBorder="1" applyAlignment="1">
      <alignment horizontal="right" vertical="center"/>
    </xf>
    <xf numFmtId="0" fontId="58" fillId="0" borderId="48" xfId="102" applyFont="1" applyBorder="1" applyAlignment="1">
      <alignment horizontal="right" vertical="center"/>
    </xf>
    <xf numFmtId="0" fontId="58" fillId="0" borderId="119" xfId="102" applyFont="1" applyBorder="1" applyAlignment="1">
      <alignment horizontal="right" vertical="center"/>
    </xf>
    <xf numFmtId="0" fontId="58" fillId="0" borderId="167" xfId="102" applyFont="1" applyBorder="1" applyAlignment="1">
      <alignment horizontal="right" vertical="center"/>
    </xf>
    <xf numFmtId="178" fontId="7" fillId="0" borderId="48" xfId="102" quotePrefix="1" applyNumberFormat="1" applyFont="1" applyBorder="1" applyAlignment="1">
      <alignment horizontal="right" vertical="center"/>
    </xf>
    <xf numFmtId="178" fontId="7" fillId="0" borderId="167" xfId="102" quotePrefix="1" applyNumberFormat="1" applyFont="1" applyBorder="1" applyAlignment="1">
      <alignment horizontal="right" vertical="center"/>
    </xf>
    <xf numFmtId="0" fontId="76" fillId="0" borderId="174" xfId="102" applyFont="1" applyBorder="1" applyAlignment="1">
      <alignment horizontal="left" vertical="center" indent="1"/>
    </xf>
    <xf numFmtId="0" fontId="76" fillId="0" borderId="175" xfId="102" applyFont="1" applyBorder="1" applyAlignment="1">
      <alignment horizontal="left" vertical="center" indent="1"/>
    </xf>
    <xf numFmtId="0" fontId="76" fillId="0" borderId="176" xfId="102" applyFont="1" applyBorder="1" applyAlignment="1">
      <alignment horizontal="left" vertical="center" indent="1"/>
    </xf>
    <xf numFmtId="178" fontId="18" fillId="0" borderId="206" xfId="102" quotePrefix="1" applyNumberFormat="1" applyFont="1" applyBorder="1" applyAlignment="1">
      <alignment horizontal="right" vertical="center"/>
    </xf>
    <xf numFmtId="178" fontId="0" fillId="0" borderId="207" xfId="0" applyNumberFormat="1" applyBorder="1" applyAlignment="1">
      <alignment horizontal="right" vertical="center"/>
    </xf>
    <xf numFmtId="0" fontId="7" fillId="0" borderId="208" xfId="102" applyFont="1" applyBorder="1" applyAlignment="1">
      <alignment horizontal="left" vertical="center" indent="1"/>
    </xf>
    <xf numFmtId="0" fontId="7" fillId="0" borderId="209" xfId="102" applyFont="1" applyBorder="1" applyAlignment="1">
      <alignment horizontal="left" vertical="center" indent="1"/>
    </xf>
    <xf numFmtId="0" fontId="7" fillId="0" borderId="206" xfId="102" applyFont="1" applyBorder="1" applyAlignment="1">
      <alignment horizontal="left" vertical="center" indent="1"/>
    </xf>
    <xf numFmtId="178" fontId="18" fillId="0" borderId="189" xfId="102" quotePrefix="1" applyNumberFormat="1" applyFont="1" applyBorder="1" applyAlignment="1">
      <alignment horizontal="right" vertical="center"/>
    </xf>
    <xf numFmtId="178" fontId="0" fillId="0" borderId="186" xfId="0" applyNumberFormat="1" applyBorder="1" applyAlignment="1">
      <alignment horizontal="right" vertical="center"/>
    </xf>
    <xf numFmtId="0" fontId="7" fillId="0" borderId="210" xfId="102" applyFont="1" applyBorder="1" applyAlignment="1">
      <alignment horizontal="left" vertical="center" indent="1"/>
    </xf>
    <xf numFmtId="0" fontId="7" fillId="0" borderId="211" xfId="102" applyFont="1" applyBorder="1" applyAlignment="1">
      <alignment horizontal="left" vertical="center" indent="1"/>
    </xf>
    <xf numFmtId="0" fontId="7" fillId="0" borderId="212" xfId="102" applyFont="1" applyBorder="1" applyAlignment="1">
      <alignment horizontal="left" vertical="center" indent="1"/>
    </xf>
    <xf numFmtId="178" fontId="18" fillId="0" borderId="163" xfId="102" quotePrefix="1" applyNumberFormat="1" applyFont="1" applyBorder="1" applyAlignment="1">
      <alignment horizontal="center" vertical="center"/>
    </xf>
    <xf numFmtId="178" fontId="18" fillId="0" borderId="172" xfId="102" quotePrefix="1" applyNumberFormat="1" applyFont="1" applyBorder="1" applyAlignment="1">
      <alignment horizontal="center" vertical="center"/>
    </xf>
    <xf numFmtId="0" fontId="76" fillId="38" borderId="52" xfId="102" applyFont="1" applyFill="1" applyBorder="1" applyAlignment="1">
      <alignment horizontal="left" vertical="center"/>
    </xf>
    <xf numFmtId="0" fontId="78" fillId="38" borderId="52" xfId="0" applyFont="1" applyFill="1" applyBorder="1" applyAlignment="1">
      <alignment horizontal="left" vertical="center"/>
    </xf>
    <xf numFmtId="0" fontId="79" fillId="39" borderId="52" xfId="0" applyFont="1" applyFill="1" applyBorder="1" applyAlignment="1">
      <alignment horizontal="left" vertical="center"/>
    </xf>
    <xf numFmtId="0" fontId="0" fillId="0" borderId="52" xfId="0" applyBorder="1" applyAlignment="1">
      <alignment vertical="center"/>
    </xf>
    <xf numFmtId="0" fontId="78" fillId="38" borderId="52" xfId="0" applyFont="1" applyFill="1" applyBorder="1" applyAlignment="1">
      <alignment vertical="center"/>
    </xf>
    <xf numFmtId="0" fontId="0" fillId="0" borderId="52" xfId="0" applyBorder="1" applyAlignment="1">
      <alignment horizontal="left" vertical="center"/>
    </xf>
    <xf numFmtId="0" fontId="0" fillId="39" borderId="52" xfId="0" applyFill="1" applyBorder="1"/>
    <xf numFmtId="0" fontId="8" fillId="39" borderId="56" xfId="0" applyFont="1" applyFill="1" applyBorder="1" applyAlignment="1" applyProtection="1">
      <alignment horizontal="left" vertical="center"/>
      <protection locked="0"/>
    </xf>
    <xf numFmtId="0" fontId="45" fillId="39" borderId="180" xfId="102" applyFont="1" applyFill="1" applyBorder="1" applyAlignment="1">
      <alignment horizontal="left" vertical="center"/>
    </xf>
    <xf numFmtId="0" fontId="0" fillId="0" borderId="181" xfId="0" applyBorder="1"/>
    <xf numFmtId="0" fontId="0" fillId="0" borderId="182" xfId="0" applyBorder="1"/>
    <xf numFmtId="0" fontId="76" fillId="38" borderId="56" xfId="102" applyFont="1" applyFill="1" applyBorder="1" applyAlignment="1">
      <alignment horizontal="left" vertical="center"/>
    </xf>
    <xf numFmtId="0" fontId="8" fillId="39" borderId="56" xfId="102" applyFill="1" applyBorder="1" applyAlignment="1" applyProtection="1">
      <alignment horizontal="left" vertical="center" wrapText="1"/>
      <protection locked="0"/>
    </xf>
    <xf numFmtId="0" fontId="0" fillId="0" borderId="56" xfId="0" applyBorder="1" applyAlignment="1" applyProtection="1">
      <alignment horizontal="left" vertical="center"/>
      <protection locked="0"/>
    </xf>
    <xf numFmtId="0" fontId="78" fillId="38" borderId="56" xfId="0" applyFont="1" applyFill="1" applyBorder="1" applyAlignment="1">
      <alignment horizontal="left" vertical="center"/>
    </xf>
    <xf numFmtId="0" fontId="8" fillId="0" borderId="55" xfId="0" applyFont="1" applyBorder="1" applyAlignment="1" applyProtection="1">
      <alignment vertical="center" wrapText="1"/>
      <protection locked="0"/>
    </xf>
    <xf numFmtId="0" fontId="8" fillId="0" borderId="47" xfId="0" applyFont="1" applyBorder="1" applyAlignment="1" applyProtection="1">
      <alignment vertical="center" wrapText="1"/>
      <protection locked="0"/>
    </xf>
    <xf numFmtId="0" fontId="8" fillId="0" borderId="169" xfId="0" applyFont="1" applyBorder="1" applyAlignment="1" applyProtection="1">
      <alignment vertical="center" wrapText="1"/>
      <protection locked="0"/>
    </xf>
    <xf numFmtId="0" fontId="78" fillId="38" borderId="56" xfId="0" applyFont="1" applyFill="1" applyBorder="1" applyAlignment="1">
      <alignment vertical="center"/>
    </xf>
    <xf numFmtId="0" fontId="8" fillId="39" borderId="56" xfId="0" applyFont="1" applyFill="1" applyBorder="1" applyAlignment="1" applyProtection="1">
      <alignment horizontal="left" vertical="center" wrapText="1"/>
      <protection locked="0"/>
    </xf>
    <xf numFmtId="0" fontId="19" fillId="39" borderId="184" xfId="102" applyFont="1" applyFill="1" applyBorder="1" applyAlignment="1">
      <alignment horizontal="left" vertical="center"/>
    </xf>
    <xf numFmtId="0" fontId="72" fillId="39" borderId="185" xfId="0" applyFont="1" applyFill="1" applyBorder="1" applyAlignment="1">
      <alignment vertical="center"/>
    </xf>
    <xf numFmtId="0" fontId="72" fillId="39" borderId="186" xfId="0" applyFont="1" applyFill="1" applyBorder="1" applyAlignment="1">
      <alignment vertical="center"/>
    </xf>
    <xf numFmtId="0" fontId="8" fillId="39" borderId="56" xfId="102" applyFill="1" applyBorder="1" applyAlignment="1" applyProtection="1">
      <alignment horizontal="left" vertical="center"/>
      <protection locked="0"/>
    </xf>
    <xf numFmtId="0" fontId="8" fillId="0" borderId="56" xfId="0" applyFont="1" applyBorder="1" applyAlignment="1" applyProtection="1">
      <alignment vertical="center"/>
      <protection locked="0"/>
    </xf>
    <xf numFmtId="0" fontId="45" fillId="39" borderId="197" xfId="102" applyFont="1" applyFill="1" applyBorder="1" applyAlignment="1">
      <alignment horizontal="left" vertical="center" indent="1"/>
    </xf>
    <xf numFmtId="0" fontId="0" fillId="39" borderId="198" xfId="0" applyFill="1" applyBorder="1" applyAlignment="1">
      <alignment horizontal="left" vertical="center" indent="1"/>
    </xf>
    <xf numFmtId="0" fontId="0" fillId="39" borderId="202" xfId="0" applyFill="1" applyBorder="1" applyAlignment="1">
      <alignment horizontal="left" vertical="center" indent="1"/>
    </xf>
    <xf numFmtId="0" fontId="80" fillId="39" borderId="0" xfId="102" applyFont="1" applyFill="1" applyAlignment="1">
      <alignment horizontal="left" vertical="center" indent="1"/>
    </xf>
    <xf numFmtId="0" fontId="76" fillId="39" borderId="36" xfId="102" applyFont="1" applyFill="1" applyBorder="1" applyAlignment="1">
      <alignment horizontal="center" vertical="center" wrapText="1"/>
    </xf>
    <xf numFmtId="0" fontId="19" fillId="39" borderId="36" xfId="102" applyFont="1" applyFill="1" applyBorder="1" applyAlignment="1">
      <alignment horizontal="center" vertical="center"/>
    </xf>
    <xf numFmtId="0" fontId="80" fillId="39" borderId="36" xfId="102" applyFont="1" applyFill="1" applyBorder="1" applyAlignment="1">
      <alignment horizontal="center" vertical="center"/>
    </xf>
    <xf numFmtId="0" fontId="80" fillId="39" borderId="0" xfId="102" applyFont="1" applyFill="1" applyAlignment="1">
      <alignment horizontal="left" vertical="center"/>
    </xf>
    <xf numFmtId="0" fontId="76" fillId="38" borderId="57" xfId="102" applyFont="1" applyFill="1" applyBorder="1" applyAlignment="1">
      <alignment horizontal="left" vertical="center"/>
    </xf>
    <xf numFmtId="0" fontId="8" fillId="39" borderId="57" xfId="102" applyFill="1" applyBorder="1" applyAlignment="1">
      <alignment horizontal="left" vertical="center"/>
    </xf>
    <xf numFmtId="0" fontId="0" fillId="0" borderId="57" xfId="0" applyBorder="1" applyAlignment="1">
      <alignment vertical="center"/>
    </xf>
    <xf numFmtId="0" fontId="78" fillId="38" borderId="57" xfId="0" applyFont="1" applyFill="1" applyBorder="1" applyAlignment="1">
      <alignment vertical="center"/>
    </xf>
    <xf numFmtId="0" fontId="0" fillId="0" borderId="57" xfId="0" applyBorder="1"/>
    <xf numFmtId="0" fontId="0" fillId="39" borderId="57" xfId="0" applyFill="1" applyBorder="1"/>
    <xf numFmtId="0" fontId="18" fillId="0" borderId="17" xfId="59" applyFont="1" applyBorder="1" applyAlignment="1">
      <alignment horizontal="center"/>
    </xf>
    <xf numFmtId="0" fontId="18" fillId="0" borderId="0" xfId="59" applyFont="1" applyAlignment="1">
      <alignment horizontal="center"/>
    </xf>
    <xf numFmtId="2" fontId="91" fillId="0" borderId="230" xfId="103" applyFont="1" applyBorder="1" applyAlignment="1">
      <alignment horizontal="left"/>
    </xf>
    <xf numFmtId="2" fontId="91" fillId="0" borderId="185" xfId="103" applyFont="1" applyBorder="1" applyAlignment="1">
      <alignment horizontal="left"/>
    </xf>
    <xf numFmtId="2" fontId="91" fillId="0" borderId="231" xfId="103" applyFont="1" applyBorder="1" applyAlignment="1">
      <alignment horizontal="left"/>
    </xf>
    <xf numFmtId="39" fontId="85" fillId="0" borderId="143" xfId="103" applyNumberFormat="1" applyFont="1" applyBorder="1" applyAlignment="1">
      <alignment horizontal="center" vertical="center"/>
    </xf>
    <xf numFmtId="39" fontId="85" fillId="0" borderId="79" xfId="103" applyNumberFormat="1" applyFont="1" applyBorder="1" applyAlignment="1">
      <alignment horizontal="center" vertical="center"/>
    </xf>
    <xf numFmtId="39" fontId="85" fillId="0" borderId="80" xfId="103" applyNumberFormat="1" applyFont="1" applyBorder="1" applyAlignment="1">
      <alignment horizontal="center" vertical="center"/>
    </xf>
    <xf numFmtId="39" fontId="85" fillId="0" borderId="171" xfId="103" applyNumberFormat="1" applyFont="1" applyBorder="1" applyAlignment="1">
      <alignment horizontal="center" vertical="center"/>
    </xf>
    <xf numFmtId="39" fontId="85" fillId="0" borderId="163" xfId="103" applyNumberFormat="1" applyFont="1" applyBorder="1" applyAlignment="1">
      <alignment horizontal="center" vertical="center"/>
    </xf>
    <xf numFmtId="39" fontId="85" fillId="0" borderId="172" xfId="103" applyNumberFormat="1" applyFont="1" applyBorder="1" applyAlignment="1">
      <alignment horizontal="center" vertical="center"/>
    </xf>
    <xf numFmtId="172" fontId="86" fillId="0" borderId="45" xfId="103" applyNumberFormat="1" applyFont="1" applyBorder="1" applyAlignment="1">
      <alignment horizontal="left"/>
    </xf>
    <xf numFmtId="172" fontId="86" fillId="0" borderId="8" xfId="103" applyNumberFormat="1" applyFont="1" applyBorder="1" applyAlignment="1">
      <alignment horizontal="left"/>
    </xf>
    <xf numFmtId="0" fontId="86" fillId="0" borderId="45" xfId="104" applyNumberFormat="1" applyFont="1" applyBorder="1" applyAlignment="1">
      <alignment horizontal="left"/>
    </xf>
    <xf numFmtId="0" fontId="88" fillId="0" borderId="8" xfId="103" applyNumberFormat="1" applyFont="1" applyBorder="1" applyAlignment="1" applyProtection="1">
      <alignment horizontal="left"/>
      <protection locked="0"/>
    </xf>
    <xf numFmtId="0" fontId="86" fillId="0" borderId="45" xfId="106" applyFont="1" applyBorder="1" applyAlignment="1">
      <alignment horizontal="left"/>
    </xf>
    <xf numFmtId="0" fontId="86" fillId="0" borderId="47" xfId="106" applyFont="1" applyBorder="1" applyAlignment="1">
      <alignment horizontal="left"/>
    </xf>
    <xf numFmtId="0" fontId="86" fillId="0" borderId="169" xfId="106" applyFont="1" applyBorder="1" applyAlignment="1">
      <alignment horizontal="left"/>
    </xf>
    <xf numFmtId="39" fontId="7" fillId="0" borderId="48" xfId="103" applyNumberFormat="1" applyFont="1" applyBorder="1" applyAlignment="1">
      <alignment horizontal="center" vertical="center"/>
    </xf>
    <xf numFmtId="39" fontId="7" fillId="0" borderId="119" xfId="103" applyNumberFormat="1" applyFont="1" applyBorder="1" applyAlignment="1">
      <alignment horizontal="center" vertical="center"/>
    </xf>
    <xf numFmtId="39" fontId="7" fillId="0" borderId="167" xfId="103" applyNumberFormat="1" applyFont="1" applyBorder="1" applyAlignment="1">
      <alignment horizontal="center" vertical="center"/>
    </xf>
    <xf numFmtId="39" fontId="7" fillId="0" borderId="226" xfId="103" applyNumberFormat="1" applyFont="1" applyBorder="1" applyAlignment="1">
      <alignment horizontal="center" vertical="center" wrapText="1"/>
    </xf>
    <xf numFmtId="0" fontId="89" fillId="0" borderId="119" xfId="103" applyNumberFormat="1" applyFont="1" applyBorder="1" applyAlignment="1" applyProtection="1">
      <alignment horizontal="center" vertical="center" wrapText="1"/>
      <protection locked="0"/>
    </xf>
    <xf numFmtId="0" fontId="89" fillId="0" borderId="227" xfId="103" applyNumberFormat="1" applyFont="1" applyBorder="1" applyAlignment="1" applyProtection="1">
      <alignment horizontal="center" vertical="center" wrapText="1"/>
      <protection locked="0"/>
    </xf>
    <xf numFmtId="180" fontId="58" fillId="0" borderId="17" xfId="0" applyNumberFormat="1" applyFont="1" applyBorder="1" applyAlignment="1" applyProtection="1">
      <alignment horizontal="left"/>
      <protection locked="0"/>
    </xf>
    <xf numFmtId="180" fontId="58" fillId="0" borderId="0" xfId="0" applyNumberFormat="1" applyFont="1" applyAlignment="1" applyProtection="1">
      <alignment horizontal="left"/>
      <protection locked="0"/>
    </xf>
    <xf numFmtId="180" fontId="58" fillId="0" borderId="14" xfId="0" applyNumberFormat="1" applyFont="1" applyBorder="1" applyAlignment="1" applyProtection="1">
      <alignment horizontal="left"/>
      <protection locked="0"/>
    </xf>
    <xf numFmtId="2" fontId="91" fillId="0" borderId="230" xfId="103" applyFont="1" applyBorder="1"/>
    <xf numFmtId="2" fontId="91" fillId="0" borderId="185" xfId="103" applyFont="1" applyBorder="1"/>
    <xf numFmtId="2" fontId="91" fillId="0" borderId="231" xfId="103" applyFont="1" applyBorder="1"/>
    <xf numFmtId="2" fontId="91" fillId="0" borderId="238" xfId="103" applyFont="1" applyBorder="1" applyAlignment="1">
      <alignment horizontal="left"/>
    </xf>
    <xf numFmtId="2" fontId="91" fillId="0" borderId="198" xfId="103" applyFont="1" applyBorder="1" applyAlignment="1">
      <alignment horizontal="left"/>
    </xf>
    <xf numFmtId="2" fontId="91" fillId="0" borderId="239" xfId="103" applyFont="1" applyBorder="1" applyAlignment="1">
      <alignment horizontal="left"/>
    </xf>
    <xf numFmtId="0" fontId="42" fillId="36" borderId="0" xfId="0" applyFont="1" applyFill="1" applyAlignment="1">
      <alignment horizontal="center" vertical="center"/>
    </xf>
    <xf numFmtId="0" fontId="17" fillId="2" borderId="23" xfId="0" applyFont="1" applyFill="1" applyBorder="1" applyAlignment="1">
      <alignment horizontal="left" vertical="center"/>
    </xf>
    <xf numFmtId="49" fontId="5" fillId="0" borderId="17" xfId="0" applyNumberFormat="1" applyFont="1" applyBorder="1" applyAlignment="1">
      <alignment horizontal="left" vertical="center" wrapText="1" indent="1"/>
    </xf>
    <xf numFmtId="49" fontId="5" fillId="0" borderId="0" xfId="0" applyNumberFormat="1" applyFont="1" applyAlignment="1">
      <alignment horizontal="left" vertical="center" wrapText="1" indent="1"/>
    </xf>
    <xf numFmtId="49" fontId="5" fillId="0" borderId="9" xfId="0" applyNumberFormat="1" applyFont="1" applyBorder="1" applyAlignment="1">
      <alignment horizontal="left" vertical="center" wrapText="1" indent="1"/>
    </xf>
    <xf numFmtId="49" fontId="5" fillId="0" borderId="10" xfId="0" applyNumberFormat="1" applyFont="1" applyBorder="1" applyAlignment="1">
      <alignment horizontal="left" vertical="center" wrapText="1" indent="1"/>
    </xf>
    <xf numFmtId="49" fontId="5" fillId="0" borderId="17" xfId="0" applyNumberFormat="1" applyFont="1" applyBorder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22" xfId="0" applyNumberFormat="1" applyFont="1" applyBorder="1" applyAlignment="1">
      <alignment horizontal="center" vertical="center" wrapText="1"/>
    </xf>
    <xf numFmtId="164" fontId="19" fillId="0" borderId="13" xfId="0" applyNumberFormat="1" applyFont="1" applyFill="1" applyBorder="1" applyAlignment="1">
      <alignment horizontal="right"/>
    </xf>
    <xf numFmtId="164" fontId="19" fillId="0" borderId="264" xfId="0" applyNumberFormat="1" applyFont="1" applyFill="1" applyBorder="1" applyAlignment="1">
      <alignment horizontal="right"/>
    </xf>
    <xf numFmtId="49" fontId="19" fillId="0" borderId="13" xfId="0" applyNumberFormat="1" applyFont="1" applyFill="1" applyBorder="1" applyAlignment="1">
      <alignment horizontal="left" vertical="top" wrapText="1"/>
    </xf>
  </cellXfs>
  <cellStyles count="11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omma [2]" xfId="29" xr:uid="{00000000-0005-0000-0000-00001C000000}"/>
    <cellStyle name="Comma [2] 2" xfId="87" xr:uid="{00000000-0005-0000-0000-00001D000000}"/>
    <cellStyle name="Comma [2] 3" xfId="94" xr:uid="{00000000-0005-0000-0000-00001E000000}"/>
    <cellStyle name="Comma [2] 4" xfId="85" xr:uid="{00000000-0005-0000-0000-00001F000000}"/>
    <cellStyle name="Comma [2] 5" xfId="88" xr:uid="{00000000-0005-0000-0000-000020000000}"/>
    <cellStyle name="Comma [2] 6" xfId="89" xr:uid="{00000000-0005-0000-0000-000021000000}"/>
    <cellStyle name="Comma [2] 7" xfId="92" xr:uid="{00000000-0005-0000-0000-000022000000}"/>
    <cellStyle name="Comma [2] 8" xfId="84" xr:uid="{00000000-0005-0000-0000-000023000000}"/>
    <cellStyle name="Comma 10" xfId="93" xr:uid="{00000000-0005-0000-0000-000024000000}"/>
    <cellStyle name="Comma 11" xfId="90" xr:uid="{00000000-0005-0000-0000-000025000000}"/>
    <cellStyle name="Comma 12" xfId="98" xr:uid="{00000000-0005-0000-0000-000026000000}"/>
    <cellStyle name="Comma 13" xfId="78" xr:uid="{00000000-0005-0000-0000-000027000000}"/>
    <cellStyle name="Comma 14" xfId="99" xr:uid="{00000000-0005-0000-0000-000028000000}"/>
    <cellStyle name="Comma 2" xfId="76" xr:uid="{00000000-0005-0000-0000-000029000000}"/>
    <cellStyle name="Comma 2 2" xfId="95" xr:uid="{00000000-0005-0000-0000-00002A000000}"/>
    <cellStyle name="Comma 2 3" xfId="86" xr:uid="{00000000-0005-0000-0000-00002B000000}"/>
    <cellStyle name="Comma 3" xfId="83" xr:uid="{00000000-0005-0000-0000-00002C000000}"/>
    <cellStyle name="Comma 4" xfId="75" xr:uid="{00000000-0005-0000-0000-00002D000000}"/>
    <cellStyle name="Comma 5" xfId="30" xr:uid="{00000000-0005-0000-0000-00002E000000}"/>
    <cellStyle name="Comma 6" xfId="82" xr:uid="{00000000-0005-0000-0000-00002F000000}"/>
    <cellStyle name="Comma 7" xfId="91" xr:uid="{00000000-0005-0000-0000-000030000000}"/>
    <cellStyle name="Comma 8" xfId="81" xr:uid="{00000000-0005-0000-0000-000031000000}"/>
    <cellStyle name="Comma 9" xfId="97" xr:uid="{00000000-0005-0000-0000-000032000000}"/>
    <cellStyle name="Comma_mater copy - certificates - 12-7-06 5" xfId="104" xr:uid="{00000000-0005-0000-0000-000033000000}"/>
    <cellStyle name="Comma0" xfId="31" xr:uid="{00000000-0005-0000-0000-000034000000}"/>
    <cellStyle name="Comma1" xfId="32" xr:uid="{00000000-0005-0000-0000-000035000000}"/>
    <cellStyle name="Comma2" xfId="33" xr:uid="{00000000-0005-0000-0000-000036000000}"/>
    <cellStyle name="Comma3" xfId="34" xr:uid="{00000000-0005-0000-0000-000037000000}"/>
    <cellStyle name="Currency" xfId="109" builtinId="4"/>
    <cellStyle name="Currency 2" xfId="35" xr:uid="{00000000-0005-0000-0000-000038000000}"/>
    <cellStyle name="Currency 2 2" xfId="36" xr:uid="{00000000-0005-0000-0000-000039000000}"/>
    <cellStyle name="Currency 2 2 2" xfId="37" xr:uid="{00000000-0005-0000-0000-00003A000000}"/>
    <cellStyle name="Currency 3" xfId="38" xr:uid="{00000000-0005-0000-0000-00003B000000}"/>
    <cellStyle name="Currency 3 2" xfId="39" xr:uid="{00000000-0005-0000-0000-00003C000000}"/>
    <cellStyle name="Currency 4" xfId="40" xr:uid="{00000000-0005-0000-0000-00003D000000}"/>
    <cellStyle name="Currency 5" xfId="80" xr:uid="{00000000-0005-0000-0000-00003E000000}"/>
    <cellStyle name="Currency 5 2" xfId="96" xr:uid="{00000000-0005-0000-0000-00003F000000}"/>
    <cellStyle name="Currency 7" xfId="74" xr:uid="{00000000-0005-0000-0000-000040000000}"/>
    <cellStyle name="Date" xfId="41" xr:uid="{00000000-0005-0000-0000-000041000000}"/>
    <cellStyle name="Date [dd-mmm-yy]" xfId="42" xr:uid="{00000000-0005-0000-0000-000042000000}"/>
    <cellStyle name="Date [mmm-yy]" xfId="43" xr:uid="{00000000-0005-0000-0000-000043000000}"/>
    <cellStyle name="Excel Built-in Normal" xfId="108" xr:uid="{C99EF711-8F2F-4F46-83DA-3A7887C8D402}"/>
    <cellStyle name="Explanatory Text" xfId="44" builtinId="53" customBuiltin="1"/>
    <cellStyle name="Fix0" xfId="45" xr:uid="{00000000-0005-0000-0000-000045000000}"/>
    <cellStyle name="Fix1" xfId="46" xr:uid="{00000000-0005-0000-0000-000046000000}"/>
    <cellStyle name="Fix2" xfId="47" xr:uid="{00000000-0005-0000-0000-000047000000}"/>
    <cellStyle name="Fixed" xfId="48" xr:uid="{00000000-0005-0000-0000-000048000000}"/>
    <cellStyle name="Good" xfId="49" builtinId="26" customBuiltin="1"/>
    <cellStyle name="Heading 1" xfId="50" builtinId="16" customBuiltin="1"/>
    <cellStyle name="Heading 2" xfId="51" builtinId="17" customBuiltin="1"/>
    <cellStyle name="Heading 3" xfId="52" builtinId="18" customBuiltin="1"/>
    <cellStyle name="Heading 4" xfId="53" builtinId="19" customBuiltin="1"/>
    <cellStyle name="HEADING1" xfId="54" xr:uid="{00000000-0005-0000-0000-00004E000000}"/>
    <cellStyle name="HEADING2" xfId="55" xr:uid="{00000000-0005-0000-0000-00004F000000}"/>
    <cellStyle name="Input" xfId="56" builtinId="20" customBuiltin="1"/>
    <cellStyle name="Linked Cell" xfId="57" builtinId="24" customBuiltin="1"/>
    <cellStyle name="Neutral" xfId="58" builtinId="28" customBuiltin="1"/>
    <cellStyle name="Normal" xfId="0" builtinId="0"/>
    <cellStyle name="Normal 14" xfId="100" xr:uid="{00000000-0005-0000-0000-000054000000}"/>
    <cellStyle name="Normal 2" xfId="59" xr:uid="{00000000-0005-0000-0000-000055000000}"/>
    <cellStyle name="Normal 2 2" xfId="60" xr:uid="{00000000-0005-0000-0000-000056000000}"/>
    <cellStyle name="Normal 2 3" xfId="61" xr:uid="{00000000-0005-0000-0000-000057000000}"/>
    <cellStyle name="Normal 2 4" xfId="101" xr:uid="{00000000-0005-0000-0000-000058000000}"/>
    <cellStyle name="Normal 3" xfId="62" xr:uid="{00000000-0005-0000-0000-000059000000}"/>
    <cellStyle name="Normal 4" xfId="63" xr:uid="{00000000-0005-0000-0000-00005A000000}"/>
    <cellStyle name="Normal 5" xfId="64" xr:uid="{00000000-0005-0000-0000-00005B000000}"/>
    <cellStyle name="Normal 7" xfId="65" xr:uid="{00000000-0005-0000-0000-00005C000000}"/>
    <cellStyle name="Normal_EC 1" xfId="106" xr:uid="{00000000-0005-0000-0000-00005D000000}"/>
    <cellStyle name="Normal_EC 3" xfId="105" xr:uid="{00000000-0005-0000-0000-00005E000000}"/>
    <cellStyle name="Normal_mater copy - certificates - 12-7-06" xfId="103" xr:uid="{00000000-0005-0000-0000-00005F000000}"/>
    <cellStyle name="Normal_Sundry Payment Request 1" xfId="102" xr:uid="{00000000-0005-0000-0000-000060000000}"/>
    <cellStyle name="Note 2" xfId="66" xr:uid="{00000000-0005-0000-0000-000061000000}"/>
    <cellStyle name="or" xfId="67" xr:uid="{00000000-0005-0000-0000-000062000000}"/>
    <cellStyle name="Output" xfId="68" builtinId="21" customBuiltin="1"/>
    <cellStyle name="Percent" xfId="107" builtinId="5"/>
    <cellStyle name="Percent 2" xfId="69" xr:uid="{00000000-0005-0000-0000-000064000000}"/>
    <cellStyle name="Percent 2 2" xfId="79" xr:uid="{00000000-0005-0000-0000-000065000000}"/>
    <cellStyle name="Percent 3" xfId="77" xr:uid="{00000000-0005-0000-0000-000066000000}"/>
    <cellStyle name="Title 2" xfId="70" xr:uid="{00000000-0005-0000-0000-000067000000}"/>
    <cellStyle name="Total" xfId="71" builtinId="25" customBuiltin="1"/>
    <cellStyle name="Total 2" xfId="72" xr:uid="{00000000-0005-0000-0000-000069000000}"/>
    <cellStyle name="Warning Text" xfId="73" builtinId="11" customBuiltin="1"/>
  </cellStyles>
  <dxfs count="0"/>
  <tableStyles count="0" defaultTableStyle="TableStyleMedium2" defaultPivotStyle="PivotStyleLight16"/>
  <colors>
    <mruColors>
      <color rgb="FFFFFF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4.xml"/><Relationship Id="rId42" Type="http://schemas.openxmlformats.org/officeDocument/2006/relationships/externalLink" Target="externalLinks/externalLink12.xml"/><Relationship Id="rId47" Type="http://schemas.openxmlformats.org/officeDocument/2006/relationships/styles" Target="styles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38" Type="http://schemas.openxmlformats.org/officeDocument/2006/relationships/externalLink" Target="externalLinks/externalLink8.xml"/><Relationship Id="rId46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externalLink" Target="externalLinks/externalLink7.xml"/><Relationship Id="rId40" Type="http://schemas.openxmlformats.org/officeDocument/2006/relationships/externalLink" Target="externalLinks/externalLink10.xml"/><Relationship Id="rId45" Type="http://schemas.openxmlformats.org/officeDocument/2006/relationships/externalLink" Target="externalLinks/externalLink15.xml"/><Relationship Id="rId53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6.xml"/><Relationship Id="rId49" Type="http://schemas.openxmlformats.org/officeDocument/2006/relationships/sheetMetadata" Target="metadata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4" Type="http://schemas.openxmlformats.org/officeDocument/2006/relationships/externalLink" Target="externalLinks/externalLink14.xml"/><Relationship Id="rId52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5.xml"/><Relationship Id="rId43" Type="http://schemas.openxmlformats.org/officeDocument/2006/relationships/externalLink" Target="externalLinks/externalLink1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3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1282700</xdr:colOff>
      <xdr:row>4</xdr:row>
      <xdr:rowOff>112831</xdr:rowOff>
    </xdr:from>
    <xdr:ext cx="1457325" cy="1477843"/>
    <xdr:pic>
      <xdr:nvPicPr>
        <xdr:cNvPr id="2" name="Picture 91" descr="JRA - logo_color">
          <a:extLst>
            <a:ext uri="{FF2B5EF4-FFF2-40B4-BE49-F238E27FC236}">
              <a16:creationId xmlns:a16="http://schemas.microsoft.com/office/drawing/2014/main" id="{214DBF5E-AF74-401B-B524-EAAF3C636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61780" y="1354891"/>
          <a:ext cx="1457325" cy="1477843"/>
        </a:xfrm>
        <a:prstGeom prst="rect">
          <a:avLst/>
        </a:prstGeom>
        <a:noFill/>
      </xdr:spPr>
    </xdr:pic>
    <xdr:clientData/>
  </xdr:oneCellAnchor>
  <xdr:oneCellAnchor>
    <xdr:from>
      <xdr:col>2</xdr:col>
      <xdr:colOff>292100</xdr:colOff>
      <xdr:row>1</xdr:row>
      <xdr:rowOff>190500</xdr:rowOff>
    </xdr:from>
    <xdr:ext cx="1701800" cy="1339850"/>
    <xdr:pic>
      <xdr:nvPicPr>
        <xdr:cNvPr id="3" name="Picture 2" descr="jhb logo">
          <a:extLst>
            <a:ext uri="{FF2B5EF4-FFF2-40B4-BE49-F238E27FC236}">
              <a16:creationId xmlns:a16="http://schemas.microsoft.com/office/drawing/2014/main" id="{E50EC911-DCB3-44A3-B63C-6731AA37B61D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0700" y="388620"/>
          <a:ext cx="1701800" cy="1339850"/>
        </a:xfrm>
        <a:prstGeom prst="rect">
          <a:avLst/>
        </a:prstGeom>
        <a:noFill/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152400</xdr:colOff>
      <xdr:row>0</xdr:row>
      <xdr:rowOff>0</xdr:rowOff>
    </xdr:from>
    <xdr:ext cx="860258" cy="1129632"/>
    <xdr:pic>
      <xdr:nvPicPr>
        <xdr:cNvPr id="2" name="Picture 1">
          <a:extLst>
            <a:ext uri="{FF2B5EF4-FFF2-40B4-BE49-F238E27FC236}">
              <a16:creationId xmlns:a16="http://schemas.microsoft.com/office/drawing/2014/main" id="{F58E0EDB-C359-423A-ABBB-5E50006775E8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087600" y="0"/>
          <a:ext cx="860258" cy="1129632"/>
        </a:xfrm>
        <a:prstGeom prst="rect">
          <a:avLst/>
        </a:prstGeom>
        <a:noFill/>
      </xdr:spPr>
    </xdr:pic>
    <xdr:clientData/>
  </xdr:oneCellAnchor>
  <xdr:oneCellAnchor>
    <xdr:from>
      <xdr:col>1</xdr:col>
      <xdr:colOff>50800</xdr:colOff>
      <xdr:row>0</xdr:row>
      <xdr:rowOff>63500</xdr:rowOff>
    </xdr:from>
    <xdr:ext cx="1271337" cy="1337511"/>
    <xdr:pic>
      <xdr:nvPicPr>
        <xdr:cNvPr id="3" name="Picture 2" descr="jhb logo">
          <a:extLst>
            <a:ext uri="{FF2B5EF4-FFF2-40B4-BE49-F238E27FC236}">
              <a16:creationId xmlns:a16="http://schemas.microsoft.com/office/drawing/2014/main" id="{AFAFF695-C9C2-47A4-92DC-4D0FF5552BB6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02260" y="63500"/>
          <a:ext cx="1271337" cy="1337511"/>
        </a:xfrm>
        <a:prstGeom prst="rect">
          <a:avLst/>
        </a:prstGeom>
        <a:noFill/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</xdr:colOff>
      <xdr:row>0</xdr:row>
      <xdr:rowOff>99060</xdr:rowOff>
    </xdr:from>
    <xdr:to>
      <xdr:col>2</xdr:col>
      <xdr:colOff>403860</xdr:colOff>
      <xdr:row>8</xdr:row>
      <xdr:rowOff>30479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FCB4EC-FC81-481C-963A-6BB54793458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" y="99060"/>
          <a:ext cx="2339340" cy="145541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DMIN\0042\10\00\D\Schedule%20of%20item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11\LAGAUT\admin\370%20civil\A097\00\R\p\Turn%20Key%20Project%20Progress%20Summary(MASTER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%20and%20Settings\rtaljaard\Local%20Settings\Temporary%20Internet%20Files\OLK37\Cashflow%20S108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rtaljaard\Local%20Settings\Temporary%20Internet%20Files\OLK37\Cashflow%20S108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atatise-my.sharepoint.com/2011%2010%2024/Documents%20and%20Settings/rtaljaard/Local%20Settings/Temporary%20Internet%20Files/OLK37/Cashflow%20S108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atatise-my.sharepoint.com/Users/winst/Dropbox/RLM/MLM%20MASAKENG/Payment%20Certificates/No.%2010/10-R-19-MLM-PC%2010%20Masekeng%201.9km%20Roads%20%20Stormwater%20Rev00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2013-2014\DRT%20RISFSA%20CLASS%203%20ROADS\info%20from%20CD\CES%20RRM%20Risfsa%203%20%20-%20%20Info\CES%20Fee%20Account%20Pro-forma\CES%20-%20Invoice%20Proforma%20(2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2011%2010%2024\11829J_Tembisa%20Hospital%20Reconstruction\Admin\Budget\11829J_Fee%20calcs_2003%2012%2008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ojects\T0701-GTM%20Upgrading%20of%20Ntoampe%20Sports%20Facility\Professional%20fee%20Claims\Invoice%20No.%201%20-%20Ntoampe%20Sports%20field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14461_Phalaborwa\Admin\Invoices\No%203\VAT%2002409_14461(3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tx\c\My%20Documents\worksheets-APR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atatise-my.sharepoint.com/14491_Malamulele%20West%20RWS/01%20-%20Admin/03%20-%20Invoices/15/VAT%2004027_14491(1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atatise-my.sharepoint.com/Users/winst/Dropbox/RLM/Orange%20Farm%20Phase%203/JRA_20_133B_BA_W4&amp;131/Payment%20Certificates/Payment%20Certificate%20No.%205%20Approved/Pay05_Bagaphala_28-08-2021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atatise-my.sharepoint.com/Users/Benrom%20Solutions/AppData/Local/Temp/Temp1_Report%20Templates.zip/2020-21/ID%20Profora%20Payment%20Certificate%20Contractor-2020-2021.xlsx" TargetMode="External"/></Relationships>
</file>

<file path=xl/externalLinks/_rels/externalLink1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erald\Desktop\Thaba%20Chweu%20Waste%20Buyback%20and%20Transfer%20Centre%20_%20Bills%20of%20Quantities%20_Rev3.xlsx" TargetMode="External"/><Relationship Id="rId1" Type="http://schemas.openxmlformats.org/officeDocument/2006/relationships/externalLinkPath" Target="/Users/Gerald/Desktop/Thaba%20Chweu%20Waste%20Buyback%20and%20Transfer%20Centre%20_%20Bills%20of%20Quantities%20_Re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ed1"/>
      <sheetName val="Sched2"/>
      <sheetName val="Sched3A"/>
      <sheetName val="Sched3B"/>
      <sheetName val="Sched3C"/>
      <sheetName val="Sched3D"/>
      <sheetName val="SCHED 4A"/>
      <sheetName val="SCHED 4B"/>
      <sheetName val="SCHED 4C"/>
      <sheetName val="SCHED 4D"/>
      <sheetName val="Sched5A"/>
      <sheetName val="Sched5B"/>
      <sheetName val="Sched6A"/>
      <sheetName val="Sched6B"/>
      <sheetName val="SCHED 7A"/>
      <sheetName val="SCHED 7B"/>
      <sheetName val="SCHED 7C"/>
      <sheetName val="Sched8A"/>
      <sheetName val="Sched8B"/>
      <sheetName val="Sched8C"/>
      <sheetName val="Sched9"/>
      <sheetName val="Sched10A"/>
      <sheetName val="Sched10B"/>
      <sheetName val="Sched11A"/>
      <sheetName val="Sched11B"/>
      <sheetName val="Sched12A"/>
      <sheetName val="Sched12B"/>
      <sheetName val="Sched13A"/>
      <sheetName val="Sched13B"/>
      <sheetName val="Summa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GRESS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GRESS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GRESS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GRESS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act Info"/>
      <sheetName val="Cover Sheet"/>
      <sheetName val="Mon Cont Prog Report"/>
      <sheetName val="Dashboard"/>
      <sheetName val="Progress Report"/>
      <sheetName val="S Curve"/>
      <sheetName val="Cessions"/>
      <sheetName val="Material on Site"/>
      <sheetName val="Advance Material"/>
      <sheetName val="Cession Material"/>
      <sheetName val="Payments to Date"/>
      <sheetName val="Sum. VO"/>
      <sheetName val="Comp. Est."/>
      <sheetName val="Sum. Schedules"/>
      <sheetName val="Summary"/>
      <sheetName val="1200A(Gen)"/>
      <sheetName val="1200A(Est)"/>
      <sheetName val="1200A(House,Off)"/>
      <sheetName val="1200C"/>
      <sheetName val="1200A(AccTraf)"/>
      <sheetName val="1200A(Dayw)"/>
      <sheetName val="1200DK(Drains)"/>
      <sheetName val="1200LE"/>
      <sheetName val="1200MK"/>
      <sheetName val="1200ME(borrow)"/>
      <sheetName val="1200DM(earth)"/>
      <sheetName val="1200DM&amp;ME"/>
      <sheetName val="1200ME"/>
      <sheetName val="1200DK"/>
      <sheetName val="1200(signs)"/>
      <sheetName val="1200MM(marks)"/>
      <sheetName val="1200DB"/>
      <sheetName val="1200MJ"/>
      <sheetName val="1200(test)"/>
    </sheetNames>
    <sheetDataSet>
      <sheetData sheetId="0">
        <row r="2">
          <cell r="E2" t="str">
            <v>Rev 3: 18 August 2020</v>
          </cell>
        </row>
        <row r="12">
          <cell r="F12" t="str">
            <v>MIG/FS1271/R,ST/19/20</v>
          </cell>
        </row>
        <row r="14">
          <cell r="F14" t="str">
            <v>Manyatseng: Construction of 1,9km Paved Road and Stormwater in Masakeng</v>
          </cell>
        </row>
        <row r="22">
          <cell r="F22" t="str">
            <v>Metweding Consulting Engineers</v>
          </cell>
        </row>
        <row r="27">
          <cell r="F27" t="str">
            <v>Zalisile Msebenzi Civils</v>
          </cell>
        </row>
        <row r="29">
          <cell r="F29" t="str">
            <v>No 9 Oxford Building, 154 Zastron Street, Westdene, Bloemfontein, 9301</v>
          </cell>
        </row>
        <row r="63">
          <cell r="J63">
            <v>0.8</v>
          </cell>
        </row>
      </sheetData>
      <sheetData sheetId="1">
        <row r="13">
          <cell r="H13">
            <v>44281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Inv"/>
      <sheetName val="F1 Forecast"/>
      <sheetName val="F1  Cover"/>
      <sheetName val="Pg 1 Payment"/>
      <sheetName val="Pg 2 Sum Scheduled"/>
      <sheetName val="Pg 3 Travel"/>
      <sheetName val="Pg 6 VO with CPA"/>
      <sheetName val="Pg 7 VO no CPA"/>
      <sheetName val="Pg 8 Penalties"/>
      <sheetName val="Pg 9 CPA"/>
      <sheetName val="C3.2"/>
      <sheetName val="C3.3"/>
      <sheetName val="C3.4"/>
      <sheetName val="C3.5"/>
      <sheetName val="C3.6"/>
      <sheetName val="C3.7"/>
      <sheetName val="Log"/>
      <sheetName val="RDP11"/>
      <sheetName val="Notes"/>
    </sheetNames>
    <sheetDataSet>
      <sheetData sheetId="0">
        <row r="14">
          <cell r="C14" t="str">
            <v>_____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Fee table"/>
    </sheetNames>
    <sheetDataSet>
      <sheetData sheetId="0"/>
      <sheetData sheetId="1">
        <row r="3">
          <cell r="A3">
            <v>0</v>
          </cell>
          <cell r="B3">
            <v>739000</v>
          </cell>
          <cell r="C3">
            <v>2237</v>
          </cell>
          <cell r="D3">
            <v>0.105</v>
          </cell>
        </row>
        <row r="4">
          <cell r="A4">
            <v>739000</v>
          </cell>
          <cell r="B4">
            <v>1351000</v>
          </cell>
          <cell r="C4">
            <v>9627</v>
          </cell>
          <cell r="D4">
            <v>9.5000000000000001E-2</v>
          </cell>
        </row>
        <row r="5">
          <cell r="A5">
            <v>1351000</v>
          </cell>
          <cell r="B5">
            <v>2038000</v>
          </cell>
          <cell r="C5">
            <v>16382</v>
          </cell>
          <cell r="D5">
            <v>0.09</v>
          </cell>
        </row>
        <row r="6">
          <cell r="A6">
            <v>2038000</v>
          </cell>
          <cell r="B6">
            <v>3045000</v>
          </cell>
          <cell r="C6">
            <v>26572</v>
          </cell>
          <cell r="D6">
            <v>8.5000000000000006E-2</v>
          </cell>
        </row>
        <row r="7">
          <cell r="A7">
            <v>3045000</v>
          </cell>
          <cell r="B7">
            <v>5081000</v>
          </cell>
          <cell r="C7">
            <v>41797</v>
          </cell>
          <cell r="D7">
            <v>0.08</v>
          </cell>
        </row>
        <row r="8">
          <cell r="A8">
            <v>5081000</v>
          </cell>
          <cell r="B8">
            <v>8471000</v>
          </cell>
          <cell r="C8">
            <v>67202</v>
          </cell>
          <cell r="D8">
            <v>7.4999999999999997E-2</v>
          </cell>
        </row>
        <row r="9">
          <cell r="A9">
            <v>8471000</v>
          </cell>
          <cell r="B9">
            <v>13550000</v>
          </cell>
          <cell r="C9">
            <v>109557</v>
          </cell>
          <cell r="D9">
            <v>7.0000000000000007E-2</v>
          </cell>
        </row>
        <row r="10">
          <cell r="A10">
            <v>13550000</v>
          </cell>
          <cell r="B10">
            <v>20326000</v>
          </cell>
          <cell r="C10">
            <v>177307</v>
          </cell>
          <cell r="D10">
            <v>6.5000000000000002E-2</v>
          </cell>
        </row>
        <row r="11">
          <cell r="A11">
            <v>20326000</v>
          </cell>
          <cell r="B11">
            <v>37265000</v>
          </cell>
          <cell r="C11">
            <v>329752</v>
          </cell>
          <cell r="D11">
            <v>5.7500000000000002E-2</v>
          </cell>
        </row>
        <row r="12">
          <cell r="A12">
            <v>37265000</v>
          </cell>
          <cell r="B12">
            <v>60979000</v>
          </cell>
          <cell r="C12">
            <v>516077</v>
          </cell>
          <cell r="D12">
            <v>5.2499999999999998E-2</v>
          </cell>
        </row>
        <row r="13">
          <cell r="A13">
            <v>60979000</v>
          </cell>
          <cell r="B13">
            <v>88081000</v>
          </cell>
          <cell r="C13">
            <v>820972</v>
          </cell>
          <cell r="D13">
            <v>4.7500000000000001E-2</v>
          </cell>
        </row>
        <row r="14">
          <cell r="A14">
            <v>88081000</v>
          </cell>
          <cell r="B14">
            <v>149060000</v>
          </cell>
          <cell r="C14">
            <v>1041175</v>
          </cell>
          <cell r="D14">
            <v>4.4999999999999998E-2</v>
          </cell>
        </row>
        <row r="16">
          <cell r="A16">
            <v>0</v>
          </cell>
          <cell r="B16">
            <v>739000</v>
          </cell>
          <cell r="C16">
            <v>2215</v>
          </cell>
          <cell r="D16">
            <v>0.105</v>
          </cell>
        </row>
        <row r="17">
          <cell r="A17">
            <v>739000</v>
          </cell>
          <cell r="B17">
            <v>1493000</v>
          </cell>
          <cell r="C17">
            <v>9605</v>
          </cell>
          <cell r="D17">
            <v>9.5000000000000001E-2</v>
          </cell>
        </row>
        <row r="18">
          <cell r="A18">
            <v>1493000</v>
          </cell>
          <cell r="B18">
            <v>3732000</v>
          </cell>
          <cell r="C18">
            <v>24535</v>
          </cell>
          <cell r="D18">
            <v>8.5000000000000006E-2</v>
          </cell>
        </row>
        <row r="19">
          <cell r="A19">
            <v>3732000</v>
          </cell>
          <cell r="B19">
            <v>7459000</v>
          </cell>
          <cell r="C19">
            <v>43195</v>
          </cell>
          <cell r="D19">
            <v>0.08</v>
          </cell>
        </row>
        <row r="20">
          <cell r="A20">
            <v>7459000</v>
          </cell>
          <cell r="B20">
            <v>14902000</v>
          </cell>
          <cell r="C20">
            <v>80490</v>
          </cell>
          <cell r="D20">
            <v>7.4999999999999997E-2</v>
          </cell>
        </row>
        <row r="21">
          <cell r="A21">
            <v>14902000</v>
          </cell>
          <cell r="B21">
            <v>37265000</v>
          </cell>
          <cell r="C21">
            <v>155000</v>
          </cell>
          <cell r="D21">
            <v>7.0000000000000007E-2</v>
          </cell>
        </row>
        <row r="22">
          <cell r="A22">
            <v>37265000</v>
          </cell>
          <cell r="B22">
            <v>100000000</v>
          </cell>
          <cell r="C22">
            <v>341325</v>
          </cell>
          <cell r="D22">
            <v>6.5000000000000002E-2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Customize Your Invoice"/>
      <sheetName val="Credit Note.1"/>
      <sheetName val="Inv. 1 Jan. 07"/>
      <sheetName val="Macros"/>
      <sheetName val="ATW"/>
      <sheetName val="Lock"/>
      <sheetName val="Intl Data Table"/>
      <sheetName val="TemplateInformation"/>
    </sheetNames>
    <sheetDataSet>
      <sheetData sheetId="0"/>
      <sheetData sheetId="1">
        <row r="26">
          <cell r="E26" t="str">
            <v>VAT</v>
          </cell>
        </row>
      </sheetData>
      <sheetData sheetId="2"/>
      <sheetData sheetId="3"/>
      <sheetData sheetId="4" refreshError="1"/>
      <sheetData sheetId="5"/>
      <sheetData sheetId="6"/>
      <sheetData sheetId="7"/>
      <sheetData sheetId="8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yment received"/>
      <sheetName val="Delivery"/>
      <sheetName val="PCF"/>
      <sheetName val="CONTROL"/>
      <sheetName val="Cover letter"/>
      <sheetName val="Summary"/>
      <sheetName val="Tax invoice"/>
      <sheetName val="A3"/>
      <sheetName val="A4(A)"/>
      <sheetName val="A4(A.1)"/>
      <sheetName val="Fee civil"/>
      <sheetName val="Fee building"/>
      <sheetName val="Co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4">
          <cell r="A4">
            <v>0</v>
          </cell>
          <cell r="B4">
            <v>643000</v>
          </cell>
          <cell r="C4">
            <v>1943</v>
          </cell>
          <cell r="D4">
            <v>0.105</v>
          </cell>
        </row>
        <row r="5">
          <cell r="A5">
            <v>643000</v>
          </cell>
          <cell r="B5">
            <v>1175000</v>
          </cell>
          <cell r="C5">
            <v>8373</v>
          </cell>
          <cell r="D5">
            <v>9.5000000000000001E-2</v>
          </cell>
        </row>
        <row r="6">
          <cell r="A6">
            <v>1175000</v>
          </cell>
          <cell r="B6">
            <v>1772000</v>
          </cell>
          <cell r="C6">
            <v>14248</v>
          </cell>
          <cell r="D6">
            <v>0.09</v>
          </cell>
        </row>
        <row r="7">
          <cell r="A7">
            <v>1772000</v>
          </cell>
          <cell r="B7">
            <v>2648000</v>
          </cell>
          <cell r="C7">
            <v>23108</v>
          </cell>
          <cell r="D7">
            <v>8.5000000000000006E-2</v>
          </cell>
        </row>
        <row r="8">
          <cell r="A8">
            <v>2648000</v>
          </cell>
          <cell r="B8">
            <v>4418000</v>
          </cell>
          <cell r="C8">
            <v>36348</v>
          </cell>
          <cell r="D8">
            <v>0.08</v>
          </cell>
        </row>
        <row r="9">
          <cell r="A9">
            <v>4418000</v>
          </cell>
          <cell r="B9">
            <v>7366000</v>
          </cell>
          <cell r="C9">
            <v>58438</v>
          </cell>
          <cell r="D9">
            <v>7.4999999999999997E-2</v>
          </cell>
        </row>
        <row r="10">
          <cell r="A10">
            <v>7366000</v>
          </cell>
          <cell r="B10">
            <v>11783000</v>
          </cell>
          <cell r="C10">
            <v>95268</v>
          </cell>
          <cell r="D10">
            <v>7.0000000000000007E-2</v>
          </cell>
        </row>
        <row r="11">
          <cell r="A11">
            <v>11783000</v>
          </cell>
          <cell r="B11">
            <v>17675000</v>
          </cell>
          <cell r="C11">
            <v>154183</v>
          </cell>
          <cell r="D11">
            <v>6.5000000000000002E-2</v>
          </cell>
        </row>
        <row r="12">
          <cell r="A12">
            <v>17675000</v>
          </cell>
          <cell r="B12">
            <v>32404000</v>
          </cell>
          <cell r="C12">
            <v>286746</v>
          </cell>
          <cell r="D12">
            <v>5.7500000000000002E-2</v>
          </cell>
        </row>
        <row r="13">
          <cell r="A13">
            <v>32404000</v>
          </cell>
          <cell r="B13">
            <v>53025000</v>
          </cell>
          <cell r="C13">
            <v>448766</v>
          </cell>
          <cell r="D13">
            <v>5.2499999999999998E-2</v>
          </cell>
        </row>
        <row r="14">
          <cell r="A14">
            <v>53025000</v>
          </cell>
          <cell r="B14">
            <v>76592000</v>
          </cell>
          <cell r="C14">
            <v>713891</v>
          </cell>
          <cell r="D14">
            <v>4.7500000000000001E-2</v>
          </cell>
        </row>
        <row r="19">
          <cell r="A19">
            <v>340000</v>
          </cell>
          <cell r="B19">
            <v>910000</v>
          </cell>
          <cell r="C19">
            <v>42500</v>
          </cell>
          <cell r="D19">
            <v>0.125</v>
          </cell>
        </row>
        <row r="20">
          <cell r="A20">
            <v>910000</v>
          </cell>
          <cell r="B20">
            <v>4570000</v>
          </cell>
          <cell r="C20">
            <v>113750</v>
          </cell>
          <cell r="D20">
            <v>0.1</v>
          </cell>
        </row>
        <row r="21">
          <cell r="A21">
            <v>4570000</v>
          </cell>
          <cell r="B21">
            <v>17100000</v>
          </cell>
          <cell r="C21">
            <v>479750</v>
          </cell>
          <cell r="D21">
            <v>0.08</v>
          </cell>
        </row>
        <row r="22">
          <cell r="A22">
            <v>17100000</v>
          </cell>
          <cell r="B22">
            <v>68400000</v>
          </cell>
          <cell r="C22">
            <v>1482150</v>
          </cell>
          <cell r="D22">
            <v>0.06</v>
          </cell>
        </row>
        <row r="23">
          <cell r="A23">
            <v>68400000</v>
          </cell>
          <cell r="B23">
            <v>280800000</v>
          </cell>
          <cell r="C23">
            <v>4560150</v>
          </cell>
          <cell r="D23">
            <v>5.5E-2</v>
          </cell>
        </row>
      </sheetData>
      <sheetData sheetId="11" refreshError="1"/>
      <sheetData sheetId="1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G10_2_a"/>
      <sheetName val="PG10_2_b"/>
      <sheetName val="PG10_2_c"/>
      <sheetName val="PG2"/>
      <sheetName val="PG1"/>
      <sheetName val="Sheet4"/>
      <sheetName val="Sheet_cpa_a"/>
      <sheetName val="Sheet_cpa_b"/>
      <sheetName val="Sheet_cpa_c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X2" t="str">
            <v>WITWATERSRAND</v>
          </cell>
        </row>
        <row r="3">
          <cell r="X3" t="str">
            <v>JOHANNESBURG</v>
          </cell>
        </row>
        <row r="4">
          <cell r="X4" t="str">
            <v>WITWATERSRAND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b-con cover"/>
      <sheetName val="WIP control (Rev)"/>
      <sheetName val="Payment received"/>
      <sheetName val="Payment Pilo"/>
      <sheetName val="Payment Nditshe"/>
      <sheetName val="Payment Bronz"/>
      <sheetName val="PCF"/>
      <sheetName val="WIP control-signed"/>
      <sheetName val="VDM cover"/>
      <sheetName val="IA - Polokwane"/>
      <sheetName val="Invoice control"/>
      <sheetName val="Tax invoice"/>
      <sheetName val="Statement"/>
      <sheetName val="CoW"/>
      <sheetName val="% fees design P1"/>
      <sheetName val="% fees design P2 RDP"/>
      <sheetName val="% fees implement P1A"/>
      <sheetName val="% fees implement P1B"/>
      <sheetName val="% fees implement P2A"/>
      <sheetName val="Travel time"/>
      <sheetName val="Supervision"/>
      <sheetName val="Time Cost Supv"/>
      <sheetName val="Travel cost"/>
      <sheetName val="Disbursements"/>
      <sheetName val="Specialist"/>
      <sheetName val="Attachments"/>
      <sheetName val="CIVIL FEE SCALES 2008"/>
      <sheetName val="Feasibility (Old)"/>
      <sheetName val="Full WIP (2)"/>
      <sheetName val="Supervision 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3">
          <cell r="A3">
            <v>0</v>
          </cell>
          <cell r="B3">
            <v>400000</v>
          </cell>
          <cell r="C3">
            <v>50000</v>
          </cell>
          <cell r="D3">
            <v>0.125</v>
          </cell>
        </row>
        <row r="4">
          <cell r="A4">
            <v>400000</v>
          </cell>
          <cell r="B4">
            <v>1000000</v>
          </cell>
          <cell r="C4">
            <v>50000</v>
          </cell>
          <cell r="D4">
            <v>0.125</v>
          </cell>
        </row>
        <row r="5">
          <cell r="A5">
            <v>1000000</v>
          </cell>
          <cell r="B5">
            <v>5000000</v>
          </cell>
          <cell r="C5">
            <v>125000</v>
          </cell>
          <cell r="D5">
            <v>0.1</v>
          </cell>
        </row>
        <row r="6">
          <cell r="A6">
            <v>5000000</v>
          </cell>
          <cell r="B6">
            <v>10000000</v>
          </cell>
          <cell r="C6">
            <v>525000</v>
          </cell>
          <cell r="D6">
            <v>0.09</v>
          </cell>
        </row>
        <row r="7">
          <cell r="A7">
            <v>10000000</v>
          </cell>
          <cell r="B7">
            <v>25000000</v>
          </cell>
          <cell r="C7">
            <v>975000</v>
          </cell>
          <cell r="D7">
            <v>0.08</v>
          </cell>
        </row>
        <row r="8">
          <cell r="A8">
            <v>25000000</v>
          </cell>
          <cell r="B8">
            <v>50000000</v>
          </cell>
          <cell r="C8">
            <v>2175000</v>
          </cell>
          <cell r="D8">
            <v>0.06</v>
          </cell>
        </row>
        <row r="9">
          <cell r="A9">
            <v>50000000</v>
          </cell>
          <cell r="B9">
            <v>300000000</v>
          </cell>
          <cell r="C9">
            <v>3675000</v>
          </cell>
          <cell r="D9">
            <v>5.5E-2</v>
          </cell>
        </row>
        <row r="11">
          <cell r="A11">
            <v>0</v>
          </cell>
          <cell r="B11">
            <v>400000</v>
          </cell>
          <cell r="C11">
            <v>20000</v>
          </cell>
          <cell r="D11">
            <v>0.05</v>
          </cell>
        </row>
        <row r="12">
          <cell r="A12">
            <v>400000</v>
          </cell>
          <cell r="B12">
            <v>1000000</v>
          </cell>
          <cell r="C12">
            <v>20000</v>
          </cell>
          <cell r="D12">
            <v>0.05</v>
          </cell>
        </row>
        <row r="13">
          <cell r="A13">
            <v>1000000</v>
          </cell>
          <cell r="B13">
            <v>5000000</v>
          </cell>
          <cell r="C13">
            <v>50000</v>
          </cell>
          <cell r="D13">
            <v>4.4999999999999998E-2</v>
          </cell>
        </row>
        <row r="14">
          <cell r="A14">
            <v>5000000</v>
          </cell>
          <cell r="B14">
            <v>10000000</v>
          </cell>
          <cell r="C14">
            <v>230000</v>
          </cell>
          <cell r="D14">
            <v>0.04</v>
          </cell>
        </row>
        <row r="15">
          <cell r="A15">
            <v>10000000</v>
          </cell>
          <cell r="B15">
            <v>25000000</v>
          </cell>
          <cell r="C15">
            <v>430000</v>
          </cell>
          <cell r="D15">
            <v>0.03</v>
          </cell>
        </row>
        <row r="16">
          <cell r="A16">
            <v>25000000</v>
          </cell>
          <cell r="B16">
            <v>50000000</v>
          </cell>
          <cell r="C16">
            <v>880000</v>
          </cell>
          <cell r="D16">
            <v>0.02</v>
          </cell>
        </row>
        <row r="17">
          <cell r="A17">
            <v>50000000</v>
          </cell>
          <cell r="B17">
            <v>300000000</v>
          </cell>
          <cell r="C17">
            <v>1380000</v>
          </cell>
          <cell r="D17">
            <v>1.4999999999999999E-2</v>
          </cell>
        </row>
      </sheetData>
      <sheetData sheetId="27"/>
      <sheetData sheetId="28"/>
      <sheetData sheetId="2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ecklist"/>
      <sheetName val="RECONCILIATION"/>
      <sheetName val="JRA CERTIFICATE"/>
      <sheetName val="SUNDRY"/>
      <sheetName val="STATEMENT"/>
      <sheetName val="SUMMARY"/>
      <sheetName val="Material on Site"/>
      <sheetName val="SECTION 1200"/>
      <sheetName val="SECTION 1300"/>
      <sheetName val="SECTION 1400 "/>
      <sheetName val="SECTION 1500 "/>
      <sheetName val="SECTION 1600  "/>
      <sheetName val="SECTION 1700  "/>
      <sheetName val="SECTION 1800"/>
      <sheetName val="SECTION 2100 (SMME)   "/>
      <sheetName val="SECTION 2200 (SMME)    "/>
      <sheetName val="SECTION 2300 (SMME)   "/>
      <sheetName val="SECTION 3300   "/>
      <sheetName val="SECTION 3400    "/>
      <sheetName val="SECTION 3500 "/>
      <sheetName val="SECTION 3600    "/>
      <sheetName val="SECTION 4100   "/>
      <sheetName val="SECTION 4200   "/>
      <sheetName val="SECTION 5100 (SMME)    "/>
      <sheetName val="SECTION 5600 (SMME)    "/>
      <sheetName val="SECTION 5700     "/>
      <sheetName val="SECTION 5900      "/>
      <sheetName val="SECTION 7300 (SMME)       "/>
      <sheetName val="SECTION 7400       "/>
      <sheetName val="SECTION 8100     "/>
      <sheetName val="Cash Flow (Bagaphala)"/>
    </sheetNames>
    <sheetDataSet>
      <sheetData sheetId="0"/>
      <sheetData sheetId="1">
        <row r="12">
          <cell r="C12" t="str">
            <v>INAJRA00001</v>
          </cell>
        </row>
        <row r="13">
          <cell r="C13" t="str">
            <v>INAJRA00002</v>
          </cell>
        </row>
        <row r="14">
          <cell r="C14" t="str">
            <v>INAJRA00003</v>
          </cell>
        </row>
      </sheetData>
      <sheetData sheetId="2"/>
      <sheetData sheetId="3"/>
      <sheetData sheetId="4"/>
      <sheetData sheetId="5">
        <row r="30">
          <cell r="G30">
            <v>29939811.460000001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actor Payment Cert"/>
      <sheetName val="Contr.Sundry Payment Request"/>
    </sheetNames>
    <sheetDataSet>
      <sheetData sheetId="0">
        <row r="42">
          <cell r="G42">
            <v>0</v>
          </cell>
        </row>
      </sheetData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ECTION 1200"/>
      <sheetName val="Ps &amp; Gs"/>
      <sheetName val="ADMIN"/>
      <sheetName val="WAREHOUSE"/>
      <sheetName val="G.HOUSE 1"/>
      <sheetName val="G. HOUSE 2"/>
      <sheetName val="TRANSFER"/>
      <sheetName val="WASTE PICK"/>
      <sheetName val="SUMM BLDNG"/>
      <sheetName val="EXT WKS"/>
      <sheetName val="WET SERVICES"/>
      <sheetName val="FIRE SERVICES"/>
      <sheetName val="SUMM MECH"/>
      <sheetName val="Bulk Electrical Infrastructure"/>
      <sheetName val="Site Reticulation"/>
      <sheetName val="Internal Reticulation"/>
      <sheetName val="Earthing"/>
      <sheetName val="Summ Electr"/>
      <sheetName val="PROV SUMS"/>
      <sheetName val="FINAL SUMMARY"/>
    </sheetNames>
    <sheetDataSet>
      <sheetData sheetId="0">
        <row r="107">
          <cell r="G107">
            <v>2155350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"/>
  <sheetViews>
    <sheetView view="pageBreakPreview" topLeftCell="A3" zoomScaleNormal="100" zoomScaleSheetLayoutView="100" workbookViewId="0">
      <selection activeCell="D26" sqref="D25:D26"/>
    </sheetView>
  </sheetViews>
  <sheetFormatPr defaultColWidth="9.36328125" defaultRowHeight="15.5"/>
  <cols>
    <col min="1" max="1" width="10.90625" style="161" customWidth="1"/>
    <col min="2" max="2" width="11.36328125" style="161" customWidth="1"/>
    <col min="3" max="3" width="9.36328125" style="161"/>
    <col min="4" max="4" width="22.36328125" style="161" customWidth="1"/>
    <col min="5" max="5" width="15.54296875" style="161" customWidth="1"/>
    <col min="6" max="6" width="10.36328125" style="161" customWidth="1"/>
    <col min="7" max="7" width="19.36328125" style="161" customWidth="1"/>
    <col min="8" max="16384" width="9.36328125" style="161"/>
  </cols>
  <sheetData>
    <row r="1" spans="1:7" ht="18.5">
      <c r="A1" s="1379" t="s">
        <v>219</v>
      </c>
      <c r="B1" s="1379"/>
      <c r="C1" s="1379"/>
      <c r="D1" s="1379"/>
      <c r="E1" s="1379"/>
      <c r="F1" s="1379"/>
      <c r="G1" s="1379"/>
    </row>
    <row r="2" spans="1:7" ht="18.5">
      <c r="A2" s="1379" t="s">
        <v>220</v>
      </c>
      <c r="B2" s="1379"/>
      <c r="C2" s="1379"/>
      <c r="D2" s="1379"/>
      <c r="E2" s="1379"/>
      <c r="F2" s="1379"/>
      <c r="G2" s="1379"/>
    </row>
    <row r="3" spans="1:7">
      <c r="A3" s="162"/>
      <c r="B3" s="162"/>
      <c r="C3" s="162"/>
      <c r="D3" s="162"/>
      <c r="E3" s="162"/>
      <c r="F3" s="162"/>
      <c r="G3" s="162"/>
    </row>
    <row r="4" spans="1:7" ht="16" thickBot="1">
      <c r="A4" s="162" t="s">
        <v>221</v>
      </c>
      <c r="B4" s="162"/>
      <c r="C4" s="163" t="s">
        <v>222</v>
      </c>
      <c r="D4" s="164"/>
      <c r="E4" s="164"/>
      <c r="F4" s="162"/>
      <c r="G4" s="162"/>
    </row>
    <row r="5" spans="1:7" ht="16" thickTop="1">
      <c r="A5" s="162"/>
      <c r="B5" s="162"/>
      <c r="C5" s="162"/>
      <c r="D5" s="162"/>
      <c r="E5" s="162"/>
      <c r="F5" s="162"/>
      <c r="G5" s="162"/>
    </row>
    <row r="6" spans="1:7" ht="32.75" customHeight="1" thickBot="1">
      <c r="A6" s="162" t="s">
        <v>223</v>
      </c>
      <c r="B6" s="162"/>
      <c r="C6" s="1380" t="s">
        <v>224</v>
      </c>
      <c r="D6" s="1381"/>
      <c r="E6" s="1381"/>
      <c r="F6" s="1381"/>
      <c r="G6" s="1381"/>
    </row>
    <row r="7" spans="1:7" ht="16" thickTop="1">
      <c r="A7" s="162"/>
      <c r="B7" s="162"/>
      <c r="C7" s="162"/>
      <c r="D7" s="162"/>
      <c r="E7" s="162"/>
      <c r="F7" s="162"/>
      <c r="G7" s="162"/>
    </row>
    <row r="8" spans="1:7" ht="16" thickBot="1">
      <c r="A8" s="162" t="s">
        <v>225</v>
      </c>
      <c r="B8" s="162"/>
      <c r="C8" s="165">
        <v>8</v>
      </c>
      <c r="D8" s="166"/>
      <c r="E8" s="162" t="s">
        <v>226</v>
      </c>
      <c r="F8" s="162"/>
      <c r="G8" s="167" t="e">
        <f>'JRA CERTIFICATE'!J38</f>
        <v>#REF!</v>
      </c>
    </row>
    <row r="9" spans="1:7" ht="16.5" thickTop="1" thickBot="1">
      <c r="A9" s="162"/>
      <c r="B9" s="162"/>
      <c r="C9" s="162"/>
      <c r="D9" s="162"/>
      <c r="E9" s="162"/>
      <c r="F9" s="162"/>
      <c r="G9" s="162"/>
    </row>
    <row r="10" spans="1:7">
      <c r="A10" s="168" t="s">
        <v>227</v>
      </c>
      <c r="B10" s="169"/>
      <c r="C10" s="169"/>
      <c r="D10" s="170"/>
      <c r="E10" s="171" t="s">
        <v>228</v>
      </c>
      <c r="F10" s="171" t="s">
        <v>10</v>
      </c>
      <c r="G10" s="171" t="s">
        <v>229</v>
      </c>
    </row>
    <row r="11" spans="1:7">
      <c r="A11" s="172" t="s">
        <v>230</v>
      </c>
      <c r="B11" s="173"/>
      <c r="C11" s="173"/>
      <c r="D11" s="173"/>
      <c r="E11" s="174" t="s">
        <v>231</v>
      </c>
      <c r="F11" s="175"/>
      <c r="G11" s="175"/>
    </row>
    <row r="12" spans="1:7">
      <c r="A12" s="172"/>
      <c r="B12" s="173"/>
      <c r="C12" s="173"/>
      <c r="D12" s="173"/>
      <c r="E12" s="175"/>
      <c r="F12" s="175"/>
      <c r="G12" s="175"/>
    </row>
    <row r="13" spans="1:7">
      <c r="A13" s="172" t="s">
        <v>232</v>
      </c>
      <c r="B13" s="173"/>
      <c r="C13" s="173"/>
      <c r="D13" s="173"/>
      <c r="E13" s="174" t="s">
        <v>231</v>
      </c>
      <c r="F13" s="175"/>
      <c r="G13" s="175"/>
    </row>
    <row r="14" spans="1:7">
      <c r="A14" s="172"/>
      <c r="B14" s="173"/>
      <c r="C14" s="173"/>
      <c r="D14" s="173"/>
      <c r="E14" s="175"/>
      <c r="F14" s="175"/>
      <c r="G14" s="175"/>
    </row>
    <row r="15" spans="1:7">
      <c r="A15" s="172" t="s">
        <v>233</v>
      </c>
      <c r="B15" s="173"/>
      <c r="C15" s="173"/>
      <c r="D15" s="173"/>
      <c r="E15" s="174" t="s">
        <v>231</v>
      </c>
      <c r="F15" s="175"/>
      <c r="G15" s="175"/>
    </row>
    <row r="16" spans="1:7">
      <c r="A16" s="172"/>
      <c r="B16" s="173"/>
      <c r="C16" s="173"/>
      <c r="D16" s="173"/>
      <c r="E16" s="175"/>
      <c r="F16" s="175"/>
      <c r="G16" s="175"/>
    </row>
    <row r="17" spans="1:7">
      <c r="A17" s="172" t="s">
        <v>234</v>
      </c>
      <c r="B17" s="173"/>
      <c r="C17" s="173"/>
      <c r="D17" s="173"/>
      <c r="E17" s="174" t="s">
        <v>231</v>
      </c>
      <c r="F17" s="175"/>
      <c r="G17" s="175"/>
    </row>
    <row r="18" spans="1:7">
      <c r="A18" s="172"/>
      <c r="B18" s="173"/>
      <c r="C18" s="173"/>
      <c r="D18" s="173"/>
      <c r="E18" s="175"/>
      <c r="F18" s="175"/>
      <c r="G18" s="175"/>
    </row>
    <row r="19" spans="1:7">
      <c r="A19" s="172" t="s">
        <v>235</v>
      </c>
      <c r="B19" s="173"/>
      <c r="C19" s="173"/>
      <c r="D19" s="173"/>
      <c r="E19" s="174" t="s">
        <v>231</v>
      </c>
      <c r="F19" s="175"/>
      <c r="G19" s="175"/>
    </row>
    <row r="20" spans="1:7">
      <c r="A20" s="172"/>
      <c r="B20" s="173"/>
      <c r="C20" s="173"/>
      <c r="D20" s="173"/>
      <c r="E20" s="175"/>
      <c r="F20" s="175"/>
      <c r="G20" s="175"/>
    </row>
    <row r="21" spans="1:7">
      <c r="A21" s="172" t="s">
        <v>236</v>
      </c>
      <c r="B21" s="173"/>
      <c r="C21" s="173"/>
      <c r="D21" s="173"/>
      <c r="E21" s="174" t="s">
        <v>231</v>
      </c>
      <c r="F21" s="175"/>
      <c r="G21" s="175"/>
    </row>
    <row r="22" spans="1:7">
      <c r="A22" s="172"/>
      <c r="B22" s="173"/>
      <c r="C22" s="173"/>
      <c r="D22" s="173"/>
      <c r="E22" s="175"/>
      <c r="F22" s="175"/>
      <c r="G22" s="175"/>
    </row>
    <row r="23" spans="1:7">
      <c r="A23" s="172" t="s">
        <v>237</v>
      </c>
      <c r="B23" s="173"/>
      <c r="C23" s="173"/>
      <c r="D23" s="173"/>
      <c r="E23" s="174" t="s">
        <v>231</v>
      </c>
      <c r="F23" s="175"/>
      <c r="G23" s="175"/>
    </row>
    <row r="24" spans="1:7">
      <c r="A24" s="172"/>
      <c r="B24" s="173"/>
      <c r="C24" s="173"/>
      <c r="D24" s="173"/>
      <c r="E24" s="175"/>
      <c r="F24" s="175"/>
      <c r="G24" s="175"/>
    </row>
    <row r="25" spans="1:7">
      <c r="A25" s="176" t="s">
        <v>238</v>
      </c>
      <c r="B25" s="173"/>
      <c r="C25" s="173"/>
      <c r="D25" s="173"/>
      <c r="E25" s="174" t="s">
        <v>231</v>
      </c>
      <c r="F25" s="175"/>
      <c r="G25" s="175"/>
    </row>
    <row r="26" spans="1:7">
      <c r="A26" s="172"/>
      <c r="B26" s="173"/>
      <c r="C26" s="173"/>
      <c r="D26" s="173"/>
      <c r="E26" s="175"/>
      <c r="F26" s="175"/>
      <c r="G26" s="175"/>
    </row>
    <row r="27" spans="1:7">
      <c r="A27" s="172" t="s">
        <v>239</v>
      </c>
      <c r="B27" s="173"/>
      <c r="C27" s="173"/>
      <c r="D27" s="173"/>
      <c r="E27" s="174" t="s">
        <v>231</v>
      </c>
      <c r="F27" s="175"/>
      <c r="G27" s="175"/>
    </row>
    <row r="28" spans="1:7">
      <c r="A28" s="172"/>
      <c r="B28" s="173"/>
      <c r="C28" s="173"/>
      <c r="D28" s="173"/>
      <c r="E28" s="175"/>
      <c r="F28" s="175"/>
      <c r="G28" s="175"/>
    </row>
    <row r="29" spans="1:7">
      <c r="A29" s="172" t="s">
        <v>240</v>
      </c>
      <c r="B29" s="173"/>
      <c r="C29" s="173"/>
      <c r="D29" s="173"/>
      <c r="E29" s="174" t="s">
        <v>231</v>
      </c>
      <c r="F29" s="175"/>
      <c r="G29" s="175"/>
    </row>
    <row r="30" spans="1:7">
      <c r="A30" s="172"/>
      <c r="B30" s="173"/>
      <c r="C30" s="173"/>
      <c r="D30" s="173"/>
      <c r="E30" s="175"/>
      <c r="F30" s="175"/>
      <c r="G30" s="175"/>
    </row>
    <row r="31" spans="1:7">
      <c r="A31" s="172" t="s">
        <v>213</v>
      </c>
      <c r="B31" s="173"/>
      <c r="C31" s="173"/>
      <c r="D31" s="173"/>
      <c r="E31" s="174" t="s">
        <v>231</v>
      </c>
      <c r="F31" s="175"/>
      <c r="G31" s="175"/>
    </row>
    <row r="32" spans="1:7">
      <c r="A32" s="172"/>
      <c r="B32" s="173"/>
      <c r="C32" s="173"/>
      <c r="D32" s="173"/>
      <c r="E32" s="175"/>
      <c r="F32" s="175"/>
      <c r="G32" s="175"/>
    </row>
    <row r="33" spans="1:7">
      <c r="A33" s="172" t="s">
        <v>241</v>
      </c>
      <c r="B33" s="173"/>
      <c r="C33" s="173"/>
      <c r="D33" s="173"/>
      <c r="E33" s="175"/>
      <c r="F33" s="175"/>
      <c r="G33" s="175"/>
    </row>
    <row r="34" spans="1:7">
      <c r="A34" s="172"/>
      <c r="B34" s="173"/>
      <c r="C34" s="177"/>
      <c r="D34" s="178" t="s">
        <v>242</v>
      </c>
      <c r="E34" s="174" t="s">
        <v>231</v>
      </c>
      <c r="F34" s="175"/>
      <c r="G34" s="175"/>
    </row>
    <row r="35" spans="1:7">
      <c r="A35" s="172"/>
      <c r="B35" s="173"/>
      <c r="C35" s="173"/>
      <c r="D35" s="179" t="s">
        <v>243</v>
      </c>
      <c r="E35" s="174" t="s">
        <v>231</v>
      </c>
      <c r="F35" s="175"/>
      <c r="G35" s="175"/>
    </row>
    <row r="36" spans="1:7">
      <c r="A36" s="172"/>
      <c r="B36" s="173"/>
      <c r="C36" s="173"/>
      <c r="D36" s="178"/>
      <c r="E36" s="175"/>
      <c r="F36" s="175"/>
      <c r="G36" s="175"/>
    </row>
    <row r="37" spans="1:7">
      <c r="A37" s="172" t="s">
        <v>244</v>
      </c>
      <c r="B37" s="173"/>
      <c r="C37" s="173"/>
      <c r="D37" s="173"/>
      <c r="E37" s="175"/>
      <c r="F37" s="175"/>
      <c r="G37" s="175"/>
    </row>
    <row r="38" spans="1:7">
      <c r="A38" s="172"/>
      <c r="B38" s="173"/>
      <c r="C38" s="173"/>
      <c r="D38" s="173"/>
      <c r="E38" s="175"/>
      <c r="F38" s="175"/>
      <c r="G38" s="175"/>
    </row>
    <row r="39" spans="1:7">
      <c r="A39" s="172" t="s">
        <v>245</v>
      </c>
      <c r="B39" s="173"/>
      <c r="C39" s="173"/>
      <c r="D39" s="173"/>
      <c r="E39" s="174" t="s">
        <v>231</v>
      </c>
      <c r="F39" s="175"/>
      <c r="G39" s="175"/>
    </row>
    <row r="40" spans="1:7">
      <c r="A40" s="172"/>
      <c r="B40" s="173"/>
      <c r="C40" s="173"/>
      <c r="D40" s="173"/>
      <c r="E40" s="175"/>
      <c r="F40" s="175"/>
      <c r="G40" s="175"/>
    </row>
    <row r="41" spans="1:7">
      <c r="A41" s="172" t="s">
        <v>246</v>
      </c>
      <c r="B41" s="173"/>
      <c r="C41" s="173"/>
      <c r="D41" s="173"/>
      <c r="E41" s="174" t="s">
        <v>231</v>
      </c>
      <c r="F41" s="175"/>
      <c r="G41" s="175"/>
    </row>
    <row r="42" spans="1:7">
      <c r="A42" s="172"/>
      <c r="B42" s="173"/>
      <c r="C42" s="173"/>
      <c r="D42" s="173"/>
      <c r="E42" s="175"/>
      <c r="F42" s="175"/>
      <c r="G42" s="175"/>
    </row>
    <row r="43" spans="1:7">
      <c r="A43" s="172" t="s">
        <v>247</v>
      </c>
      <c r="B43" s="173"/>
      <c r="C43" s="173"/>
      <c r="D43" s="173"/>
      <c r="E43" s="174" t="s">
        <v>231</v>
      </c>
      <c r="F43" s="175"/>
      <c r="G43" s="175"/>
    </row>
    <row r="44" spans="1:7">
      <c r="A44" s="172"/>
      <c r="B44" s="173"/>
      <c r="C44" s="173"/>
      <c r="D44" s="173"/>
      <c r="E44" s="175"/>
      <c r="F44" s="175"/>
      <c r="G44" s="175"/>
    </row>
    <row r="45" spans="1:7" ht="30" customHeight="1" thickBot="1">
      <c r="A45" s="172" t="s">
        <v>248</v>
      </c>
      <c r="B45" s="173"/>
      <c r="C45" s="173"/>
      <c r="D45" s="173"/>
      <c r="E45" s="174" t="s">
        <v>231</v>
      </c>
      <c r="F45" s="180" t="s">
        <v>249</v>
      </c>
      <c r="G45" s="181"/>
    </row>
    <row r="46" spans="1:7" ht="30" customHeight="1">
      <c r="A46" s="172"/>
      <c r="B46" s="173"/>
      <c r="C46" s="173"/>
      <c r="D46" s="173"/>
      <c r="E46" s="174"/>
      <c r="F46" s="182" t="s">
        <v>250</v>
      </c>
      <c r="G46" s="182"/>
    </row>
    <row r="47" spans="1:7" ht="30" customHeight="1">
      <c r="A47" s="172"/>
      <c r="B47" s="173"/>
      <c r="C47" s="173"/>
      <c r="D47" s="173"/>
      <c r="E47" s="175"/>
      <c r="F47" s="181" t="s">
        <v>249</v>
      </c>
      <c r="G47" s="175"/>
    </row>
    <row r="48" spans="1:7" ht="30" customHeight="1" thickBot="1">
      <c r="A48" s="183" t="s">
        <v>251</v>
      </c>
      <c r="B48" s="184"/>
      <c r="C48" s="184"/>
      <c r="D48" s="184"/>
      <c r="E48" s="185"/>
      <c r="F48" s="180" t="s">
        <v>250</v>
      </c>
      <c r="G48" s="185"/>
    </row>
  </sheetData>
  <mergeCells count="3">
    <mergeCell ref="A1:G1"/>
    <mergeCell ref="A2:G2"/>
    <mergeCell ref="C6:G6"/>
  </mergeCells>
  <pageMargins left="0.7" right="0.7" top="0.75" bottom="0.75" header="0.3" footer="0.3"/>
  <pageSetup paperSize="9" scale="87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2"/>
  <sheetViews>
    <sheetView view="pageBreakPreview" topLeftCell="A2" zoomScale="70" zoomScaleNormal="100" zoomScaleSheetLayoutView="70" zoomScalePageLayoutView="68" workbookViewId="0">
      <selection activeCell="D27" sqref="D27"/>
    </sheetView>
  </sheetViews>
  <sheetFormatPr defaultRowHeight="14.5"/>
  <cols>
    <col min="1" max="1" width="8.54296875" customWidth="1"/>
    <col min="2" max="2" width="20.36328125" customWidth="1"/>
    <col min="3" max="3" width="20.54296875" customWidth="1"/>
    <col min="4" max="9" width="26" customWidth="1"/>
    <col min="11" max="11" width="13.90625" bestFit="1" customWidth="1"/>
  </cols>
  <sheetData>
    <row r="1" spans="1:11" ht="18">
      <c r="A1" s="1383" t="s">
        <v>252</v>
      </c>
      <c r="B1" s="1383"/>
      <c r="C1" s="1383"/>
      <c r="D1" s="1383"/>
      <c r="E1" s="1383"/>
      <c r="F1" s="1383"/>
      <c r="G1" s="1383"/>
      <c r="H1" s="1383"/>
      <c r="I1" s="1383"/>
    </row>
    <row r="2" spans="1:11">
      <c r="A2" s="186"/>
      <c r="B2" s="186"/>
      <c r="C2" s="186"/>
      <c r="D2" s="186"/>
      <c r="E2" s="186"/>
      <c r="F2" s="186"/>
      <c r="G2" s="186"/>
      <c r="H2" s="186"/>
      <c r="I2" s="186"/>
    </row>
    <row r="3" spans="1:11">
      <c r="A3" s="1384" t="s">
        <v>253</v>
      </c>
      <c r="B3" s="1384"/>
      <c r="C3" s="1385" t="s">
        <v>254</v>
      </c>
      <c r="D3" s="1385"/>
      <c r="E3" s="1385"/>
      <c r="F3" s="1385"/>
      <c r="G3" s="1385"/>
      <c r="H3" s="1385"/>
      <c r="I3" s="1385"/>
    </row>
    <row r="4" spans="1:11">
      <c r="A4" s="187"/>
      <c r="B4" s="187"/>
      <c r="C4" s="188"/>
      <c r="D4" s="188"/>
      <c r="E4" s="188"/>
      <c r="F4" s="188"/>
      <c r="G4" s="189"/>
      <c r="H4" s="189"/>
      <c r="I4" s="189"/>
    </row>
    <row r="5" spans="1:11" ht="30" customHeight="1">
      <c r="A5" s="1384" t="s">
        <v>255</v>
      </c>
      <c r="B5" s="1384"/>
      <c r="C5" s="1386" t="s">
        <v>256</v>
      </c>
      <c r="D5" s="1386"/>
      <c r="E5" s="1386"/>
      <c r="F5" s="1386"/>
      <c r="G5" s="1386"/>
      <c r="H5" s="1386"/>
      <c r="I5" s="1386"/>
    </row>
    <row r="6" spans="1:11">
      <c r="A6" s="187"/>
      <c r="B6" s="187"/>
      <c r="C6" s="188"/>
      <c r="D6" s="1382"/>
      <c r="E6" s="1382"/>
      <c r="F6" s="1382"/>
      <c r="G6" s="189"/>
      <c r="H6" s="189"/>
      <c r="I6" s="189"/>
    </row>
    <row r="7" spans="1:11">
      <c r="A7" s="1384" t="s">
        <v>257</v>
      </c>
      <c r="B7" s="1384"/>
      <c r="C7" s="1385" t="s">
        <v>258</v>
      </c>
      <c r="D7" s="1385"/>
      <c r="E7" s="1385"/>
      <c r="F7" s="1385"/>
      <c r="G7" s="1385"/>
      <c r="H7" s="1385"/>
      <c r="I7" s="1385"/>
    </row>
    <row r="8" spans="1:11">
      <c r="A8" s="187"/>
      <c r="B8" s="187"/>
      <c r="C8" s="188"/>
      <c r="D8" s="188"/>
      <c r="E8" s="188"/>
      <c r="F8" s="188"/>
      <c r="G8" s="189"/>
      <c r="H8" s="189"/>
      <c r="I8" s="189"/>
    </row>
    <row r="9" spans="1:11">
      <c r="A9" s="1384" t="s">
        <v>259</v>
      </c>
      <c r="B9" s="1384"/>
      <c r="C9" s="1387">
        <f>[13]SUMMARY!G30</f>
        <v>29939811.460000001</v>
      </c>
      <c r="D9" s="1387"/>
      <c r="E9" s="1387"/>
      <c r="F9" s="1387"/>
      <c r="G9" s="1387"/>
      <c r="H9" s="1387"/>
      <c r="I9" s="1387"/>
    </row>
    <row r="10" spans="1:11" ht="15" thickBot="1">
      <c r="A10" s="190"/>
      <c r="B10" s="190"/>
      <c r="C10" s="190"/>
      <c r="D10" s="190"/>
      <c r="E10" s="190"/>
      <c r="F10" s="190"/>
      <c r="G10" s="190"/>
      <c r="H10" s="190"/>
      <c r="I10" s="190"/>
    </row>
    <row r="11" spans="1:11" ht="43" thickTop="1" thickBot="1">
      <c r="A11" s="191" t="s">
        <v>260</v>
      </c>
      <c r="B11" s="192" t="s">
        <v>261</v>
      </c>
      <c r="C11" s="193" t="s">
        <v>262</v>
      </c>
      <c r="D11" s="194" t="s">
        <v>263</v>
      </c>
      <c r="E11" s="195" t="s">
        <v>264</v>
      </c>
      <c r="F11" s="193" t="s">
        <v>265</v>
      </c>
      <c r="G11" s="194" t="s">
        <v>266</v>
      </c>
      <c r="H11" s="195" t="s">
        <v>267</v>
      </c>
      <c r="I11" s="196" t="s">
        <v>268</v>
      </c>
    </row>
    <row r="12" spans="1:11" ht="23.25" customHeight="1">
      <c r="A12" s="197">
        <v>1</v>
      </c>
      <c r="B12" s="198">
        <v>44322</v>
      </c>
      <c r="C12" s="199" t="s">
        <v>269</v>
      </c>
      <c r="D12" s="200">
        <v>2846377.93</v>
      </c>
      <c r="E12" s="201">
        <v>116160.84</v>
      </c>
      <c r="F12" s="202">
        <f t="shared" ref="F12:F40" si="0">D12+E12</f>
        <v>2962538.77</v>
      </c>
      <c r="G12" s="203">
        <f>D12</f>
        <v>2846377.93</v>
      </c>
      <c r="H12" s="204">
        <f>E12</f>
        <v>116160.84</v>
      </c>
      <c r="I12" s="205">
        <f>F12</f>
        <v>2962538.77</v>
      </c>
    </row>
    <row r="13" spans="1:11" ht="23.25" customHeight="1">
      <c r="A13" s="206">
        <v>2</v>
      </c>
      <c r="B13" s="198">
        <v>44357</v>
      </c>
      <c r="C13" s="199" t="s">
        <v>270</v>
      </c>
      <c r="D13" s="200">
        <v>2962140.36</v>
      </c>
      <c r="E13" s="207">
        <v>403289.05</v>
      </c>
      <c r="F13" s="208">
        <f t="shared" si="0"/>
        <v>3365429.41</v>
      </c>
      <c r="G13" s="209">
        <f>G12+D13</f>
        <v>5808518.29</v>
      </c>
      <c r="H13" s="210">
        <f t="shared" ref="H13:I33" si="1">H12+E13</f>
        <v>519449.89</v>
      </c>
      <c r="I13" s="211">
        <f t="shared" si="1"/>
        <v>6327968.1799999997</v>
      </c>
    </row>
    <row r="14" spans="1:11" ht="23.25" customHeight="1">
      <c r="A14" s="206">
        <v>3</v>
      </c>
      <c r="B14" s="212">
        <v>44370</v>
      </c>
      <c r="C14" s="199" t="s">
        <v>271</v>
      </c>
      <c r="D14" s="200">
        <v>2838319.55</v>
      </c>
      <c r="E14" s="207">
        <v>230819.66</v>
      </c>
      <c r="F14" s="208">
        <f t="shared" si="0"/>
        <v>3069139.21</v>
      </c>
      <c r="G14" s="209">
        <f>G13+D14</f>
        <v>8646837.8399999999</v>
      </c>
      <c r="H14" s="210">
        <f t="shared" si="1"/>
        <v>750269.55</v>
      </c>
      <c r="I14" s="211">
        <f t="shared" si="1"/>
        <v>9397107.3900000006</v>
      </c>
      <c r="K14" s="213">
        <f>C9-I14</f>
        <v>20542704.07</v>
      </c>
    </row>
    <row r="15" spans="1:11" ht="23.25" customHeight="1">
      <c r="A15" s="206">
        <v>4</v>
      </c>
      <c r="B15" s="212">
        <v>44412</v>
      </c>
      <c r="C15" s="199" t="s">
        <v>272</v>
      </c>
      <c r="D15" s="200">
        <v>972830.49</v>
      </c>
      <c r="E15" s="207">
        <v>108092.28</v>
      </c>
      <c r="F15" s="208">
        <f t="shared" si="0"/>
        <v>1080922.77</v>
      </c>
      <c r="G15" s="209">
        <f>G14+D15</f>
        <v>9619668.3300000001</v>
      </c>
      <c r="H15" s="210">
        <f t="shared" si="1"/>
        <v>858361.83</v>
      </c>
      <c r="I15" s="211">
        <f t="shared" si="1"/>
        <v>10478030.16</v>
      </c>
    </row>
    <row r="16" spans="1:11" ht="23.25" customHeight="1">
      <c r="A16" s="206">
        <f>A15+1</f>
        <v>5</v>
      </c>
      <c r="B16" s="212">
        <v>44428</v>
      </c>
      <c r="C16" s="199" t="s">
        <v>273</v>
      </c>
      <c r="D16" s="200">
        <v>1784778.68</v>
      </c>
      <c r="E16" s="207">
        <v>211468.74</v>
      </c>
      <c r="F16" s="208">
        <f>D16+E16</f>
        <v>1996247.42</v>
      </c>
      <c r="G16" s="209">
        <f t="shared" ref="G16:I25" si="2">G15+D16</f>
        <v>11404447.01</v>
      </c>
      <c r="H16" s="210">
        <f t="shared" si="2"/>
        <v>1069830.57</v>
      </c>
      <c r="I16" s="211">
        <f t="shared" si="2"/>
        <v>12474277.58</v>
      </c>
    </row>
    <row r="17" spans="1:9" ht="23.25" customHeight="1">
      <c r="A17" s="206">
        <f t="shared" ref="A17:A24" si="3">A16+1</f>
        <v>6</v>
      </c>
      <c r="B17" s="585">
        <v>44468</v>
      </c>
      <c r="C17" s="199" t="s">
        <v>474</v>
      </c>
      <c r="D17" s="586">
        <v>2538018.2799999998</v>
      </c>
      <c r="E17" s="587">
        <v>428632.25</v>
      </c>
      <c r="F17" s="588">
        <v>2966650.53</v>
      </c>
      <c r="G17" s="209">
        <f t="shared" si="2"/>
        <v>13942465.289999999</v>
      </c>
      <c r="H17" s="210">
        <f t="shared" si="2"/>
        <v>1498462.82</v>
      </c>
      <c r="I17" s="211">
        <f t="shared" si="2"/>
        <v>15440928.109999999</v>
      </c>
    </row>
    <row r="18" spans="1:9" ht="23.25" customHeight="1">
      <c r="A18" s="206">
        <f t="shared" si="3"/>
        <v>7</v>
      </c>
      <c r="B18" s="585">
        <v>44497</v>
      </c>
      <c r="C18" s="199" t="s">
        <v>475</v>
      </c>
      <c r="D18" s="586">
        <v>1520032.52</v>
      </c>
      <c r="E18" s="587">
        <v>168892.5</v>
      </c>
      <c r="F18" s="208">
        <f>D18+E18</f>
        <v>1688925.02</v>
      </c>
      <c r="G18" s="209">
        <f t="shared" ref="G18:G40" si="4">G17+D18</f>
        <v>15462497.810000001</v>
      </c>
      <c r="H18" s="210">
        <f t="shared" si="2"/>
        <v>1667355.32</v>
      </c>
      <c r="I18" s="211">
        <f t="shared" si="2"/>
        <v>17129853.129999999</v>
      </c>
    </row>
    <row r="19" spans="1:9" ht="23.25" customHeight="1">
      <c r="A19" s="206">
        <f t="shared" si="3"/>
        <v>8</v>
      </c>
      <c r="B19" s="212">
        <v>44522</v>
      </c>
      <c r="C19" s="199" t="s">
        <v>476</v>
      </c>
      <c r="D19" s="200">
        <v>2660318.46</v>
      </c>
      <c r="E19" s="207">
        <v>295590.94</v>
      </c>
      <c r="F19" s="208">
        <f>D19+E19</f>
        <v>2955909.4</v>
      </c>
      <c r="G19" s="209">
        <f t="shared" si="4"/>
        <v>18122816.27</v>
      </c>
      <c r="H19" s="210">
        <f t="shared" si="2"/>
        <v>1962946.26</v>
      </c>
      <c r="I19" s="211">
        <f t="shared" si="2"/>
        <v>20085762.530000001</v>
      </c>
    </row>
    <row r="20" spans="1:9" ht="23.25" customHeight="1">
      <c r="A20" s="206">
        <f t="shared" si="3"/>
        <v>9</v>
      </c>
      <c r="B20" s="585">
        <v>44540</v>
      </c>
      <c r="C20" s="199" t="s">
        <v>477</v>
      </c>
      <c r="D20" s="586">
        <v>2013619.69</v>
      </c>
      <c r="E20" s="587">
        <v>223735.53</v>
      </c>
      <c r="F20" s="208">
        <f>D20+E20</f>
        <v>2237355.2200000002</v>
      </c>
      <c r="G20" s="209">
        <f t="shared" si="4"/>
        <v>20136435.960000001</v>
      </c>
      <c r="H20" s="210">
        <f t="shared" si="2"/>
        <v>2186681.79</v>
      </c>
      <c r="I20" s="211">
        <f t="shared" si="2"/>
        <v>22323117.75</v>
      </c>
    </row>
    <row r="21" spans="1:9" ht="23.25" customHeight="1">
      <c r="A21" s="206">
        <f t="shared" si="3"/>
        <v>10</v>
      </c>
      <c r="B21" s="212">
        <f>'JRA CERTIFICATE'!F11</f>
        <v>44620</v>
      </c>
      <c r="C21" s="199" t="s">
        <v>477</v>
      </c>
      <c r="D21" s="200" t="e">
        <f>'JRA CERTIFICATE'!J38</f>
        <v>#REF!</v>
      </c>
      <c r="E21" s="207" t="e">
        <f>'JRA CERTIFICATE'!G36</f>
        <v>#REF!</v>
      </c>
      <c r="F21" s="208" t="e">
        <f>D21+E21</f>
        <v>#REF!</v>
      </c>
      <c r="G21" s="209" t="e">
        <f t="shared" si="4"/>
        <v>#REF!</v>
      </c>
      <c r="H21" s="210" t="e">
        <f t="shared" si="2"/>
        <v>#REF!</v>
      </c>
      <c r="I21" s="211" t="e">
        <f t="shared" si="2"/>
        <v>#REF!</v>
      </c>
    </row>
    <row r="22" spans="1:9" ht="23.25" customHeight="1">
      <c r="A22" s="206">
        <f t="shared" si="3"/>
        <v>11</v>
      </c>
      <c r="B22" s="212"/>
      <c r="C22" s="214"/>
      <c r="D22" s="200"/>
      <c r="E22" s="207"/>
      <c r="F22" s="208">
        <f t="shared" si="0"/>
        <v>0</v>
      </c>
      <c r="G22" s="209" t="e">
        <f t="shared" si="4"/>
        <v>#REF!</v>
      </c>
      <c r="H22" s="210" t="e">
        <f t="shared" si="2"/>
        <v>#REF!</v>
      </c>
      <c r="I22" s="211" t="e">
        <f t="shared" si="2"/>
        <v>#REF!</v>
      </c>
    </row>
    <row r="23" spans="1:9" ht="23.25" customHeight="1">
      <c r="A23" s="206">
        <f t="shared" si="3"/>
        <v>12</v>
      </c>
      <c r="B23" s="212"/>
      <c r="C23" s="214"/>
      <c r="D23" s="200"/>
      <c r="E23" s="207"/>
      <c r="F23" s="208">
        <f t="shared" si="0"/>
        <v>0</v>
      </c>
      <c r="G23" s="209" t="e">
        <f t="shared" si="4"/>
        <v>#REF!</v>
      </c>
      <c r="H23" s="210" t="e">
        <f t="shared" si="2"/>
        <v>#REF!</v>
      </c>
      <c r="I23" s="211" t="e">
        <f>I22+F23</f>
        <v>#REF!</v>
      </c>
    </row>
    <row r="24" spans="1:9" ht="23.25" customHeight="1">
      <c r="A24" s="206">
        <f t="shared" si="3"/>
        <v>13</v>
      </c>
      <c r="B24" s="212"/>
      <c r="C24" s="214"/>
      <c r="D24" s="200"/>
      <c r="E24" s="207"/>
      <c r="F24" s="208">
        <f t="shared" si="0"/>
        <v>0</v>
      </c>
      <c r="G24" s="209" t="e">
        <f t="shared" si="4"/>
        <v>#REF!</v>
      </c>
      <c r="H24" s="210" t="e">
        <f t="shared" si="2"/>
        <v>#REF!</v>
      </c>
      <c r="I24" s="211" t="e">
        <f t="shared" si="1"/>
        <v>#REF!</v>
      </c>
    </row>
    <row r="25" spans="1:9" ht="23.25" customHeight="1">
      <c r="A25" s="206">
        <f t="shared" ref="A25:A40" si="5">A24+1</f>
        <v>14</v>
      </c>
      <c r="B25" s="212"/>
      <c r="C25" s="214"/>
      <c r="D25" s="200"/>
      <c r="E25" s="207"/>
      <c r="F25" s="208">
        <f t="shared" si="0"/>
        <v>0</v>
      </c>
      <c r="G25" s="209" t="e">
        <f t="shared" si="4"/>
        <v>#REF!</v>
      </c>
      <c r="H25" s="210" t="e">
        <f t="shared" si="2"/>
        <v>#REF!</v>
      </c>
      <c r="I25" s="211" t="e">
        <f t="shared" si="1"/>
        <v>#REF!</v>
      </c>
    </row>
    <row r="26" spans="1:9" ht="23.25" customHeight="1">
      <c r="A26" s="206">
        <f t="shared" si="5"/>
        <v>15</v>
      </c>
      <c r="B26" s="212"/>
      <c r="C26" s="214"/>
      <c r="D26" s="200"/>
      <c r="E26" s="207"/>
      <c r="F26" s="208">
        <f t="shared" si="0"/>
        <v>0</v>
      </c>
      <c r="G26" s="209" t="e">
        <f t="shared" si="4"/>
        <v>#REF!</v>
      </c>
      <c r="H26" s="210" t="e">
        <f t="shared" si="1"/>
        <v>#REF!</v>
      </c>
      <c r="I26" s="211" t="e">
        <f t="shared" si="1"/>
        <v>#REF!</v>
      </c>
    </row>
    <row r="27" spans="1:9" ht="23.25" customHeight="1">
      <c r="A27" s="206">
        <f t="shared" si="5"/>
        <v>16</v>
      </c>
      <c r="B27" s="212"/>
      <c r="C27" s="214"/>
      <c r="D27" s="200"/>
      <c r="E27" s="207"/>
      <c r="F27" s="208">
        <f t="shared" si="0"/>
        <v>0</v>
      </c>
      <c r="G27" s="209" t="e">
        <f t="shared" si="4"/>
        <v>#REF!</v>
      </c>
      <c r="H27" s="210" t="e">
        <f t="shared" si="1"/>
        <v>#REF!</v>
      </c>
      <c r="I27" s="211" t="e">
        <f t="shared" si="1"/>
        <v>#REF!</v>
      </c>
    </row>
    <row r="28" spans="1:9" ht="23.25" customHeight="1">
      <c r="A28" s="206">
        <f t="shared" si="5"/>
        <v>17</v>
      </c>
      <c r="B28" s="212"/>
      <c r="C28" s="214"/>
      <c r="D28" s="200"/>
      <c r="E28" s="207"/>
      <c r="F28" s="208">
        <f t="shared" si="0"/>
        <v>0</v>
      </c>
      <c r="G28" s="209" t="e">
        <f t="shared" si="4"/>
        <v>#REF!</v>
      </c>
      <c r="H28" s="210" t="e">
        <f t="shared" si="1"/>
        <v>#REF!</v>
      </c>
      <c r="I28" s="211" t="e">
        <f t="shared" si="1"/>
        <v>#REF!</v>
      </c>
    </row>
    <row r="29" spans="1:9" ht="23.25" customHeight="1">
      <c r="A29" s="206">
        <f t="shared" si="5"/>
        <v>18</v>
      </c>
      <c r="B29" s="212"/>
      <c r="C29" s="214"/>
      <c r="D29" s="200"/>
      <c r="E29" s="207"/>
      <c r="F29" s="208">
        <f t="shared" si="0"/>
        <v>0</v>
      </c>
      <c r="G29" s="209" t="e">
        <f t="shared" si="4"/>
        <v>#REF!</v>
      </c>
      <c r="H29" s="210" t="e">
        <f t="shared" si="1"/>
        <v>#REF!</v>
      </c>
      <c r="I29" s="211" t="e">
        <f t="shared" si="1"/>
        <v>#REF!</v>
      </c>
    </row>
    <row r="30" spans="1:9" ht="23.25" customHeight="1">
      <c r="A30" s="206">
        <f t="shared" si="5"/>
        <v>19</v>
      </c>
      <c r="B30" s="212"/>
      <c r="C30" s="214"/>
      <c r="D30" s="200"/>
      <c r="E30" s="207"/>
      <c r="F30" s="208">
        <f t="shared" si="0"/>
        <v>0</v>
      </c>
      <c r="G30" s="209" t="e">
        <f t="shared" si="4"/>
        <v>#REF!</v>
      </c>
      <c r="H30" s="210" t="e">
        <f t="shared" si="1"/>
        <v>#REF!</v>
      </c>
      <c r="I30" s="211" t="e">
        <f t="shared" si="1"/>
        <v>#REF!</v>
      </c>
    </row>
    <row r="31" spans="1:9" ht="23.25" customHeight="1">
      <c r="A31" s="206">
        <f t="shared" si="5"/>
        <v>20</v>
      </c>
      <c r="B31" s="212"/>
      <c r="C31" s="214"/>
      <c r="D31" s="200"/>
      <c r="E31" s="207"/>
      <c r="F31" s="208">
        <f t="shared" si="0"/>
        <v>0</v>
      </c>
      <c r="G31" s="209" t="e">
        <f t="shared" si="4"/>
        <v>#REF!</v>
      </c>
      <c r="H31" s="210" t="e">
        <f t="shared" si="1"/>
        <v>#REF!</v>
      </c>
      <c r="I31" s="211" t="e">
        <f t="shared" si="1"/>
        <v>#REF!</v>
      </c>
    </row>
    <row r="32" spans="1:9" ht="23.25" customHeight="1">
      <c r="A32" s="206">
        <f t="shared" si="5"/>
        <v>21</v>
      </c>
      <c r="B32" s="212"/>
      <c r="C32" s="214"/>
      <c r="D32" s="200"/>
      <c r="E32" s="207"/>
      <c r="F32" s="208">
        <f t="shared" si="0"/>
        <v>0</v>
      </c>
      <c r="G32" s="209" t="e">
        <f t="shared" si="4"/>
        <v>#REF!</v>
      </c>
      <c r="H32" s="210" t="e">
        <f t="shared" si="1"/>
        <v>#REF!</v>
      </c>
      <c r="I32" s="211" t="e">
        <f t="shared" si="1"/>
        <v>#REF!</v>
      </c>
    </row>
    <row r="33" spans="1:9" ht="23.25" customHeight="1">
      <c r="A33" s="206">
        <f t="shared" si="5"/>
        <v>22</v>
      </c>
      <c r="B33" s="212"/>
      <c r="C33" s="214"/>
      <c r="D33" s="200"/>
      <c r="E33" s="207"/>
      <c r="F33" s="208">
        <f t="shared" si="0"/>
        <v>0</v>
      </c>
      <c r="G33" s="209" t="e">
        <f t="shared" si="4"/>
        <v>#REF!</v>
      </c>
      <c r="H33" s="210" t="e">
        <f t="shared" si="1"/>
        <v>#REF!</v>
      </c>
      <c r="I33" s="211" t="e">
        <f t="shared" si="1"/>
        <v>#REF!</v>
      </c>
    </row>
    <row r="34" spans="1:9" ht="23.25" customHeight="1">
      <c r="A34" s="206">
        <f t="shared" si="5"/>
        <v>23</v>
      </c>
      <c r="B34" s="212"/>
      <c r="C34" s="214"/>
      <c r="D34" s="200"/>
      <c r="E34" s="207"/>
      <c r="F34" s="208">
        <f t="shared" si="0"/>
        <v>0</v>
      </c>
      <c r="G34" s="209" t="e">
        <f t="shared" si="4"/>
        <v>#REF!</v>
      </c>
      <c r="H34" s="210" t="e">
        <f t="shared" ref="H34:I40" si="6">H33+E34</f>
        <v>#REF!</v>
      </c>
      <c r="I34" s="211" t="e">
        <f t="shared" si="6"/>
        <v>#REF!</v>
      </c>
    </row>
    <row r="35" spans="1:9" ht="23.25" customHeight="1">
      <c r="A35" s="206">
        <f t="shared" si="5"/>
        <v>24</v>
      </c>
      <c r="B35" s="212"/>
      <c r="C35" s="214"/>
      <c r="D35" s="200"/>
      <c r="E35" s="207"/>
      <c r="F35" s="208">
        <f t="shared" si="0"/>
        <v>0</v>
      </c>
      <c r="G35" s="209" t="e">
        <f t="shared" si="4"/>
        <v>#REF!</v>
      </c>
      <c r="H35" s="210" t="e">
        <f t="shared" si="6"/>
        <v>#REF!</v>
      </c>
      <c r="I35" s="211" t="e">
        <f t="shared" si="6"/>
        <v>#REF!</v>
      </c>
    </row>
    <row r="36" spans="1:9" ht="23.25" customHeight="1">
      <c r="A36" s="206">
        <f t="shared" si="5"/>
        <v>25</v>
      </c>
      <c r="B36" s="212"/>
      <c r="C36" s="214"/>
      <c r="D36" s="200"/>
      <c r="E36" s="207"/>
      <c r="F36" s="208">
        <f t="shared" si="0"/>
        <v>0</v>
      </c>
      <c r="G36" s="209" t="e">
        <f t="shared" si="4"/>
        <v>#REF!</v>
      </c>
      <c r="H36" s="210" t="e">
        <f t="shared" si="6"/>
        <v>#REF!</v>
      </c>
      <c r="I36" s="211" t="e">
        <f t="shared" si="6"/>
        <v>#REF!</v>
      </c>
    </row>
    <row r="37" spans="1:9" ht="23.25" customHeight="1">
      <c r="A37" s="206">
        <f t="shared" si="5"/>
        <v>26</v>
      </c>
      <c r="B37" s="212"/>
      <c r="C37" s="214"/>
      <c r="D37" s="200"/>
      <c r="E37" s="207"/>
      <c r="F37" s="208">
        <f t="shared" si="0"/>
        <v>0</v>
      </c>
      <c r="G37" s="209" t="e">
        <f t="shared" si="4"/>
        <v>#REF!</v>
      </c>
      <c r="H37" s="210" t="e">
        <f t="shared" si="6"/>
        <v>#REF!</v>
      </c>
      <c r="I37" s="211" t="e">
        <f t="shared" si="6"/>
        <v>#REF!</v>
      </c>
    </row>
    <row r="38" spans="1:9" ht="23.25" customHeight="1">
      <c r="A38" s="206">
        <f t="shared" si="5"/>
        <v>27</v>
      </c>
      <c r="B38" s="212"/>
      <c r="C38" s="214"/>
      <c r="D38" s="200"/>
      <c r="E38" s="207"/>
      <c r="F38" s="208">
        <f t="shared" si="0"/>
        <v>0</v>
      </c>
      <c r="G38" s="209" t="e">
        <f t="shared" si="4"/>
        <v>#REF!</v>
      </c>
      <c r="H38" s="210" t="e">
        <f t="shared" si="6"/>
        <v>#REF!</v>
      </c>
      <c r="I38" s="211" t="e">
        <f t="shared" si="6"/>
        <v>#REF!</v>
      </c>
    </row>
    <row r="39" spans="1:9" ht="23.25" customHeight="1">
      <c r="A39" s="206">
        <f t="shared" si="5"/>
        <v>28</v>
      </c>
      <c r="B39" s="212"/>
      <c r="C39" s="214"/>
      <c r="D39" s="200"/>
      <c r="E39" s="207"/>
      <c r="F39" s="208">
        <f t="shared" si="0"/>
        <v>0</v>
      </c>
      <c r="G39" s="209" t="e">
        <f t="shared" si="4"/>
        <v>#REF!</v>
      </c>
      <c r="H39" s="210" t="e">
        <f t="shared" si="6"/>
        <v>#REF!</v>
      </c>
      <c r="I39" s="211" t="e">
        <f t="shared" si="6"/>
        <v>#REF!</v>
      </c>
    </row>
    <row r="40" spans="1:9" ht="23.25" customHeight="1" thickBot="1">
      <c r="A40" s="206">
        <f t="shared" si="5"/>
        <v>29</v>
      </c>
      <c r="B40" s="215"/>
      <c r="C40" s="216"/>
      <c r="D40" s="217"/>
      <c r="E40" s="218"/>
      <c r="F40" s="219">
        <f t="shared" si="0"/>
        <v>0</v>
      </c>
      <c r="G40" s="209" t="e">
        <f t="shared" si="4"/>
        <v>#REF!</v>
      </c>
      <c r="H40" s="210" t="e">
        <f t="shared" si="6"/>
        <v>#REF!</v>
      </c>
      <c r="I40" s="211" t="e">
        <f t="shared" si="6"/>
        <v>#REF!</v>
      </c>
    </row>
    <row r="41" spans="1:9" ht="23.25" customHeight="1" thickBot="1">
      <c r="A41" s="1388" t="s">
        <v>274</v>
      </c>
      <c r="B41" s="1389"/>
      <c r="C41" s="220"/>
      <c r="D41" s="221" t="e">
        <f>SUM(D12:D40)</f>
        <v>#REF!</v>
      </c>
      <c r="E41" s="221" t="e">
        <f>SUM(E12:E40)</f>
        <v>#REF!</v>
      </c>
      <c r="F41" s="221" t="e">
        <f>SUM(F12:F40)</f>
        <v>#REF!</v>
      </c>
      <c r="G41" s="221" t="e">
        <f>G40</f>
        <v>#REF!</v>
      </c>
      <c r="H41" s="222" t="e">
        <f>H40</f>
        <v>#REF!</v>
      </c>
      <c r="I41" s="223" t="e">
        <f>G41+H41</f>
        <v>#REF!</v>
      </c>
    </row>
    <row r="42" spans="1:9" s="227" customFormat="1" ht="23.25" customHeight="1" thickTop="1">
      <c r="A42" s="224" t="s">
        <v>275</v>
      </c>
      <c r="B42" s="225"/>
      <c r="C42" s="225"/>
      <c r="D42" s="225"/>
      <c r="E42" s="225"/>
      <c r="F42" s="225"/>
      <c r="G42" s="225"/>
      <c r="H42" s="225"/>
      <c r="I42" s="226" t="e">
        <f>C9-I41</f>
        <v>#REF!</v>
      </c>
    </row>
  </sheetData>
  <mergeCells count="11">
    <mergeCell ref="A7:B7"/>
    <mergeCell ref="C7:I7"/>
    <mergeCell ref="A9:B9"/>
    <mergeCell ref="C9:I9"/>
    <mergeCell ref="A41:B41"/>
    <mergeCell ref="D6:F6"/>
    <mergeCell ref="A1:I1"/>
    <mergeCell ref="A3:B3"/>
    <mergeCell ref="C3:I3"/>
    <mergeCell ref="A5:B5"/>
    <mergeCell ref="C5:I5"/>
  </mergeCells>
  <pageMargins left="0.7" right="0.7" top="0.75" bottom="0.75" header="0.3" footer="0.3"/>
  <pageSetup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69"/>
  <sheetViews>
    <sheetView view="pageBreakPreview" topLeftCell="B33" zoomScale="80" zoomScaleNormal="100" zoomScaleSheetLayoutView="80" workbookViewId="0">
      <selection activeCell="G37" sqref="G37"/>
    </sheetView>
  </sheetViews>
  <sheetFormatPr defaultColWidth="12.54296875" defaultRowHeight="15.5"/>
  <cols>
    <col min="1" max="1" width="3.36328125" style="228" hidden="1" customWidth="1"/>
    <col min="2" max="2" width="3.36328125" style="228" customWidth="1"/>
    <col min="3" max="4" width="12.54296875" style="228"/>
    <col min="5" max="5" width="18.6328125" style="228" customWidth="1"/>
    <col min="6" max="6" width="21.6328125" style="228" customWidth="1"/>
    <col min="7" max="7" width="26.453125" style="228" bestFit="1" customWidth="1"/>
    <col min="8" max="8" width="21.54296875" style="228" customWidth="1"/>
    <col min="9" max="9" width="20" style="228" customWidth="1"/>
    <col min="10" max="10" width="22.54296875" style="228" customWidth="1"/>
    <col min="11" max="11" width="3.36328125" style="228" customWidth="1"/>
    <col min="12" max="12" width="15.453125" style="228" customWidth="1"/>
    <col min="13" max="13" width="7.36328125" style="228" customWidth="1"/>
    <col min="14" max="14" width="23" style="228" customWidth="1"/>
    <col min="15" max="16384" width="12.54296875" style="228"/>
  </cols>
  <sheetData>
    <row r="1" spans="3:17" ht="16" thickBot="1"/>
    <row r="2" spans="3:17" ht="45.65" customHeight="1">
      <c r="C2" s="229"/>
      <c r="D2" s="1395" t="s">
        <v>276</v>
      </c>
      <c r="E2" s="1395"/>
      <c r="F2" s="1395"/>
      <c r="G2" s="1395"/>
      <c r="H2" s="1395"/>
      <c r="I2" s="1395"/>
      <c r="J2" s="1396"/>
    </row>
    <row r="3" spans="3:17" ht="15" customHeight="1">
      <c r="C3" s="230"/>
      <c r="D3" s="1394"/>
      <c r="E3" s="1397"/>
      <c r="F3" s="1397"/>
      <c r="G3" s="1397"/>
      <c r="H3" s="1397"/>
      <c r="I3" s="1397"/>
      <c r="J3" s="1398"/>
    </row>
    <row r="4" spans="3:17" ht="21.75" customHeight="1">
      <c r="C4" s="230"/>
      <c r="D4" s="1399" t="s">
        <v>277</v>
      </c>
      <c r="E4" s="1399"/>
      <c r="F4" s="1399"/>
      <c r="G4" s="1399"/>
      <c r="H4" s="1399"/>
      <c r="I4" s="1399"/>
      <c r="J4" s="1400"/>
    </row>
    <row r="5" spans="3:17" ht="35.25" customHeight="1">
      <c r="C5" s="230"/>
      <c r="D5" s="231"/>
      <c r="E5" s="231"/>
      <c r="F5" s="1401" t="s">
        <v>278</v>
      </c>
      <c r="G5" s="1401"/>
      <c r="H5" s="1401"/>
      <c r="I5" s="231"/>
      <c r="J5" s="232"/>
    </row>
    <row r="6" spans="3:17" s="234" customFormat="1" ht="30" customHeight="1">
      <c r="C6" s="233"/>
      <c r="E6" s="235" t="s">
        <v>279</v>
      </c>
      <c r="F6" s="1402" t="s">
        <v>254</v>
      </c>
      <c r="G6" s="1403"/>
      <c r="H6" s="1404"/>
      <c r="J6" s="236"/>
      <c r="L6" s="1390"/>
      <c r="M6" s="1390"/>
      <c r="N6" s="1390"/>
      <c r="O6" s="1390"/>
      <c r="P6" s="1390"/>
      <c r="Q6" s="1390"/>
    </row>
    <row r="7" spans="3:17" s="234" customFormat="1" ht="14">
      <c r="C7" s="233"/>
      <c r="E7" s="237" t="s">
        <v>280</v>
      </c>
      <c r="F7" s="1406">
        <v>10</v>
      </c>
      <c r="G7" s="1407"/>
      <c r="H7" s="1408"/>
      <c r="J7" s="238"/>
      <c r="O7" s="239"/>
    </row>
    <row r="8" spans="3:17" s="234" customFormat="1" ht="14">
      <c r="C8" s="233"/>
      <c r="E8" s="237" t="s">
        <v>281</v>
      </c>
      <c r="F8" s="1409" t="s">
        <v>258</v>
      </c>
      <c r="G8" s="1410"/>
      <c r="H8" s="1411"/>
      <c r="J8" s="238"/>
    </row>
    <row r="9" spans="3:17" s="234" customFormat="1" ht="33.75" customHeight="1">
      <c r="C9" s="233"/>
      <c r="E9" s="235" t="s">
        <v>282</v>
      </c>
      <c r="F9" s="1409" t="s">
        <v>283</v>
      </c>
      <c r="G9" s="1410"/>
      <c r="H9" s="1411"/>
      <c r="J9" s="238"/>
    </row>
    <row r="10" spans="3:17" s="234" customFormat="1" ht="14">
      <c r="C10" s="233"/>
      <c r="F10" s="1412"/>
      <c r="G10" s="1413"/>
      <c r="H10" s="1414"/>
      <c r="J10" s="238"/>
    </row>
    <row r="11" spans="3:17" s="234" customFormat="1" ht="21" customHeight="1">
      <c r="C11" s="233"/>
      <c r="E11" s="235" t="s">
        <v>284</v>
      </c>
      <c r="F11" s="240">
        <v>44620</v>
      </c>
      <c r="G11" s="241"/>
      <c r="H11" s="241"/>
      <c r="I11" s="1391" t="s">
        <v>285</v>
      </c>
      <c r="J11" s="1392"/>
    </row>
    <row r="12" spans="3:17" s="234" customFormat="1" ht="16.5" customHeight="1">
      <c r="C12" s="233"/>
      <c r="E12" s="235"/>
      <c r="F12" s="242"/>
      <c r="G12" s="243"/>
      <c r="H12" s="243"/>
      <c r="J12" s="244"/>
    </row>
    <row r="13" spans="3:17" s="234" customFormat="1" ht="18.75" customHeight="1">
      <c r="C13" s="1393" t="s">
        <v>286</v>
      </c>
      <c r="D13" s="1394"/>
      <c r="E13" s="1394"/>
      <c r="F13" s="1394"/>
      <c r="G13" s="245"/>
      <c r="H13" s="245"/>
      <c r="I13" s="245"/>
      <c r="J13" s="246"/>
    </row>
    <row r="14" spans="3:17" s="234" customFormat="1" ht="25.5" customHeight="1" thickBot="1">
      <c r="C14" s="247" t="s">
        <v>287</v>
      </c>
      <c r="D14" s="1415" t="s">
        <v>288</v>
      </c>
      <c r="E14" s="1416"/>
      <c r="F14" s="1416"/>
      <c r="G14" s="1416"/>
      <c r="H14" s="1416"/>
      <c r="I14" s="1417"/>
      <c r="J14" s="248" t="s">
        <v>239</v>
      </c>
    </row>
    <row r="15" spans="3:17" s="234" customFormat="1" ht="15.75" customHeight="1">
      <c r="C15" s="249"/>
      <c r="D15" s="250" t="s">
        <v>289</v>
      </c>
      <c r="E15" s="251"/>
      <c r="F15" s="251"/>
      <c r="G15" s="251"/>
      <c r="H15" s="251"/>
      <c r="I15" s="252"/>
      <c r="J15" s="253">
        <v>20000000</v>
      </c>
    </row>
    <row r="16" spans="3:17" s="234" customFormat="1" ht="15.75" customHeight="1">
      <c r="C16" s="249"/>
      <c r="D16" s="254" t="s">
        <v>290</v>
      </c>
      <c r="E16" s="255"/>
      <c r="F16" s="255"/>
      <c r="G16" s="255"/>
      <c r="H16" s="255"/>
      <c r="I16" s="256"/>
      <c r="J16" s="253">
        <v>74946000</v>
      </c>
    </row>
    <row r="17" spans="3:12" s="234" customFormat="1" ht="16.5" customHeight="1" thickBot="1">
      <c r="C17" s="249"/>
      <c r="D17" s="257"/>
      <c r="E17" s="258"/>
      <c r="F17" s="258"/>
      <c r="G17" s="258"/>
      <c r="H17" s="258"/>
      <c r="I17" s="259"/>
      <c r="J17" s="253"/>
    </row>
    <row r="18" spans="3:12" s="234" customFormat="1" ht="15.75" customHeight="1" thickBot="1">
      <c r="C18" s="233"/>
      <c r="I18" s="237" t="s">
        <v>291</v>
      </c>
      <c r="J18" s="260">
        <f>SUM(J15:J17)</f>
        <v>94946000</v>
      </c>
    </row>
    <row r="19" spans="3:12" s="234" customFormat="1" ht="17.25" customHeight="1">
      <c r="C19" s="1418" t="s">
        <v>292</v>
      </c>
      <c r="D19" s="1419"/>
      <c r="E19" s="1419"/>
      <c r="F19" s="1419"/>
      <c r="G19" s="261"/>
      <c r="H19" s="261"/>
      <c r="I19" s="261"/>
      <c r="J19" s="262"/>
    </row>
    <row r="20" spans="3:12" s="234" customFormat="1" ht="25.5" customHeight="1" thickBot="1">
      <c r="C20" s="263"/>
      <c r="D20" s="1420" t="s">
        <v>288</v>
      </c>
      <c r="E20" s="1420"/>
      <c r="F20" s="1420"/>
      <c r="G20" s="1420"/>
      <c r="H20" s="1420"/>
      <c r="I20" s="1421"/>
      <c r="J20" s="264" t="s">
        <v>239</v>
      </c>
    </row>
    <row r="21" spans="3:12" s="234" customFormat="1" ht="15.75" customHeight="1">
      <c r="C21" s="265" t="s">
        <v>293</v>
      </c>
      <c r="D21" s="266"/>
      <c r="E21" s="266"/>
      <c r="F21" s="266"/>
      <c r="G21" s="266"/>
      <c r="H21" s="266"/>
      <c r="I21" s="267"/>
      <c r="J21" s="268">
        <v>9397107.3900000006</v>
      </c>
    </row>
    <row r="22" spans="3:12" s="234" customFormat="1" ht="15.75" customHeight="1">
      <c r="C22" s="269" t="s">
        <v>294</v>
      </c>
      <c r="D22" s="255"/>
      <c r="E22" s="255"/>
      <c r="F22" s="255"/>
      <c r="G22" s="255"/>
      <c r="H22" s="255"/>
      <c r="I22" s="270"/>
      <c r="J22" s="268">
        <v>20542704.07</v>
      </c>
      <c r="L22" s="271"/>
    </row>
    <row r="23" spans="3:12" s="234" customFormat="1" ht="16.5" customHeight="1" thickBot="1">
      <c r="C23" s="272"/>
      <c r="D23" s="273"/>
      <c r="E23" s="273"/>
      <c r="F23" s="273"/>
      <c r="G23" s="273"/>
      <c r="H23" s="273"/>
      <c r="I23" s="274"/>
      <c r="J23" s="275"/>
      <c r="L23" s="276"/>
    </row>
    <row r="24" spans="3:12" s="234" customFormat="1" ht="16.5" customHeight="1" thickBot="1">
      <c r="C24" s="233"/>
      <c r="I24" s="237" t="s">
        <v>291</v>
      </c>
      <c r="J24" s="260">
        <f>SUM(J21:J23)</f>
        <v>29939811.460000001</v>
      </c>
    </row>
    <row r="25" spans="3:12" s="234" customFormat="1" ht="21.75" customHeight="1">
      <c r="C25" s="1418" t="s">
        <v>295</v>
      </c>
      <c r="D25" s="1419"/>
      <c r="E25" s="1419"/>
      <c r="F25" s="1419"/>
      <c r="G25" s="277"/>
      <c r="H25" s="278"/>
      <c r="I25" s="278"/>
      <c r="J25" s="279"/>
    </row>
    <row r="26" spans="3:12" s="234" customFormat="1" ht="26.25" customHeight="1" thickBot="1">
      <c r="C26" s="280"/>
      <c r="D26" s="281" t="s">
        <v>288</v>
      </c>
      <c r="E26" s="1422"/>
      <c r="F26" s="1422"/>
      <c r="G26" s="1422"/>
      <c r="H26" s="1422"/>
      <c r="I26" s="282" t="s">
        <v>296</v>
      </c>
      <c r="J26" s="283" t="s">
        <v>239</v>
      </c>
    </row>
    <row r="27" spans="3:12" s="234" customFormat="1" ht="14.25" customHeight="1">
      <c r="C27" s="265" t="s">
        <v>297</v>
      </c>
      <c r="D27" s="266"/>
      <c r="E27" s="1405"/>
      <c r="F27" s="1405"/>
      <c r="G27" s="1405"/>
      <c r="H27" s="1405"/>
      <c r="I27" s="284"/>
      <c r="J27" s="285" t="e">
        <f>SUMMARY!#REF!</f>
        <v>#REF!</v>
      </c>
      <c r="K27" s="237" t="s">
        <v>214</v>
      </c>
    </row>
    <row r="28" spans="3:12" s="234" customFormat="1" ht="14.25" customHeight="1">
      <c r="C28" s="269" t="s">
        <v>298</v>
      </c>
      <c r="D28" s="255"/>
      <c r="E28" s="1425"/>
      <c r="F28" s="1425"/>
      <c r="G28" s="1425"/>
      <c r="H28" s="1425"/>
      <c r="I28" s="286"/>
      <c r="J28" s="285"/>
    </row>
    <row r="29" spans="3:12" s="234" customFormat="1" ht="14.25" customHeight="1">
      <c r="C29" s="272"/>
      <c r="D29" s="273"/>
      <c r="E29" s="1426"/>
      <c r="F29" s="1426"/>
      <c r="G29" s="1426"/>
      <c r="H29" s="1426"/>
      <c r="I29" s="287"/>
      <c r="J29" s="285"/>
    </row>
    <row r="30" spans="3:12" s="234" customFormat="1" ht="14.25" customHeight="1" thickBot="1">
      <c r="C30" s="1427"/>
      <c r="D30" s="1428"/>
      <c r="E30" s="1428"/>
      <c r="F30" s="1428"/>
      <c r="G30" s="1428"/>
      <c r="H30" s="1429"/>
      <c r="I30" s="288"/>
      <c r="J30" s="289"/>
    </row>
    <row r="31" spans="3:12" s="234" customFormat="1" ht="16.5" customHeight="1" thickBot="1">
      <c r="C31" s="1430"/>
      <c r="D31" s="1431"/>
      <c r="E31" s="1431"/>
      <c r="F31" s="290"/>
      <c r="I31" s="237" t="s">
        <v>299</v>
      </c>
      <c r="J31" s="291" t="e">
        <f>SUM(J27:J30)</f>
        <v>#REF!</v>
      </c>
      <c r="K31" s="245"/>
    </row>
    <row r="32" spans="3:12" s="234" customFormat="1" ht="17.25" customHeight="1" thickBot="1">
      <c r="C32" s="1432" t="s">
        <v>300</v>
      </c>
      <c r="D32" s="1433"/>
      <c r="E32" s="292">
        <v>0.1</v>
      </c>
      <c r="F32" s="1434" t="s">
        <v>301</v>
      </c>
      <c r="G32" s="1435"/>
      <c r="H32" s="237" t="s">
        <v>302</v>
      </c>
      <c r="I32" s="293">
        <v>0</v>
      </c>
      <c r="J32" s="294" t="e">
        <f>+J31*I32</f>
        <v>#REF!</v>
      </c>
    </row>
    <row r="33" spans="3:16" s="234" customFormat="1">
      <c r="C33" s="1423" t="s">
        <v>303</v>
      </c>
      <c r="D33" s="1424"/>
      <c r="E33" s="1424"/>
      <c r="G33" s="295"/>
      <c r="H33" s="237" t="s">
        <v>304</v>
      </c>
      <c r="I33" s="296"/>
      <c r="J33" s="297">
        <v>0</v>
      </c>
      <c r="O33" s="298"/>
      <c r="P33" s="298"/>
    </row>
    <row r="34" spans="3:16" s="234" customFormat="1" ht="14.25" customHeight="1">
      <c r="C34" s="1436" t="s">
        <v>305</v>
      </c>
      <c r="D34" s="1437"/>
      <c r="E34" s="1440" t="s">
        <v>306</v>
      </c>
      <c r="F34" s="1440" t="s">
        <v>307</v>
      </c>
      <c r="G34" s="1442" t="s">
        <v>308</v>
      </c>
      <c r="H34" s="237" t="s">
        <v>309</v>
      </c>
      <c r="I34" s="299">
        <v>0.1</v>
      </c>
      <c r="J34" s="300" t="e">
        <f>+J31*I34</f>
        <v>#REF!</v>
      </c>
      <c r="M34" s="301"/>
      <c r="N34" s="276"/>
      <c r="O34" s="298"/>
      <c r="P34" s="298"/>
    </row>
    <row r="35" spans="3:16" s="234" customFormat="1" ht="34.25" customHeight="1" thickBot="1">
      <c r="C35" s="1438"/>
      <c r="D35" s="1439"/>
      <c r="E35" s="1441"/>
      <c r="F35" s="1441"/>
      <c r="G35" s="1443"/>
      <c r="I35" s="237" t="s">
        <v>310</v>
      </c>
      <c r="J35" s="302">
        <f>'Material on Site'!N66</f>
        <v>0</v>
      </c>
      <c r="M35" s="303"/>
      <c r="N35" s="304"/>
      <c r="O35" s="298"/>
      <c r="P35" s="298"/>
    </row>
    <row r="36" spans="3:16" s="234" customFormat="1" ht="17.25" customHeight="1" thickBot="1">
      <c r="C36" s="305" t="s">
        <v>311</v>
      </c>
      <c r="D36" s="306">
        <f>+I34</f>
        <v>0.1</v>
      </c>
      <c r="E36" s="307" t="e">
        <f>+J34</f>
        <v>#REF!</v>
      </c>
      <c r="F36" s="307">
        <v>2186681.79</v>
      </c>
      <c r="G36" s="308" t="e">
        <f>+E36-F36</f>
        <v>#REF!</v>
      </c>
      <c r="I36" s="237" t="s">
        <v>299</v>
      </c>
      <c r="J36" s="291" t="e">
        <f>J31-J32-J33-J34+J35</f>
        <v>#REF!</v>
      </c>
      <c r="N36" s="276"/>
    </row>
    <row r="37" spans="3:16" s="234" customFormat="1" ht="17.25" customHeight="1" thickBot="1">
      <c r="C37" s="309" t="s">
        <v>312</v>
      </c>
      <c r="D37" s="306">
        <v>0.15</v>
      </c>
      <c r="E37" s="310" t="e">
        <f>+E36*D37</f>
        <v>#REF!</v>
      </c>
      <c r="F37" s="310">
        <f>+F36*D37</f>
        <v>328002.27</v>
      </c>
      <c r="G37" s="311" t="e">
        <f>+G36*D37</f>
        <v>#REF!</v>
      </c>
      <c r="I37" s="237" t="s">
        <v>313</v>
      </c>
      <c r="J37" s="312">
        <v>20136136.059999999</v>
      </c>
      <c r="N37" s="313"/>
    </row>
    <row r="38" spans="3:16" s="234" customFormat="1" ht="17.25" customHeight="1" thickBot="1">
      <c r="C38" s="314"/>
      <c r="D38" s="315" t="s">
        <v>314</v>
      </c>
      <c r="E38" s="316" t="e">
        <f>SUM(E35:E37)</f>
        <v>#REF!</v>
      </c>
      <c r="F38" s="316">
        <f>SUM(F36:F37)</f>
        <v>2514684.06</v>
      </c>
      <c r="G38" s="317" t="e">
        <f>SUM(G35:G37)</f>
        <v>#REF!</v>
      </c>
      <c r="I38" s="237" t="s">
        <v>315</v>
      </c>
      <c r="J38" s="318" t="e">
        <f>J36-J37</f>
        <v>#REF!</v>
      </c>
      <c r="N38" s="276"/>
    </row>
    <row r="39" spans="3:16" s="234" customFormat="1" ht="19.5" customHeight="1" thickBot="1">
      <c r="C39" s="233"/>
      <c r="E39" s="237"/>
      <c r="F39" s="319"/>
      <c r="I39" s="237" t="s">
        <v>316</v>
      </c>
      <c r="J39" s="320" t="e">
        <f>(+J38*0.15)</f>
        <v>#REF!</v>
      </c>
      <c r="N39" s="276"/>
    </row>
    <row r="40" spans="3:16" s="234" customFormat="1" ht="18.75" customHeight="1" thickBot="1">
      <c r="C40" s="1423" t="s">
        <v>317</v>
      </c>
      <c r="D40" s="1424"/>
      <c r="E40" s="1424"/>
      <c r="I40" s="321" t="s">
        <v>318</v>
      </c>
      <c r="J40" s="322" t="e">
        <f>J38+J39</f>
        <v>#REF!</v>
      </c>
    </row>
    <row r="41" spans="3:16" s="234" customFormat="1" ht="25.5" customHeight="1" thickBot="1">
      <c r="C41" s="323" t="s">
        <v>319</v>
      </c>
      <c r="D41" s="1422" t="s">
        <v>320</v>
      </c>
      <c r="E41" s="1446"/>
      <c r="F41" s="1447"/>
      <c r="G41" s="324" t="s">
        <v>239</v>
      </c>
      <c r="J41" s="325"/>
    </row>
    <row r="42" spans="3:16" s="234" customFormat="1" ht="16.5" customHeight="1" thickBot="1">
      <c r="C42" s="326" t="s">
        <v>321</v>
      </c>
      <c r="D42" s="1448" t="s">
        <v>322</v>
      </c>
      <c r="E42" s="1449"/>
      <c r="F42" s="1450"/>
      <c r="G42" s="327" t="e">
        <f>+J40</f>
        <v>#REF!</v>
      </c>
      <c r="J42" s="325"/>
    </row>
    <row r="43" spans="3:16" ht="16.5" customHeight="1">
      <c r="C43" s="326" t="s">
        <v>321</v>
      </c>
      <c r="D43" s="1451"/>
      <c r="E43" s="1452"/>
      <c r="F43" s="1453"/>
      <c r="G43" s="327"/>
      <c r="H43" s="328"/>
      <c r="J43" s="329"/>
    </row>
    <row r="44" spans="3:16" ht="17.25" customHeight="1" thickBot="1">
      <c r="C44" s="330" t="s">
        <v>323</v>
      </c>
      <c r="D44" s="1454"/>
      <c r="E44" s="1455"/>
      <c r="F44" s="1456"/>
      <c r="G44" s="327" t="e">
        <f>+G38</f>
        <v>#REF!</v>
      </c>
      <c r="H44" s="328"/>
      <c r="I44" s="1457"/>
      <c r="J44" s="1458"/>
    </row>
    <row r="45" spans="3:16" ht="18" customHeight="1" thickBot="1">
      <c r="C45" s="233"/>
      <c r="D45" s="234"/>
      <c r="E45" s="331"/>
      <c r="F45" s="332" t="s">
        <v>314</v>
      </c>
      <c r="G45" s="317" t="e">
        <f>SUM(G42:G44)</f>
        <v>#REF!</v>
      </c>
      <c r="H45" s="333" t="s">
        <v>324</v>
      </c>
      <c r="I45" s="1459"/>
      <c r="J45" s="1460"/>
    </row>
    <row r="46" spans="3:16" ht="15.75" customHeight="1" thickBot="1">
      <c r="C46" s="233"/>
      <c r="D46" s="234"/>
      <c r="E46" s="234"/>
      <c r="F46" s="234"/>
      <c r="G46" s="234"/>
      <c r="H46" s="328"/>
      <c r="I46" s="1444" t="s">
        <v>325</v>
      </c>
      <c r="J46" s="1445"/>
    </row>
    <row r="47" spans="3:16" ht="13.5" customHeight="1">
      <c r="C47" s="1461" t="s">
        <v>326</v>
      </c>
      <c r="D47" s="1462"/>
      <c r="E47" s="1462"/>
      <c r="F47" s="1462"/>
      <c r="G47" s="1463"/>
      <c r="H47" s="334"/>
      <c r="I47" s="1457"/>
      <c r="J47" s="1458"/>
    </row>
    <row r="48" spans="3:16" ht="14.25" customHeight="1">
      <c r="C48" s="1464" t="s">
        <v>327</v>
      </c>
      <c r="D48" s="1465"/>
      <c r="E48" s="1465"/>
      <c r="F48" s="1465"/>
      <c r="G48" s="1466"/>
      <c r="I48" s="239"/>
      <c r="J48" s="335"/>
    </row>
    <row r="49" spans="3:11" ht="14.25" customHeight="1">
      <c r="C49" s="1464" t="s">
        <v>328</v>
      </c>
      <c r="D49" s="1465"/>
      <c r="E49" s="1465"/>
      <c r="F49" s="1465"/>
      <c r="G49" s="1466"/>
      <c r="H49" s="234"/>
      <c r="I49" s="234"/>
      <c r="J49" s="325"/>
    </row>
    <row r="50" spans="3:11" ht="14.25" customHeight="1">
      <c r="C50" s="336"/>
      <c r="D50" s="337"/>
      <c r="E50" s="337"/>
      <c r="F50" s="337"/>
      <c r="G50" s="338"/>
      <c r="H50" s="328" t="s">
        <v>329</v>
      </c>
      <c r="I50" s="339"/>
      <c r="J50" s="329" t="s">
        <v>214</v>
      </c>
    </row>
    <row r="51" spans="3:11" ht="15" customHeight="1">
      <c r="C51" s="336"/>
      <c r="D51" s="337"/>
      <c r="E51" s="337"/>
      <c r="F51" s="337"/>
      <c r="G51" s="338"/>
      <c r="H51" s="340"/>
      <c r="I51" s="1444" t="s">
        <v>330</v>
      </c>
      <c r="J51" s="1445"/>
    </row>
    <row r="52" spans="3:11" ht="15.75" customHeight="1">
      <c r="C52" s="336" t="s">
        <v>331</v>
      </c>
      <c r="D52" s="337"/>
      <c r="E52" s="337"/>
      <c r="F52" s="337"/>
      <c r="G52" s="341">
        <f>F11</f>
        <v>44620</v>
      </c>
      <c r="H52" s="237"/>
      <c r="I52" s="1467" t="s">
        <v>220</v>
      </c>
      <c r="J52" s="1468"/>
    </row>
    <row r="53" spans="3:11" ht="15.75" customHeight="1">
      <c r="C53" s="1469" t="s">
        <v>332</v>
      </c>
      <c r="D53" s="1470"/>
      <c r="E53" s="1470"/>
      <c r="F53" s="342"/>
      <c r="G53" s="343"/>
      <c r="J53" s="335"/>
    </row>
    <row r="54" spans="3:11" ht="17.25" customHeight="1" thickBot="1">
      <c r="C54" s="1471" t="s">
        <v>333</v>
      </c>
      <c r="D54" s="1472"/>
      <c r="E54" s="1472"/>
      <c r="F54" s="1472"/>
      <c r="G54" s="1473"/>
      <c r="H54" s="328" t="s">
        <v>334</v>
      </c>
      <c r="I54" s="339" t="s">
        <v>335</v>
      </c>
      <c r="J54" s="329" t="s">
        <v>214</v>
      </c>
    </row>
    <row r="55" spans="3:11" ht="12.75" customHeight="1">
      <c r="C55" s="344"/>
      <c r="D55" s="345"/>
      <c r="E55" s="345"/>
      <c r="F55" s="345"/>
      <c r="G55" s="345"/>
      <c r="H55" s="340" t="s">
        <v>336</v>
      </c>
      <c r="I55" s="1444" t="s">
        <v>337</v>
      </c>
      <c r="J55" s="1445"/>
    </row>
    <row r="56" spans="3:11" ht="15" customHeight="1">
      <c r="C56" s="1423" t="s">
        <v>338</v>
      </c>
      <c r="D56" s="1424"/>
      <c r="E56" s="1424"/>
      <c r="F56" s="1424"/>
      <c r="G56" s="1424"/>
      <c r="H56" s="1424"/>
      <c r="I56" s="1424"/>
      <c r="J56" s="1474"/>
    </row>
    <row r="57" spans="3:11" ht="26.25" customHeight="1" thickBot="1">
      <c r="C57" s="346" t="s">
        <v>339</v>
      </c>
      <c r="D57" s="347" t="s">
        <v>340</v>
      </c>
      <c r="E57" s="347"/>
      <c r="F57" s="347"/>
      <c r="G57" s="348"/>
      <c r="H57" s="348" t="s">
        <v>341</v>
      </c>
      <c r="I57" s="349" t="s">
        <v>342</v>
      </c>
      <c r="J57" s="350" t="s">
        <v>343</v>
      </c>
      <c r="K57" s="351"/>
    </row>
    <row r="58" spans="3:11" ht="14.25" customHeight="1">
      <c r="C58" s="352">
        <f>F11</f>
        <v>44620</v>
      </c>
      <c r="D58" s="353" t="s">
        <v>431</v>
      </c>
      <c r="E58" s="354"/>
      <c r="F58" s="355" t="s">
        <v>214</v>
      </c>
      <c r="G58" s="356" t="s">
        <v>214</v>
      </c>
      <c r="H58" s="357" t="e">
        <f>$J$38</f>
        <v>#REF!</v>
      </c>
      <c r="I58" s="357" t="e">
        <f>$J$39</f>
        <v>#REF!</v>
      </c>
      <c r="J58" s="358" t="e">
        <f>SUM(H58:I58)</f>
        <v>#REF!</v>
      </c>
      <c r="K58" s="351"/>
    </row>
    <row r="59" spans="3:11" ht="14.25" customHeight="1">
      <c r="C59" s="359"/>
      <c r="D59" s="360" t="s">
        <v>345</v>
      </c>
      <c r="E59" s="361"/>
      <c r="F59" s="362"/>
      <c r="G59" s="357"/>
      <c r="H59" s="363">
        <f>RECONCILIATION!D15+RECONCILIATION!D16+RECONCILIATION!D17+RECONCILIATION!D18+RECONCILIATION!D19+RECONCILIATION!D20</f>
        <v>11489598.119999999</v>
      </c>
      <c r="I59" s="364">
        <f>H59*0.15</f>
        <v>1723439.72</v>
      </c>
      <c r="J59" s="358">
        <f>SUM(H59:I59)</f>
        <v>13213037.84</v>
      </c>
      <c r="K59" s="351"/>
    </row>
    <row r="60" spans="3:11" ht="14.25" customHeight="1" thickBot="1">
      <c r="C60" s="365" t="s">
        <v>214</v>
      </c>
      <c r="D60" s="360" t="s">
        <v>346</v>
      </c>
      <c r="E60" s="361"/>
      <c r="F60" s="362"/>
      <c r="G60" s="357"/>
      <c r="H60" s="366">
        <f>SUM(RECONCILIATION!D12:D14)</f>
        <v>8646837.8399999999</v>
      </c>
      <c r="I60" s="364">
        <f>H60*0.15</f>
        <v>1297025.68</v>
      </c>
      <c r="J60" s="358">
        <f>SUM(H60:I60)</f>
        <v>9943863.5199999996</v>
      </c>
      <c r="K60" s="351"/>
    </row>
    <row r="61" spans="3:11" ht="14.25" customHeight="1" thickTop="1">
      <c r="C61" s="365" t="s">
        <v>214</v>
      </c>
      <c r="D61" s="362"/>
      <c r="E61" s="367"/>
      <c r="F61" s="368" t="s">
        <v>347</v>
      </c>
      <c r="G61" s="357"/>
      <c r="H61" s="369" t="e">
        <f>SUM(H58:H60)</f>
        <v>#REF!</v>
      </c>
      <c r="I61" s="369" t="e">
        <f>SUM(I58:I60)</f>
        <v>#REF!</v>
      </c>
      <c r="J61" s="370" t="e">
        <f>SUM(J58:J60)</f>
        <v>#REF!</v>
      </c>
      <c r="K61" s="351"/>
    </row>
    <row r="62" spans="3:11" ht="14.25" customHeight="1" thickBot="1">
      <c r="C62" s="365" t="s">
        <v>214</v>
      </c>
      <c r="D62" s="355" t="s">
        <v>348</v>
      </c>
      <c r="E62" s="367"/>
      <c r="F62" s="362"/>
      <c r="G62" s="357"/>
      <c r="H62" s="357" t="e">
        <f>+E36</f>
        <v>#REF!</v>
      </c>
      <c r="I62" s="371" t="e">
        <f>E37</f>
        <v>#REF!</v>
      </c>
      <c r="J62" s="358" t="e">
        <f>SUM(H62:I62)</f>
        <v>#REF!</v>
      </c>
      <c r="K62" s="351"/>
    </row>
    <row r="63" spans="3:11" ht="18" customHeight="1" thickTop="1" thickBot="1">
      <c r="C63" s="372" t="s">
        <v>214</v>
      </c>
      <c r="D63" s="373" t="s">
        <v>214</v>
      </c>
      <c r="E63" s="374" t="s">
        <v>214</v>
      </c>
      <c r="F63" s="375"/>
      <c r="G63" s="376" t="s">
        <v>349</v>
      </c>
      <c r="H63" s="377" t="e">
        <f>SUM(H61:H62)</f>
        <v>#REF!</v>
      </c>
      <c r="I63" s="377" t="e">
        <f>SUM(I61:I62)</f>
        <v>#REF!</v>
      </c>
      <c r="J63" s="378" t="e">
        <f>SUM(J61:J62)</f>
        <v>#REF!</v>
      </c>
      <c r="K63" s="351"/>
    </row>
    <row r="64" spans="3:11" ht="12.75" customHeight="1">
      <c r="G64" s="234"/>
      <c r="H64" s="379"/>
      <c r="I64" s="380"/>
      <c r="J64" s="234"/>
    </row>
    <row r="65" spans="6:8">
      <c r="H65" s="381" t="e">
        <f>H63-RECONCILIATION!I41</f>
        <v>#REF!</v>
      </c>
    </row>
    <row r="66" spans="6:8">
      <c r="F66" s="382" t="s">
        <v>214</v>
      </c>
    </row>
    <row r="69" spans="6:8">
      <c r="H69" s="228">
        <v>8646837.8399999999</v>
      </c>
    </row>
  </sheetData>
  <mergeCells count="47">
    <mergeCell ref="I52:J52"/>
    <mergeCell ref="C53:E53"/>
    <mergeCell ref="C54:G54"/>
    <mergeCell ref="I55:J55"/>
    <mergeCell ref="C56:J56"/>
    <mergeCell ref="I51:J51"/>
    <mergeCell ref="D41:F41"/>
    <mergeCell ref="D42:F42"/>
    <mergeCell ref="D43:F43"/>
    <mergeCell ref="D44:F44"/>
    <mergeCell ref="I44:J44"/>
    <mergeCell ref="I45:J45"/>
    <mergeCell ref="I46:J46"/>
    <mergeCell ref="C47:G47"/>
    <mergeCell ref="I47:J47"/>
    <mergeCell ref="C48:G48"/>
    <mergeCell ref="C49:G49"/>
    <mergeCell ref="C40:E40"/>
    <mergeCell ref="E28:H28"/>
    <mergeCell ref="E29:H29"/>
    <mergeCell ref="C30:H30"/>
    <mergeCell ref="C31:E31"/>
    <mergeCell ref="C32:D32"/>
    <mergeCell ref="F32:G32"/>
    <mergeCell ref="C33:E33"/>
    <mergeCell ref="C34:D35"/>
    <mergeCell ref="E34:E35"/>
    <mergeCell ref="F34:F35"/>
    <mergeCell ref="G34:G35"/>
    <mergeCell ref="E27:H27"/>
    <mergeCell ref="F7:H7"/>
    <mergeCell ref="F8:H8"/>
    <mergeCell ref="F9:H9"/>
    <mergeCell ref="F10:H10"/>
    <mergeCell ref="D14:I14"/>
    <mergeCell ref="C19:F19"/>
    <mergeCell ref="D20:I20"/>
    <mergeCell ref="C25:F25"/>
    <mergeCell ref="E26:H26"/>
    <mergeCell ref="L6:Q6"/>
    <mergeCell ref="I11:J11"/>
    <mergeCell ref="C13:F13"/>
    <mergeCell ref="D2:J2"/>
    <mergeCell ref="D3:J3"/>
    <mergeCell ref="D4:J4"/>
    <mergeCell ref="F5:H5"/>
    <mergeCell ref="F6:H6"/>
  </mergeCells>
  <pageMargins left="0.7" right="0.7" top="0.75" bottom="0.75" header="0.3" footer="0.3"/>
  <pageSetup scale="56" orientation="portrait" r:id="rId1"/>
  <rowBreaks count="1" manualBreakCount="1">
    <brk id="64" max="16383" man="1"/>
  </rowBreaks>
  <colBreaks count="1" manualBreakCount="1">
    <brk id="11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3:AG36"/>
  <sheetViews>
    <sheetView view="pageBreakPreview" zoomScale="60" zoomScaleNormal="57" workbookViewId="0">
      <selection activeCell="AG21" sqref="AG21"/>
    </sheetView>
  </sheetViews>
  <sheetFormatPr defaultColWidth="9.08984375" defaultRowHeight="12.5"/>
  <cols>
    <col min="1" max="1" width="3.6328125" style="383" customWidth="1"/>
    <col min="2" max="2" width="19" style="383" customWidth="1"/>
    <col min="3" max="3" width="21.36328125" style="383" customWidth="1"/>
    <col min="4" max="4" width="19.08984375" style="383" customWidth="1"/>
    <col min="5" max="5" width="28" style="383" customWidth="1"/>
    <col min="6" max="6" width="21.6328125" style="383" customWidth="1"/>
    <col min="7" max="7" width="24.90625" style="383" customWidth="1"/>
    <col min="8" max="23" width="5.36328125" style="383" customWidth="1"/>
    <col min="24" max="24" width="12.36328125" style="383" customWidth="1"/>
    <col min="25" max="25" width="6" style="383" customWidth="1"/>
    <col min="26" max="28" width="9.08984375" style="383" hidden="1" customWidth="1"/>
    <col min="29" max="29" width="14.90625" style="383" hidden="1" customWidth="1"/>
    <col min="30" max="31" width="9.08984375" style="383" hidden="1" customWidth="1"/>
    <col min="32" max="32" width="9.08984375" style="383"/>
    <col min="33" max="33" width="14.453125" style="383" customWidth="1"/>
    <col min="34" max="16384" width="9.08984375" style="383"/>
  </cols>
  <sheetData>
    <row r="3" spans="1:31" ht="24" customHeight="1">
      <c r="A3" s="1481" t="s">
        <v>350</v>
      </c>
      <c r="B3" s="1481"/>
      <c r="C3" s="1481"/>
      <c r="D3" s="1481"/>
      <c r="E3" s="1481"/>
      <c r="F3" s="1481"/>
      <c r="G3" s="1481"/>
      <c r="H3" s="1481"/>
      <c r="I3" s="1481"/>
      <c r="J3" s="1481"/>
      <c r="K3" s="1481"/>
      <c r="L3" s="1481"/>
      <c r="M3" s="1481"/>
      <c r="N3" s="1481"/>
      <c r="O3" s="1481"/>
      <c r="P3" s="1481"/>
      <c r="Q3" s="1481"/>
      <c r="R3" s="1481"/>
      <c r="S3" s="1481"/>
      <c r="T3" s="1481"/>
      <c r="U3" s="1481"/>
      <c r="V3" s="1481"/>
      <c r="W3" s="1481"/>
      <c r="X3" s="1481"/>
      <c r="Y3" s="1481"/>
    </row>
    <row r="4" spans="1:31" ht="21" customHeight="1">
      <c r="A4" s="1482" t="s">
        <v>351</v>
      </c>
      <c r="B4" s="1482"/>
      <c r="C4" s="1482"/>
      <c r="D4" s="1482"/>
      <c r="E4" s="1482"/>
      <c r="F4" s="1482"/>
      <c r="G4" s="1482"/>
      <c r="H4" s="1482"/>
      <c r="I4" s="1482"/>
      <c r="J4" s="1482"/>
      <c r="K4" s="1482"/>
      <c r="L4" s="1482"/>
      <c r="M4" s="1482"/>
      <c r="N4" s="1482"/>
      <c r="O4" s="1482"/>
      <c r="P4" s="1482"/>
      <c r="Q4" s="1482"/>
      <c r="R4" s="1482"/>
      <c r="S4" s="1482"/>
      <c r="T4" s="1482"/>
      <c r="U4" s="1482"/>
      <c r="V4" s="1482"/>
      <c r="W4" s="1482"/>
      <c r="X4" s="1482"/>
      <c r="Y4" s="1482"/>
    </row>
    <row r="5" spans="1:31">
      <c r="A5" s="384"/>
    </row>
    <row r="6" spans="1:31" ht="24.75" customHeight="1" thickBot="1">
      <c r="A6" s="1481" t="s">
        <v>352</v>
      </c>
      <c r="B6" s="1481"/>
      <c r="C6" s="1481"/>
      <c r="D6" s="1481"/>
      <c r="E6" s="1481"/>
      <c r="F6" s="1481"/>
      <c r="G6" s="1481"/>
      <c r="H6" s="1481"/>
      <c r="I6" s="1481"/>
      <c r="J6" s="1481"/>
      <c r="K6" s="1481"/>
      <c r="L6" s="1481"/>
      <c r="M6" s="1481"/>
      <c r="N6" s="1481"/>
      <c r="O6" s="1481"/>
      <c r="P6" s="1481"/>
      <c r="Q6" s="1481"/>
      <c r="R6" s="1481"/>
      <c r="S6" s="1481"/>
      <c r="T6" s="1481"/>
      <c r="U6" s="1481"/>
      <c r="V6" s="1481"/>
      <c r="W6" s="1481"/>
      <c r="X6" s="1481"/>
      <c r="Y6" s="1481"/>
    </row>
    <row r="7" spans="1:31" ht="24.75" customHeight="1" thickBot="1">
      <c r="A7" s="385"/>
      <c r="B7" s="1483" t="s">
        <v>353</v>
      </c>
      <c r="C7" s="1484"/>
      <c r="D7" s="1483" t="s">
        <v>354</v>
      </c>
      <c r="E7" s="1485"/>
      <c r="F7" s="1486" t="s">
        <v>249</v>
      </c>
      <c r="G7" s="1485"/>
      <c r="H7" s="1487" t="s">
        <v>250</v>
      </c>
      <c r="I7" s="1488"/>
      <c r="J7" s="1488"/>
      <c r="K7" s="1489"/>
      <c r="L7" s="1489"/>
      <c r="M7" s="1485"/>
      <c r="N7" s="1490" t="s">
        <v>355</v>
      </c>
      <c r="O7" s="1489"/>
      <c r="P7" s="1489"/>
      <c r="Q7" s="1489"/>
      <c r="R7" s="1489"/>
      <c r="S7" s="1489"/>
      <c r="T7" s="1489"/>
      <c r="U7" s="1489"/>
      <c r="V7" s="1489"/>
      <c r="W7" s="1489"/>
      <c r="X7" s="1489"/>
      <c r="Y7" s="1485"/>
      <c r="Z7" s="386"/>
      <c r="AA7" s="387"/>
      <c r="AB7" s="387"/>
      <c r="AC7" s="387"/>
      <c r="AD7" s="387"/>
      <c r="AE7" s="387"/>
    </row>
    <row r="8" spans="1:31" ht="15" customHeight="1">
      <c r="A8" s="1491">
        <v>1</v>
      </c>
      <c r="B8" s="1493" t="s">
        <v>356</v>
      </c>
      <c r="C8" s="1494"/>
      <c r="D8" s="1497" t="s">
        <v>357</v>
      </c>
      <c r="E8" s="1498"/>
      <c r="F8" s="1501"/>
      <c r="G8" s="1502"/>
      <c r="H8" s="1505"/>
      <c r="I8" s="1506"/>
      <c r="J8" s="1506"/>
      <c r="K8" s="1507"/>
      <c r="L8" s="1507"/>
      <c r="M8" s="1508"/>
      <c r="N8" s="1475"/>
      <c r="O8" s="1476"/>
      <c r="P8" s="1476"/>
      <c r="Q8" s="1476"/>
      <c r="R8" s="1476"/>
      <c r="S8" s="1476"/>
      <c r="T8" s="1476"/>
      <c r="U8" s="1476"/>
      <c r="V8" s="1476"/>
      <c r="W8" s="1476"/>
      <c r="X8" s="1476"/>
      <c r="Y8" s="1477"/>
      <c r="Z8" s="388"/>
      <c r="AA8" s="389"/>
      <c r="AB8" s="389"/>
      <c r="AC8" s="389"/>
      <c r="AD8" s="389"/>
      <c r="AE8" s="389"/>
    </row>
    <row r="9" spans="1:31" ht="12.75" customHeight="1" thickBot="1">
      <c r="A9" s="1492"/>
      <c r="B9" s="1495"/>
      <c r="C9" s="1496"/>
      <c r="D9" s="1499"/>
      <c r="E9" s="1500"/>
      <c r="F9" s="1503"/>
      <c r="G9" s="1504"/>
      <c r="H9" s="1509"/>
      <c r="I9" s="1510"/>
      <c r="J9" s="1510"/>
      <c r="K9" s="1510"/>
      <c r="L9" s="1510"/>
      <c r="M9" s="1511"/>
      <c r="N9" s="1478"/>
      <c r="O9" s="1479"/>
      <c r="P9" s="1479"/>
      <c r="Q9" s="1479"/>
      <c r="R9" s="1479"/>
      <c r="S9" s="1479"/>
      <c r="T9" s="1479"/>
      <c r="U9" s="1479"/>
      <c r="V9" s="1479"/>
      <c r="W9" s="1479"/>
      <c r="X9" s="1479"/>
      <c r="Y9" s="1480"/>
      <c r="Z9" s="388"/>
      <c r="AA9" s="389"/>
      <c r="AB9" s="389"/>
      <c r="AC9" s="389"/>
      <c r="AD9" s="389"/>
      <c r="AE9" s="389"/>
    </row>
    <row r="10" spans="1:31" ht="15.75" customHeight="1">
      <c r="A10" s="1491">
        <v>2</v>
      </c>
      <c r="B10" s="1518" t="s">
        <v>358</v>
      </c>
      <c r="C10" s="1519"/>
      <c r="D10" s="1522"/>
      <c r="E10" s="1523"/>
      <c r="F10" s="1526"/>
      <c r="G10" s="1527"/>
      <c r="H10" s="1530"/>
      <c r="I10" s="1531"/>
      <c r="J10" s="1531"/>
      <c r="K10" s="1476"/>
      <c r="L10" s="1476"/>
      <c r="M10" s="1477"/>
      <c r="N10" s="1532"/>
      <c r="O10" s="1515"/>
      <c r="P10" s="1515"/>
      <c r="Q10" s="1515"/>
      <c r="R10" s="1515"/>
      <c r="S10" s="1515"/>
      <c r="T10" s="1515"/>
      <c r="U10" s="1515"/>
      <c r="V10" s="1515"/>
      <c r="W10" s="1515"/>
      <c r="X10" s="1515"/>
      <c r="Y10" s="1516"/>
      <c r="Z10" s="388"/>
      <c r="AA10" s="389"/>
      <c r="AB10" s="389"/>
      <c r="AC10" s="389"/>
      <c r="AD10" s="389"/>
      <c r="AE10" s="389"/>
    </row>
    <row r="11" spans="1:31" ht="12" customHeight="1" thickBot="1">
      <c r="A11" s="1517"/>
      <c r="B11" s="1520"/>
      <c r="C11" s="1521"/>
      <c r="D11" s="1524"/>
      <c r="E11" s="1525"/>
      <c r="F11" s="1528"/>
      <c r="G11" s="1529"/>
      <c r="H11" s="1532"/>
      <c r="I11" s="1515"/>
      <c r="J11" s="1515"/>
      <c r="K11" s="1515"/>
      <c r="L11" s="1515"/>
      <c r="M11" s="1516"/>
      <c r="N11" s="1532"/>
      <c r="O11" s="1515"/>
      <c r="P11" s="1515"/>
      <c r="Q11" s="1515"/>
      <c r="R11" s="1515"/>
      <c r="S11" s="1515"/>
      <c r="T11" s="1515"/>
      <c r="U11" s="1515"/>
      <c r="V11" s="1515"/>
      <c r="W11" s="1515"/>
      <c r="X11" s="1515"/>
      <c r="Y11" s="1516"/>
      <c r="Z11" s="388"/>
      <c r="AA11" s="389"/>
      <c r="AB11" s="389"/>
      <c r="AC11" s="389"/>
      <c r="AD11" s="389"/>
      <c r="AE11" s="389"/>
    </row>
    <row r="12" spans="1:31" ht="30.75" customHeight="1" thickBot="1">
      <c r="A12" s="390">
        <v>3</v>
      </c>
      <c r="B12" s="1533" t="s">
        <v>359</v>
      </c>
      <c r="C12" s="1534"/>
      <c r="D12" s="1535" t="s">
        <v>360</v>
      </c>
      <c r="E12" s="1536"/>
      <c r="F12" s="1537"/>
      <c r="G12" s="1538"/>
      <c r="H12" s="1539"/>
      <c r="I12" s="1540"/>
      <c r="J12" s="1540"/>
      <c r="K12" s="1540"/>
      <c r="L12" s="1540"/>
      <c r="M12" s="1541"/>
      <c r="N12" s="1542"/>
      <c r="O12" s="1543"/>
      <c r="P12" s="1543"/>
      <c r="Q12" s="1543"/>
      <c r="R12" s="1543"/>
      <c r="S12" s="1543"/>
      <c r="T12" s="1543"/>
      <c r="U12" s="1543"/>
      <c r="V12" s="1543"/>
      <c r="W12" s="1543"/>
      <c r="X12" s="1543"/>
      <c r="Y12" s="1538"/>
      <c r="Z12" s="388"/>
      <c r="AA12" s="389"/>
      <c r="AB12" s="389"/>
      <c r="AC12" s="389"/>
      <c r="AD12" s="389"/>
      <c r="AE12" s="389"/>
    </row>
    <row r="13" spans="1:31" ht="18.75" customHeight="1" thickBot="1">
      <c r="A13" s="391"/>
      <c r="B13" s="392"/>
      <c r="C13" s="392"/>
      <c r="D13" s="392"/>
      <c r="E13" s="392"/>
      <c r="F13" s="1512"/>
      <c r="G13" s="1512"/>
      <c r="H13" s="1513"/>
      <c r="I13" s="1513"/>
      <c r="J13" s="1513"/>
      <c r="K13" s="1514"/>
      <c r="L13" s="1514"/>
      <c r="M13" s="1514"/>
      <c r="N13" s="1515"/>
      <c r="O13" s="1515"/>
      <c r="P13" s="1515"/>
      <c r="Q13" s="1515"/>
      <c r="R13" s="1515"/>
      <c r="S13" s="1515"/>
      <c r="T13" s="1515"/>
      <c r="U13" s="1515"/>
      <c r="V13" s="1515"/>
      <c r="W13" s="1515"/>
      <c r="X13" s="1515"/>
      <c r="Y13" s="1516"/>
      <c r="Z13" s="393"/>
      <c r="AA13" s="394"/>
      <c r="AB13" s="394"/>
      <c r="AC13" s="394"/>
      <c r="AD13" s="394"/>
      <c r="AE13" s="394"/>
    </row>
    <row r="14" spans="1:31" s="384" customFormat="1" ht="3.75" hidden="1" customHeight="1">
      <c r="A14" s="395"/>
      <c r="B14" s="396"/>
      <c r="C14" s="396"/>
      <c r="D14" s="396"/>
      <c r="E14" s="396"/>
      <c r="F14" s="396"/>
      <c r="G14" s="396"/>
      <c r="H14" s="396"/>
      <c r="I14" s="396"/>
      <c r="J14" s="396"/>
      <c r="K14" s="396"/>
      <c r="L14" s="396"/>
      <c r="M14" s="396"/>
      <c r="N14" s="396"/>
      <c r="O14" s="396"/>
      <c r="P14" s="396"/>
      <c r="Q14" s="396"/>
      <c r="R14" s="396"/>
      <c r="S14" s="396"/>
      <c r="T14" s="396"/>
      <c r="U14" s="396"/>
      <c r="V14" s="396"/>
      <c r="W14" s="396"/>
      <c r="X14" s="396"/>
      <c r="Y14" s="397"/>
    </row>
    <row r="15" spans="1:31" s="384" customFormat="1" ht="21.75" customHeight="1">
      <c r="A15" s="1544" t="s">
        <v>361</v>
      </c>
      <c r="B15" s="1545"/>
      <c r="C15" s="1545"/>
      <c r="D15" s="1545"/>
      <c r="E15" s="1545"/>
      <c r="F15" s="1545"/>
      <c r="G15" s="1546"/>
      <c r="H15" s="1550" t="s">
        <v>362</v>
      </c>
      <c r="I15" s="1551"/>
      <c r="J15" s="1551"/>
      <c r="K15" s="1551"/>
      <c r="L15" s="1551"/>
      <c r="M15" s="1551"/>
      <c r="N15" s="1551"/>
      <c r="O15" s="1551"/>
      <c r="P15" s="1551"/>
      <c r="Q15" s="1551"/>
      <c r="R15" s="1551"/>
      <c r="S15" s="1551"/>
      <c r="T15" s="1551"/>
      <c r="U15" s="1551"/>
      <c r="V15" s="1551"/>
      <c r="W15" s="1552"/>
      <c r="X15" s="1556" t="s">
        <v>363</v>
      </c>
      <c r="Y15" s="1557"/>
    </row>
    <row r="16" spans="1:31" s="384" customFormat="1" ht="24.75" customHeight="1" thickBot="1">
      <c r="A16" s="1547"/>
      <c r="B16" s="1548"/>
      <c r="C16" s="1548"/>
      <c r="D16" s="1548"/>
      <c r="E16" s="1548"/>
      <c r="F16" s="1548"/>
      <c r="G16" s="1549"/>
      <c r="H16" s="1553"/>
      <c r="I16" s="1554"/>
      <c r="J16" s="1554"/>
      <c r="K16" s="1554"/>
      <c r="L16" s="1554"/>
      <c r="M16" s="1554"/>
      <c r="N16" s="1554"/>
      <c r="O16" s="1554"/>
      <c r="P16" s="1554"/>
      <c r="Q16" s="1554"/>
      <c r="R16" s="1554"/>
      <c r="S16" s="1554"/>
      <c r="T16" s="1554"/>
      <c r="U16" s="1554"/>
      <c r="V16" s="1554"/>
      <c r="W16" s="1555"/>
      <c r="X16" s="1558" t="s">
        <v>364</v>
      </c>
      <c r="Y16" s="1559"/>
    </row>
    <row r="17" spans="1:33" s="384" customFormat="1" ht="24" customHeight="1">
      <c r="A17" s="1560" t="s">
        <v>365</v>
      </c>
      <c r="B17" s="1561"/>
      <c r="C17" s="1561"/>
      <c r="D17" s="1561"/>
      <c r="E17" s="1561"/>
      <c r="F17" s="1561"/>
      <c r="G17" s="1562"/>
      <c r="H17" s="398"/>
      <c r="I17" s="399"/>
      <c r="J17" s="399"/>
      <c r="K17" s="399"/>
      <c r="L17" s="399"/>
      <c r="M17" s="399"/>
      <c r="N17" s="399"/>
      <c r="O17" s="399"/>
      <c r="P17" s="399"/>
      <c r="Q17" s="399"/>
      <c r="R17" s="399"/>
      <c r="S17" s="399"/>
      <c r="T17" s="399"/>
      <c r="U17" s="399"/>
      <c r="V17" s="399"/>
      <c r="W17" s="400"/>
      <c r="X17" s="1563"/>
      <c r="Y17" s="1564"/>
    </row>
    <row r="18" spans="1:33" s="384" customFormat="1" ht="24" customHeight="1">
      <c r="A18" s="1565" t="s">
        <v>366</v>
      </c>
      <c r="B18" s="1566"/>
      <c r="C18" s="1566"/>
      <c r="D18" s="1566"/>
      <c r="E18" s="1566"/>
      <c r="F18" s="1566"/>
      <c r="G18" s="1567"/>
      <c r="H18" s="401">
        <v>3</v>
      </c>
      <c r="I18" s="402">
        <v>1</v>
      </c>
      <c r="J18" s="402">
        <v>0</v>
      </c>
      <c r="K18" s="402">
        <v>8</v>
      </c>
      <c r="L18" s="402">
        <v>2</v>
      </c>
      <c r="M18" s="402">
        <v>0</v>
      </c>
      <c r="N18" s="402">
        <v>2</v>
      </c>
      <c r="O18" s="402">
        <v>2</v>
      </c>
      <c r="P18" s="402">
        <v>2</v>
      </c>
      <c r="Q18" s="402">
        <v>4</v>
      </c>
      <c r="R18" s="402">
        <v>1</v>
      </c>
      <c r="S18" s="402">
        <v>0</v>
      </c>
      <c r="T18" s="402">
        <v>0</v>
      </c>
      <c r="U18" s="402">
        <v>3</v>
      </c>
      <c r="V18" s="402">
        <v>1</v>
      </c>
      <c r="W18" s="403">
        <v>5</v>
      </c>
      <c r="X18" s="1568" t="e">
        <f>'JRA CERTIFICATE'!J40</f>
        <v>#REF!</v>
      </c>
      <c r="Y18" s="1569"/>
      <c r="AA18" s="384" t="str">
        <f>FIXED('[14]Contractor Payment Cert'!G42,2,TRUE)</f>
        <v>0.00</v>
      </c>
      <c r="AC18" s="404"/>
      <c r="AG18" s="405"/>
    </row>
    <row r="19" spans="1:33" s="384" customFormat="1" ht="24" customHeight="1">
      <c r="A19" s="1570"/>
      <c r="B19" s="1571"/>
      <c r="C19" s="1571"/>
      <c r="D19" s="1571"/>
      <c r="E19" s="1571"/>
      <c r="F19" s="1571"/>
      <c r="G19" s="1572"/>
      <c r="H19" s="406"/>
      <c r="I19" s="407"/>
      <c r="J19" s="407"/>
      <c r="K19" s="407"/>
      <c r="L19" s="407"/>
      <c r="M19" s="407"/>
      <c r="N19" s="407"/>
      <c r="O19" s="407"/>
      <c r="P19" s="407"/>
      <c r="Q19" s="407"/>
      <c r="R19" s="407"/>
      <c r="S19" s="407"/>
      <c r="T19" s="407"/>
      <c r="U19" s="407"/>
      <c r="V19" s="407"/>
      <c r="W19" s="408"/>
      <c r="X19" s="1573"/>
      <c r="Y19" s="1574"/>
      <c r="AC19" s="404"/>
    </row>
    <row r="20" spans="1:33" s="384" customFormat="1" ht="24" customHeight="1">
      <c r="A20" s="1575" t="s">
        <v>367</v>
      </c>
      <c r="B20" s="1576"/>
      <c r="C20" s="1576"/>
      <c r="D20" s="1576"/>
      <c r="E20" s="1576"/>
      <c r="F20" s="1576"/>
      <c r="G20" s="1576"/>
      <c r="H20" s="401" t="str">
        <f>MID('[14]Contractor Payment Cert'!D44,1,1)</f>
        <v/>
      </c>
      <c r="I20" s="402" t="str">
        <f>MID('[14]Contractor Payment Cert'!D44,2,1)</f>
        <v/>
      </c>
      <c r="J20" s="402" t="str">
        <f>MID('[14]Contractor Payment Cert'!D44,3,1)</f>
        <v/>
      </c>
      <c r="K20" s="402" t="str">
        <f>MID('[14]Contractor Payment Cert'!D44,4,1)</f>
        <v/>
      </c>
      <c r="L20" s="402" t="str">
        <f>MID('[14]Contractor Payment Cert'!D44,5,1)</f>
        <v/>
      </c>
      <c r="M20" s="402" t="str">
        <f>MID('[14]Contractor Payment Cert'!D44,6,1)</f>
        <v/>
      </c>
      <c r="N20" s="402" t="str">
        <f>MID('[14]Contractor Payment Cert'!D44,7,1)</f>
        <v/>
      </c>
      <c r="O20" s="402" t="str">
        <f>MID('[14]Contractor Payment Cert'!D44,8,1)</f>
        <v/>
      </c>
      <c r="P20" s="402" t="str">
        <f>MID('[14]Contractor Payment Cert'!D44,9,1)</f>
        <v/>
      </c>
      <c r="Q20" s="402" t="str">
        <f>MID('[14]Contractor Payment Cert'!D44,10,1)</f>
        <v/>
      </c>
      <c r="R20" s="402" t="str">
        <f>MID('[14]Contractor Payment Cert'!D44,11,1)</f>
        <v/>
      </c>
      <c r="S20" s="402" t="str">
        <f>MID('[14]Contractor Payment Cert'!D44,12,1)</f>
        <v/>
      </c>
      <c r="T20" s="402" t="str">
        <f>MID('[14]Contractor Payment Cert'!D44,13,1)</f>
        <v/>
      </c>
      <c r="U20" s="402" t="str">
        <f>MID('[14]Contractor Payment Cert'!D44,14,1)</f>
        <v/>
      </c>
      <c r="V20" s="402" t="str">
        <f>MID('[14]Contractor Payment Cert'!D44,15,1)</f>
        <v/>
      </c>
      <c r="W20" s="409" t="str">
        <f>MID('[14]Contractor Payment Cert'!D44,16,1)</f>
        <v/>
      </c>
      <c r="X20" s="1568" t="e">
        <f>'JRA CERTIFICATE'!G44</f>
        <v>#REF!</v>
      </c>
      <c r="Y20" s="1569"/>
      <c r="AC20" s="404"/>
    </row>
    <row r="21" spans="1:33" s="384" customFormat="1" ht="24" customHeight="1" thickBot="1">
      <c r="A21" s="1577"/>
      <c r="B21" s="1578"/>
      <c r="C21" s="1578"/>
      <c r="D21" s="1578"/>
      <c r="E21" s="1578"/>
      <c r="F21" s="1578"/>
      <c r="G21" s="1578"/>
      <c r="H21" s="410"/>
      <c r="I21" s="411"/>
      <c r="J21" s="411"/>
      <c r="K21" s="411"/>
      <c r="L21" s="411"/>
      <c r="M21" s="411"/>
      <c r="N21" s="411"/>
      <c r="O21" s="411"/>
      <c r="P21" s="411"/>
      <c r="Q21" s="411"/>
      <c r="R21" s="411"/>
      <c r="S21" s="411"/>
      <c r="T21" s="411"/>
      <c r="U21" s="411"/>
      <c r="V21" s="411"/>
      <c r="W21" s="412"/>
      <c r="X21" s="1579"/>
      <c r="Y21" s="1580"/>
      <c r="AC21" s="404"/>
    </row>
    <row r="22" spans="1:33" s="384" customFormat="1" ht="24" customHeight="1" thickBot="1">
      <c r="A22" s="1581" t="s">
        <v>368</v>
      </c>
      <c r="B22" s="1582"/>
      <c r="C22" s="1582"/>
      <c r="D22" s="1582"/>
      <c r="E22" s="1582"/>
      <c r="F22" s="1582"/>
      <c r="G22" s="1583"/>
      <c r="H22" s="413"/>
      <c r="I22" s="414"/>
      <c r="J22" s="414"/>
      <c r="K22" s="414"/>
      <c r="L22" s="414"/>
      <c r="M22" s="414"/>
      <c r="N22" s="414"/>
      <c r="O22" s="414"/>
      <c r="P22" s="414"/>
      <c r="Q22" s="414"/>
      <c r="R22" s="414"/>
      <c r="S22" s="414"/>
      <c r="T22" s="414"/>
      <c r="U22" s="414"/>
      <c r="V22" s="414"/>
      <c r="W22" s="415"/>
      <c r="X22" s="1584" t="e">
        <f>SUM(X17:Y21)</f>
        <v>#REF!</v>
      </c>
      <c r="Y22" s="1585"/>
      <c r="AC22" s="404"/>
    </row>
    <row r="23" spans="1:33" s="384" customFormat="1" ht="24" customHeight="1">
      <c r="A23" s="1586" t="s">
        <v>369</v>
      </c>
      <c r="B23" s="1587"/>
      <c r="C23" s="1587"/>
      <c r="D23" s="1587"/>
      <c r="E23" s="1587"/>
      <c r="F23" s="1587"/>
      <c r="G23" s="1588"/>
      <c r="H23" s="416"/>
      <c r="I23" s="417"/>
      <c r="J23" s="417"/>
      <c r="K23" s="417"/>
      <c r="L23" s="417"/>
      <c r="M23" s="417"/>
      <c r="N23" s="417"/>
      <c r="O23" s="417"/>
      <c r="P23" s="417"/>
      <c r="Q23" s="417"/>
      <c r="R23" s="417"/>
      <c r="S23" s="417"/>
      <c r="T23" s="417"/>
      <c r="U23" s="417"/>
      <c r="V23" s="417"/>
      <c r="W23" s="417"/>
      <c r="X23" s="1589"/>
      <c r="Y23" s="1590"/>
    </row>
    <row r="24" spans="1:33" s="384" customFormat="1" ht="24" customHeight="1">
      <c r="A24" s="1591" t="s">
        <v>205</v>
      </c>
      <c r="B24" s="1592"/>
      <c r="C24" s="1592"/>
      <c r="D24" s="1592"/>
      <c r="E24" s="1592"/>
      <c r="F24" s="1592"/>
      <c r="G24" s="1593"/>
      <c r="H24" s="418"/>
      <c r="I24" s="419"/>
      <c r="J24" s="419"/>
      <c r="K24" s="419"/>
      <c r="L24" s="419"/>
      <c r="M24" s="419"/>
      <c r="N24" s="419"/>
      <c r="O24" s="419"/>
      <c r="P24" s="419"/>
      <c r="Q24" s="419"/>
      <c r="R24" s="419"/>
      <c r="S24" s="419"/>
      <c r="T24" s="419"/>
      <c r="U24" s="419"/>
      <c r="V24" s="419"/>
      <c r="W24" s="419"/>
      <c r="X24" s="1594"/>
      <c r="Y24" s="1595"/>
    </row>
    <row r="25" spans="1:33" s="384" customFormat="1" ht="24" customHeight="1" thickBot="1">
      <c r="A25" s="1596" t="s">
        <v>370</v>
      </c>
      <c r="B25" s="1597"/>
      <c r="C25" s="1597"/>
      <c r="D25" s="1597"/>
      <c r="E25" s="1597"/>
      <c r="F25" s="1597"/>
      <c r="G25" s="1598"/>
      <c r="H25" s="420"/>
      <c r="I25" s="421"/>
      <c r="J25" s="421"/>
      <c r="K25" s="421"/>
      <c r="L25" s="421"/>
      <c r="M25" s="421"/>
      <c r="N25" s="421"/>
      <c r="O25" s="421"/>
      <c r="P25" s="421"/>
      <c r="Q25" s="421"/>
      <c r="R25" s="421"/>
      <c r="S25" s="421"/>
      <c r="T25" s="421"/>
      <c r="U25" s="421"/>
      <c r="V25" s="421"/>
      <c r="W25" s="422"/>
      <c r="X25" s="1599"/>
      <c r="Y25" s="1600"/>
    </row>
    <row r="26" spans="1:33" s="384" customFormat="1" ht="24" customHeight="1" thickBot="1">
      <c r="A26" s="423"/>
      <c r="B26" s="423"/>
      <c r="C26" s="423"/>
      <c r="D26" s="423"/>
      <c r="E26" s="423"/>
      <c r="F26" s="423"/>
      <c r="G26" s="423"/>
      <c r="H26" s="424"/>
      <c r="I26" s="424"/>
      <c r="J26" s="424"/>
      <c r="K26" s="424"/>
      <c r="L26" s="424"/>
      <c r="M26" s="424"/>
      <c r="N26" s="424"/>
      <c r="O26" s="424"/>
      <c r="P26" s="424"/>
      <c r="Q26" s="424"/>
      <c r="R26" s="424"/>
      <c r="S26" s="424"/>
      <c r="T26" s="424"/>
      <c r="U26" s="424"/>
      <c r="V26" s="424"/>
      <c r="W26" s="424"/>
      <c r="X26" s="425"/>
      <c r="Y26" s="426"/>
    </row>
    <row r="27" spans="1:33" s="384" customFormat="1" ht="18" customHeight="1">
      <c r="A27" s="1601" t="s">
        <v>371</v>
      </c>
      <c r="B27" s="1602"/>
      <c r="C27" s="427"/>
      <c r="D27" s="428" t="s">
        <v>372</v>
      </c>
      <c r="E27" s="429"/>
      <c r="F27" s="428" t="s">
        <v>372</v>
      </c>
      <c r="G27" s="1603"/>
      <c r="H27" s="1604"/>
      <c r="I27" s="1605" t="s">
        <v>372</v>
      </c>
      <c r="J27" s="1605"/>
      <c r="K27" s="1605"/>
      <c r="L27" s="1605"/>
      <c r="M27" s="1606"/>
      <c r="N27" s="1606"/>
      <c r="O27" s="1606"/>
      <c r="P27" s="1606"/>
      <c r="Q27" s="1606"/>
      <c r="R27" s="1602" t="s">
        <v>372</v>
      </c>
      <c r="S27" s="1605"/>
      <c r="T27" s="1605"/>
      <c r="U27" s="1605"/>
      <c r="V27" s="1605"/>
      <c r="W27" s="1607"/>
      <c r="X27" s="1607"/>
      <c r="Y27" s="1607"/>
      <c r="Z27" s="430"/>
      <c r="AA27" s="430"/>
      <c r="AB27" s="1609"/>
      <c r="AC27" s="1610"/>
      <c r="AD27" s="1610"/>
      <c r="AE27" s="1611"/>
    </row>
    <row r="28" spans="1:33" s="384" customFormat="1" ht="42" customHeight="1">
      <c r="A28" s="1612" t="s">
        <v>353</v>
      </c>
      <c r="B28" s="1612"/>
      <c r="C28" s="431" t="s">
        <v>373</v>
      </c>
      <c r="D28" s="432" t="s">
        <v>353</v>
      </c>
      <c r="E28" s="433" t="s">
        <v>374</v>
      </c>
      <c r="F28" s="432" t="s">
        <v>353</v>
      </c>
      <c r="G28" s="1613" t="s">
        <v>375</v>
      </c>
      <c r="H28" s="1614"/>
      <c r="I28" s="1615" t="s">
        <v>353</v>
      </c>
      <c r="J28" s="1615"/>
      <c r="K28" s="1615"/>
      <c r="L28" s="1615"/>
      <c r="M28" s="1616" t="s">
        <v>376</v>
      </c>
      <c r="N28" s="1617"/>
      <c r="O28" s="1617"/>
      <c r="P28" s="1617"/>
      <c r="Q28" s="1618"/>
      <c r="R28" s="1619" t="s">
        <v>353</v>
      </c>
      <c r="S28" s="1619"/>
      <c r="T28" s="1619"/>
      <c r="U28" s="1619"/>
      <c r="V28" s="1619"/>
      <c r="W28" s="1620" t="s">
        <v>377</v>
      </c>
      <c r="X28" s="1620"/>
      <c r="Y28" s="1620"/>
      <c r="Z28" s="434"/>
      <c r="AA28" s="434"/>
      <c r="AB28" s="1621" t="s">
        <v>378</v>
      </c>
      <c r="AC28" s="1622"/>
      <c r="AD28" s="1622"/>
      <c r="AE28" s="1623"/>
    </row>
    <row r="29" spans="1:33" s="384" customFormat="1" ht="24" customHeight="1">
      <c r="A29" s="1612" t="s">
        <v>354</v>
      </c>
      <c r="B29" s="1612"/>
      <c r="C29" s="431"/>
      <c r="D29" s="432" t="s">
        <v>354</v>
      </c>
      <c r="E29" s="435" t="s">
        <v>379</v>
      </c>
      <c r="F29" s="432" t="s">
        <v>354</v>
      </c>
      <c r="G29" s="1624" t="s">
        <v>380</v>
      </c>
      <c r="H29" s="1614"/>
      <c r="I29" s="1619" t="s">
        <v>354</v>
      </c>
      <c r="J29" s="1619"/>
      <c r="K29" s="1619"/>
      <c r="L29" s="1619"/>
      <c r="M29" s="1625" t="s">
        <v>381</v>
      </c>
      <c r="N29" s="1625"/>
      <c r="O29" s="1625"/>
      <c r="P29" s="1625"/>
      <c r="Q29" s="1625"/>
      <c r="R29" s="1612" t="s">
        <v>354</v>
      </c>
      <c r="S29" s="1619"/>
      <c r="T29" s="1619"/>
      <c r="U29" s="1619"/>
      <c r="V29" s="1619"/>
      <c r="W29" s="1608" t="s">
        <v>382</v>
      </c>
      <c r="X29" s="1608"/>
      <c r="Y29" s="1608"/>
      <c r="Z29" s="436"/>
      <c r="AA29" s="436"/>
      <c r="AB29" s="437"/>
      <c r="AC29" s="438"/>
      <c r="AD29" s="438"/>
      <c r="AE29" s="439"/>
    </row>
    <row r="30" spans="1:33" s="384" customFormat="1" ht="24" customHeight="1" thickBot="1">
      <c r="A30" s="1634" t="s">
        <v>250</v>
      </c>
      <c r="B30" s="1634"/>
      <c r="C30" s="440"/>
      <c r="D30" s="441" t="s">
        <v>250</v>
      </c>
      <c r="E30" s="440"/>
      <c r="F30" s="441" t="s">
        <v>250</v>
      </c>
      <c r="G30" s="1635"/>
      <c r="H30" s="1636"/>
      <c r="I30" s="1637" t="s">
        <v>250</v>
      </c>
      <c r="J30" s="1637"/>
      <c r="K30" s="1637"/>
      <c r="L30" s="1637"/>
      <c r="M30" s="1638"/>
      <c r="N30" s="1638"/>
      <c r="O30" s="1638"/>
      <c r="P30" s="1638"/>
      <c r="Q30" s="1638"/>
      <c r="R30" s="1637" t="s">
        <v>250</v>
      </c>
      <c r="S30" s="1637"/>
      <c r="T30" s="1637"/>
      <c r="U30" s="1637"/>
      <c r="V30" s="1637"/>
      <c r="W30" s="1639"/>
      <c r="X30" s="1639"/>
      <c r="Y30" s="1639"/>
      <c r="Z30" s="442"/>
      <c r="AA30" s="442"/>
      <c r="AB30" s="1626"/>
      <c r="AC30" s="1627"/>
      <c r="AD30" s="1627"/>
      <c r="AE30" s="1628"/>
    </row>
    <row r="31" spans="1:33" s="384" customFormat="1" ht="21" customHeight="1" thickBo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 s="443"/>
      <c r="AA31" s="443"/>
      <c r="AB31" s="444"/>
      <c r="AC31" s="445"/>
      <c r="AD31" s="445"/>
      <c r="AE31" s="445"/>
    </row>
    <row r="32" spans="1:33" s="384" customFormat="1" ht="45" customHeight="1" thickBot="1">
      <c r="A32" s="1629"/>
      <c r="B32" s="1629"/>
      <c r="C32" s="446"/>
      <c r="D32" s="447"/>
      <c r="E32" s="447"/>
      <c r="F32" s="448"/>
      <c r="G32" s="1630" t="s">
        <v>383</v>
      </c>
      <c r="H32" s="1630"/>
      <c r="I32" s="1631"/>
      <c r="J32" s="1631"/>
      <c r="K32" s="1631"/>
      <c r="L32" s="1631"/>
      <c r="M32" s="1631"/>
      <c r="N32" s="1632"/>
      <c r="O32" s="1632"/>
      <c r="P32" s="1632"/>
      <c r="Q32" s="1632"/>
      <c r="R32" s="1632"/>
      <c r="S32" s="449"/>
      <c r="T32" s="449"/>
      <c r="U32" s="1633"/>
      <c r="V32" s="1633"/>
      <c r="W32" s="1633"/>
      <c r="X32" s="1633"/>
      <c r="Y32" s="1633"/>
    </row>
    <row r="33" s="384" customFormat="1" ht="10"/>
    <row r="34" s="384" customFormat="1" ht="10"/>
    <row r="35" s="384" customFormat="1" ht="10"/>
    <row r="36" s="384" customFormat="1" ht="10"/>
  </sheetData>
  <mergeCells count="83">
    <mergeCell ref="AB30:AE30"/>
    <mergeCell ref="A32:B32"/>
    <mergeCell ref="G32:H32"/>
    <mergeCell ref="I32:M32"/>
    <mergeCell ref="N32:R32"/>
    <mergeCell ref="U32:Y32"/>
    <mergeCell ref="A30:B30"/>
    <mergeCell ref="G30:H30"/>
    <mergeCell ref="I30:L30"/>
    <mergeCell ref="M30:Q30"/>
    <mergeCell ref="R30:V30"/>
    <mergeCell ref="W30:Y30"/>
    <mergeCell ref="W29:Y29"/>
    <mergeCell ref="AB27:AE27"/>
    <mergeCell ref="A28:B28"/>
    <mergeCell ref="G28:H28"/>
    <mergeCell ref="I28:L28"/>
    <mergeCell ref="M28:Q28"/>
    <mergeCell ref="R28:V28"/>
    <mergeCell ref="W28:Y28"/>
    <mergeCell ref="AB28:AE28"/>
    <mergeCell ref="A29:B29"/>
    <mergeCell ref="G29:H29"/>
    <mergeCell ref="I29:L29"/>
    <mergeCell ref="M29:Q29"/>
    <mergeCell ref="R29:V29"/>
    <mergeCell ref="A24:G24"/>
    <mergeCell ref="X24:Y24"/>
    <mergeCell ref="A25:G25"/>
    <mergeCell ref="X25:Y25"/>
    <mergeCell ref="A27:B27"/>
    <mergeCell ref="G27:H27"/>
    <mergeCell ref="I27:L27"/>
    <mergeCell ref="M27:Q27"/>
    <mergeCell ref="R27:V27"/>
    <mergeCell ref="W27:Y27"/>
    <mergeCell ref="A21:G21"/>
    <mergeCell ref="X21:Y21"/>
    <mergeCell ref="A22:G22"/>
    <mergeCell ref="X22:Y22"/>
    <mergeCell ref="A23:G23"/>
    <mergeCell ref="X23:Y23"/>
    <mergeCell ref="A18:G18"/>
    <mergeCell ref="X18:Y18"/>
    <mergeCell ref="A19:G19"/>
    <mergeCell ref="X19:Y19"/>
    <mergeCell ref="A20:G20"/>
    <mergeCell ref="X20:Y20"/>
    <mergeCell ref="A15:G16"/>
    <mergeCell ref="H15:W16"/>
    <mergeCell ref="X15:Y15"/>
    <mergeCell ref="X16:Y16"/>
    <mergeCell ref="A17:G17"/>
    <mergeCell ref="X17:Y17"/>
    <mergeCell ref="F13:G13"/>
    <mergeCell ref="H13:J13"/>
    <mergeCell ref="K13:M13"/>
    <mergeCell ref="N13:Y13"/>
    <mergeCell ref="A10:A11"/>
    <mergeCell ref="B10:C11"/>
    <mergeCell ref="D10:E11"/>
    <mergeCell ref="F10:G11"/>
    <mergeCell ref="H10:M11"/>
    <mergeCell ref="N10:Y11"/>
    <mergeCell ref="B12:C12"/>
    <mergeCell ref="D12:E12"/>
    <mergeCell ref="F12:G12"/>
    <mergeCell ref="H12:M12"/>
    <mergeCell ref="N12:Y12"/>
    <mergeCell ref="N8:Y9"/>
    <mergeCell ref="A3:Y3"/>
    <mergeCell ref="A4:Y4"/>
    <mergeCell ref="A6:Y6"/>
    <mergeCell ref="B7:C7"/>
    <mergeCell ref="D7:E7"/>
    <mergeCell ref="F7:G7"/>
    <mergeCell ref="H7:M7"/>
    <mergeCell ref="N7:Y7"/>
    <mergeCell ref="A8:A9"/>
    <mergeCell ref="B8:C9"/>
    <mergeCell ref="D8:E9"/>
    <mergeCell ref="F8:G9"/>
    <mergeCell ref="H8:M9"/>
  </mergeCells>
  <pageMargins left="0.7" right="0.7" top="0.75" bottom="0.75" header="0.3" footer="0.3"/>
  <pageSetup scale="51" fitToHeight="0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42"/>
  <sheetViews>
    <sheetView view="pageBreakPreview" zoomScaleNormal="100" zoomScaleSheetLayoutView="100" workbookViewId="0">
      <selection activeCell="I27" sqref="I27"/>
    </sheetView>
  </sheetViews>
  <sheetFormatPr defaultColWidth="11" defaultRowHeight="15.5"/>
  <cols>
    <col min="1" max="1" width="16" style="161" customWidth="1"/>
    <col min="2" max="2" width="14.453125" style="161" customWidth="1"/>
    <col min="3" max="3" width="14" style="161" bestFit="1" customWidth="1"/>
    <col min="4" max="4" width="15.36328125" style="161" customWidth="1"/>
    <col min="5" max="5" width="19" style="161" customWidth="1"/>
    <col min="6" max="6" width="13.6328125" style="161" customWidth="1"/>
    <col min="7" max="7" width="15.36328125" style="161" customWidth="1"/>
    <col min="8" max="8" width="11" style="161"/>
    <col min="9" max="9" width="19.6328125" style="161" customWidth="1"/>
    <col min="10" max="10" width="17.36328125" style="161" bestFit="1" customWidth="1"/>
    <col min="11" max="11" width="18.54296875" style="161" bestFit="1" customWidth="1"/>
    <col min="12" max="16384" width="11" style="161"/>
  </cols>
  <sheetData>
    <row r="1" spans="1:8">
      <c r="A1" s="450"/>
      <c r="B1" s="451"/>
      <c r="C1" s="451"/>
      <c r="D1" s="451"/>
      <c r="E1" s="451"/>
      <c r="F1" s="451"/>
      <c r="G1" s="451"/>
      <c r="H1" s="452"/>
    </row>
    <row r="2" spans="1:8">
      <c r="A2" s="453"/>
      <c r="F2" s="454" t="s">
        <v>366</v>
      </c>
      <c r="G2" s="455"/>
      <c r="H2" s="456"/>
    </row>
    <row r="3" spans="1:8">
      <c r="A3" s="453"/>
      <c r="F3" s="454" t="s">
        <v>384</v>
      </c>
      <c r="G3" s="455"/>
      <c r="H3" s="456"/>
    </row>
    <row r="4" spans="1:8">
      <c r="A4" s="453"/>
      <c r="F4" s="454" t="s">
        <v>385</v>
      </c>
      <c r="G4" s="455"/>
      <c r="H4" s="456"/>
    </row>
    <row r="5" spans="1:8">
      <c r="A5" s="453"/>
      <c r="F5" s="454" t="s">
        <v>386</v>
      </c>
      <c r="G5" s="455"/>
      <c r="H5" s="456"/>
    </row>
    <row r="6" spans="1:8">
      <c r="A6" s="453"/>
      <c r="F6" s="454" t="s">
        <v>387</v>
      </c>
      <c r="G6" s="455"/>
      <c r="H6" s="456"/>
    </row>
    <row r="7" spans="1:8">
      <c r="A7" s="453"/>
      <c r="F7" s="454" t="s">
        <v>388</v>
      </c>
      <c r="G7" s="455"/>
      <c r="H7" s="456"/>
    </row>
    <row r="8" spans="1:8">
      <c r="A8" s="453"/>
      <c r="F8" s="454" t="s">
        <v>389</v>
      </c>
      <c r="G8" s="455"/>
      <c r="H8" s="456"/>
    </row>
    <row r="9" spans="1:8">
      <c r="A9" s="453"/>
      <c r="H9" s="456"/>
    </row>
    <row r="10" spans="1:8">
      <c r="A10" s="457" t="s">
        <v>390</v>
      </c>
      <c r="B10" s="458">
        <f>'JRA CERTIFICATE'!F11</f>
        <v>44620</v>
      </c>
      <c r="F10" s="454"/>
      <c r="G10" s="455"/>
      <c r="H10" s="459"/>
    </row>
    <row r="11" spans="1:8">
      <c r="A11" s="457"/>
      <c r="B11" s="460"/>
      <c r="F11" s="454"/>
      <c r="G11" s="455"/>
      <c r="H11" s="459"/>
    </row>
    <row r="12" spans="1:8">
      <c r="A12" s="457"/>
      <c r="B12" s="460"/>
      <c r="F12" s="454"/>
      <c r="G12" s="455"/>
      <c r="H12" s="459"/>
    </row>
    <row r="13" spans="1:8">
      <c r="A13" s="457" t="s">
        <v>391</v>
      </c>
      <c r="B13" s="460" t="str">
        <f>RECONCILIATION!C21</f>
        <v>INAJRA00009</v>
      </c>
      <c r="F13" s="454"/>
      <c r="G13" s="455"/>
      <c r="H13" s="459"/>
    </row>
    <row r="14" spans="1:8">
      <c r="A14" s="457"/>
      <c r="B14" s="460"/>
      <c r="F14" s="454"/>
      <c r="G14" s="455"/>
      <c r="H14" s="459"/>
    </row>
    <row r="15" spans="1:8">
      <c r="A15" s="457"/>
      <c r="B15" s="460"/>
      <c r="F15" s="454"/>
      <c r="G15" s="455"/>
      <c r="H15" s="459"/>
    </row>
    <row r="16" spans="1:8">
      <c r="A16" s="457" t="s">
        <v>392</v>
      </c>
      <c r="B16" s="460" t="s">
        <v>254</v>
      </c>
      <c r="F16" s="454"/>
      <c r="G16" s="455"/>
      <c r="H16" s="459"/>
    </row>
    <row r="17" spans="1:11">
      <c r="A17" s="457"/>
      <c r="B17" s="460"/>
      <c r="F17" s="455"/>
      <c r="G17" s="455"/>
      <c r="H17" s="459"/>
    </row>
    <row r="18" spans="1:11">
      <c r="A18" s="1640" t="s">
        <v>393</v>
      </c>
      <c r="B18" s="1641"/>
      <c r="C18" s="1641"/>
      <c r="D18" s="1641"/>
      <c r="E18" s="1641"/>
      <c r="H18" s="456"/>
    </row>
    <row r="19" spans="1:11" ht="15" customHeight="1">
      <c r="A19" s="457" t="s">
        <v>394</v>
      </c>
      <c r="B19" s="460" t="s">
        <v>395</v>
      </c>
      <c r="D19" s="460"/>
      <c r="E19" s="460"/>
      <c r="H19" s="456"/>
    </row>
    <row r="20" spans="1:11">
      <c r="A20" s="453"/>
      <c r="B20" s="460" t="s">
        <v>396</v>
      </c>
      <c r="H20" s="456"/>
    </row>
    <row r="21" spans="1:11" ht="24">
      <c r="A21" s="461" t="s">
        <v>397</v>
      </c>
      <c r="B21" s="461" t="s">
        <v>398</v>
      </c>
      <c r="C21" s="461" t="s">
        <v>399</v>
      </c>
      <c r="D21" s="462" t="s">
        <v>400</v>
      </c>
      <c r="E21" s="462" t="s">
        <v>401</v>
      </c>
      <c r="F21" s="462" t="s">
        <v>402</v>
      </c>
      <c r="G21" s="462" t="s">
        <v>403</v>
      </c>
      <c r="H21" s="456"/>
    </row>
    <row r="22" spans="1:11">
      <c r="A22" s="463">
        <v>44322</v>
      </c>
      <c r="B22" s="463">
        <v>44350</v>
      </c>
      <c r="C22" s="464"/>
      <c r="D22" s="464" t="str">
        <f>[13]RECONCILIATION!C12</f>
        <v>INAJRA00001</v>
      </c>
      <c r="E22" s="465">
        <v>3273334.62</v>
      </c>
      <c r="F22" s="465">
        <v>3273334.62</v>
      </c>
      <c r="G22" s="465">
        <f>E22-F22</f>
        <v>0</v>
      </c>
      <c r="H22" s="456"/>
      <c r="I22" s="466">
        <f>E22/1.15</f>
        <v>2846377.93</v>
      </c>
      <c r="J22" s="466"/>
    </row>
    <row r="23" spans="1:11">
      <c r="A23" s="467">
        <v>44357</v>
      </c>
      <c r="B23" s="468"/>
      <c r="C23" s="464" t="s">
        <v>404</v>
      </c>
      <c r="D23" s="464" t="str">
        <f>[13]RECONCILIATION!C13</f>
        <v>INAJRA00002</v>
      </c>
      <c r="E23" s="465">
        <v>3406461.41</v>
      </c>
      <c r="F23" s="465">
        <v>3406461.41</v>
      </c>
      <c r="G23" s="465">
        <f t="shared" ref="G23:G29" si="0">E23-F23</f>
        <v>0</v>
      </c>
      <c r="H23" s="456"/>
      <c r="I23" s="466">
        <f t="shared" ref="I23:I31" si="1">E23/1.15</f>
        <v>2962140.36</v>
      </c>
      <c r="J23" s="466"/>
    </row>
    <row r="24" spans="1:11">
      <c r="A24" s="467">
        <v>44370</v>
      </c>
      <c r="B24" s="468"/>
      <c r="C24" s="464" t="s">
        <v>404</v>
      </c>
      <c r="D24" s="464" t="str">
        <f>[13]RECONCILIATION!C14</f>
        <v>INAJRA00003</v>
      </c>
      <c r="E24" s="465">
        <v>3264067.48</v>
      </c>
      <c r="F24" s="465">
        <f>E24</f>
        <v>3264067.48</v>
      </c>
      <c r="G24" s="465">
        <f t="shared" si="0"/>
        <v>0</v>
      </c>
      <c r="H24" s="469"/>
      <c r="I24" s="466">
        <f t="shared" si="1"/>
        <v>2838319.55</v>
      </c>
      <c r="J24" s="466"/>
    </row>
    <row r="25" spans="1:11">
      <c r="A25" s="467">
        <v>44412</v>
      </c>
      <c r="B25" s="470">
        <v>44489</v>
      </c>
      <c r="C25" s="471" t="s">
        <v>404</v>
      </c>
      <c r="D25" s="471" t="s">
        <v>272</v>
      </c>
      <c r="E25" s="465">
        <v>1118755.06</v>
      </c>
      <c r="F25" s="472">
        <f>E25</f>
        <v>1118755.06</v>
      </c>
      <c r="G25" s="465">
        <f t="shared" si="0"/>
        <v>0</v>
      </c>
      <c r="H25" s="456"/>
      <c r="I25" s="466">
        <f t="shared" si="1"/>
        <v>972830.49</v>
      </c>
      <c r="J25" s="466"/>
      <c r="K25" s="466">
        <f>E22+E23+E24</f>
        <v>9943863.5099999998</v>
      </c>
    </row>
    <row r="26" spans="1:11">
      <c r="A26" s="467">
        <v>44428</v>
      </c>
      <c r="B26" s="470"/>
      <c r="C26" s="471" t="s">
        <v>404</v>
      </c>
      <c r="D26" s="471" t="s">
        <v>273</v>
      </c>
      <c r="E26" s="465">
        <v>2052495.48</v>
      </c>
      <c r="F26" s="472">
        <f>E26</f>
        <v>2052495.48</v>
      </c>
      <c r="G26" s="465">
        <f t="shared" si="0"/>
        <v>0</v>
      </c>
      <c r="H26" s="456"/>
      <c r="I26" s="466">
        <f t="shared" si="1"/>
        <v>1784778.68</v>
      </c>
      <c r="J26" s="466">
        <f>I25+I26</f>
        <v>2757609.17</v>
      </c>
      <c r="K26" s="466"/>
    </row>
    <row r="27" spans="1:11">
      <c r="A27" s="589">
        <v>44462</v>
      </c>
      <c r="B27" s="590"/>
      <c r="C27" s="591" t="s">
        <v>404</v>
      </c>
      <c r="D27" s="591" t="s">
        <v>474</v>
      </c>
      <c r="E27" s="592">
        <v>2918721.02</v>
      </c>
      <c r="F27" s="593">
        <f>E27</f>
        <v>2918721.02</v>
      </c>
      <c r="G27" s="465">
        <f t="shared" si="0"/>
        <v>0</v>
      </c>
      <c r="H27" s="456"/>
      <c r="I27" s="466"/>
      <c r="J27" s="466"/>
      <c r="K27" s="466"/>
    </row>
    <row r="28" spans="1:11">
      <c r="A28" s="589">
        <v>44497</v>
      </c>
      <c r="B28" s="590"/>
      <c r="C28" s="591" t="s">
        <v>404</v>
      </c>
      <c r="D28" s="591" t="s">
        <v>475</v>
      </c>
      <c r="E28" s="592">
        <v>1748037.4</v>
      </c>
      <c r="F28" s="593">
        <v>1748037.4</v>
      </c>
      <c r="G28" s="465">
        <f t="shared" si="0"/>
        <v>0</v>
      </c>
      <c r="H28" s="456"/>
      <c r="I28" s="466"/>
      <c r="J28" s="466"/>
      <c r="K28" s="466"/>
    </row>
    <row r="29" spans="1:11">
      <c r="A29" s="589">
        <v>44522</v>
      </c>
      <c r="B29" s="590"/>
      <c r="C29" s="591" t="s">
        <v>404</v>
      </c>
      <c r="D29" s="591" t="s">
        <v>476</v>
      </c>
      <c r="E29" s="592">
        <v>3059366.23</v>
      </c>
      <c r="F29" s="593">
        <v>3059366.23</v>
      </c>
      <c r="G29" s="465">
        <f t="shared" si="0"/>
        <v>0</v>
      </c>
      <c r="H29" s="456"/>
      <c r="I29" s="466"/>
      <c r="J29" s="466"/>
      <c r="K29" s="466"/>
    </row>
    <row r="30" spans="1:11">
      <c r="A30" s="589">
        <f>RECONCILIATION!B20</f>
        <v>44540</v>
      </c>
      <c r="B30" s="590"/>
      <c r="C30" s="591" t="s">
        <v>404</v>
      </c>
      <c r="D30" s="591" t="s">
        <v>477</v>
      </c>
      <c r="E30" s="592">
        <v>2315662.64</v>
      </c>
      <c r="F30" s="593">
        <v>2315662.64</v>
      </c>
      <c r="G30" s="592">
        <v>0</v>
      </c>
      <c r="H30" s="456"/>
      <c r="I30" s="466"/>
      <c r="J30" s="466"/>
      <c r="K30" s="466"/>
    </row>
    <row r="31" spans="1:11">
      <c r="A31" s="467">
        <f>'JRA CERTIFICATE'!F11</f>
        <v>44620</v>
      </c>
      <c r="B31" s="470"/>
      <c r="C31" s="471" t="s">
        <v>405</v>
      </c>
      <c r="D31" s="591" t="s">
        <v>478</v>
      </c>
      <c r="E31" s="465" t="e">
        <f>'JRA CERTIFICATE'!J40</f>
        <v>#REF!</v>
      </c>
      <c r="F31" s="472"/>
      <c r="G31" s="465" t="e">
        <f>E31</f>
        <v>#REF!</v>
      </c>
      <c r="H31" s="456"/>
      <c r="I31" s="466" t="e">
        <f t="shared" si="1"/>
        <v>#REF!</v>
      </c>
      <c r="J31" s="466"/>
    </row>
    <row r="32" spans="1:11">
      <c r="A32" s="467"/>
      <c r="B32" s="470"/>
      <c r="C32" s="468"/>
      <c r="D32" s="464"/>
      <c r="E32" s="465"/>
      <c r="F32" s="465"/>
      <c r="G32" s="465"/>
      <c r="H32" s="456"/>
      <c r="J32" s="466"/>
    </row>
    <row r="33" spans="1:11">
      <c r="A33" s="467"/>
      <c r="B33" s="470"/>
      <c r="C33" s="468"/>
      <c r="D33" s="464"/>
      <c r="E33" s="465"/>
      <c r="F33" s="465"/>
      <c r="G33" s="465"/>
      <c r="H33" s="456"/>
      <c r="J33" s="466"/>
    </row>
    <row r="34" spans="1:11">
      <c r="A34" s="467"/>
      <c r="B34" s="470"/>
      <c r="C34" s="468"/>
      <c r="D34" s="464"/>
      <c r="E34" s="465"/>
      <c r="F34" s="465"/>
      <c r="G34" s="465"/>
      <c r="H34" s="456"/>
      <c r="J34" s="466"/>
    </row>
    <row r="35" spans="1:11">
      <c r="A35" s="467"/>
      <c r="B35" s="470"/>
      <c r="C35" s="468"/>
      <c r="D35" s="464"/>
      <c r="E35" s="465"/>
      <c r="F35" s="465"/>
      <c r="G35" s="465"/>
      <c r="H35" s="456"/>
      <c r="J35" s="466"/>
      <c r="K35" s="466">
        <f>K25/1.15</f>
        <v>8646837.8300000001</v>
      </c>
    </row>
    <row r="36" spans="1:11">
      <c r="A36" s="467"/>
      <c r="B36" s="468"/>
      <c r="C36" s="468"/>
      <c r="D36" s="464"/>
      <c r="E36" s="465"/>
      <c r="F36" s="465"/>
      <c r="G36" s="465"/>
      <c r="H36" s="456"/>
      <c r="J36" s="466"/>
    </row>
    <row r="37" spans="1:11">
      <c r="A37" s="467"/>
      <c r="B37" s="468"/>
      <c r="C37" s="468"/>
      <c r="D37" s="464"/>
      <c r="E37" s="465"/>
      <c r="F37" s="465"/>
      <c r="G37" s="465"/>
      <c r="H37" s="456"/>
      <c r="J37" s="466"/>
    </row>
    <row r="38" spans="1:11">
      <c r="A38" s="473" t="s">
        <v>406</v>
      </c>
      <c r="B38" s="473"/>
      <c r="C38" s="473"/>
      <c r="D38" s="473"/>
      <c r="E38" s="474" t="e">
        <f>SUM(E22:E37)</f>
        <v>#REF!</v>
      </c>
      <c r="F38" s="474">
        <f>SUM(F22:F37)</f>
        <v>23156901.34</v>
      </c>
      <c r="G38" s="474" t="e">
        <f>SUM(G22:G37)</f>
        <v>#REF!</v>
      </c>
      <c r="H38" s="456"/>
    </row>
    <row r="39" spans="1:11">
      <c r="A39" s="475"/>
      <c r="B39" s="476"/>
      <c r="C39" s="476"/>
      <c r="D39" s="476"/>
      <c r="E39" s="476"/>
      <c r="F39" s="476"/>
      <c r="G39" s="476"/>
      <c r="H39" s="477"/>
    </row>
    <row r="42" spans="1:11">
      <c r="E42" s="466"/>
    </row>
  </sheetData>
  <mergeCells count="1">
    <mergeCell ref="A18:E18"/>
  </mergeCells>
  <phoneticPr fontId="94" type="noConversion"/>
  <pageMargins left="0.70866141732283472" right="0.70866141732283472" top="0.74803149606299213" bottom="0.74803149606299213" header="0.31496062992125984" footer="0.31496062992125984"/>
  <pageSetup paperSize="9" scale="83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C00000"/>
    <pageSetUpPr fitToPage="1"/>
  </sheetPr>
  <dimension ref="A1:IV8178"/>
  <sheetViews>
    <sheetView view="pageBreakPreview" zoomScale="60" zoomScaleNormal="50" workbookViewId="0">
      <selection activeCell="M54" sqref="M54"/>
    </sheetView>
  </sheetViews>
  <sheetFormatPr defaultColWidth="11" defaultRowHeight="15.5"/>
  <cols>
    <col min="1" max="1" width="4.36328125" style="478" customWidth="1"/>
    <col min="2" max="2" width="3" style="478" customWidth="1"/>
    <col min="3" max="3" width="1.90625" style="478" customWidth="1"/>
    <col min="4" max="4" width="17" style="478" customWidth="1"/>
    <col min="5" max="5" width="27.36328125" style="478" customWidth="1"/>
    <col min="6" max="6" width="19.54296875" style="478" customWidth="1"/>
    <col min="7" max="7" width="24.6328125" style="478" customWidth="1"/>
    <col min="8" max="10" width="12.36328125" style="478" customWidth="1"/>
    <col min="11" max="11" width="24.453125" style="478" customWidth="1"/>
    <col min="12" max="12" width="16.6328125" style="478" customWidth="1"/>
    <col min="13" max="13" width="18.54296875" style="479" customWidth="1"/>
    <col min="14" max="16" width="28.36328125" style="479" customWidth="1"/>
    <col min="17" max="17" width="31.36328125" style="479" customWidth="1"/>
    <col min="18" max="18" width="1.90625" style="478" customWidth="1"/>
    <col min="19" max="19" width="3" style="478" customWidth="1"/>
    <col min="20" max="20" width="11" style="478"/>
    <col min="21" max="21" width="19.54296875" style="478" customWidth="1"/>
    <col min="22" max="22" width="26.36328125" style="478" customWidth="1"/>
    <col min="23" max="23" width="16.453125" style="478" customWidth="1"/>
    <col min="24" max="16384" width="11" style="478"/>
  </cols>
  <sheetData>
    <row r="1" spans="1:22" ht="16" thickBot="1">
      <c r="A1" s="478" t="str">
        <f>Revision_Date</f>
        <v>Rev 3: 18 August 2020</v>
      </c>
    </row>
    <row r="2" spans="1:22" ht="16.5" customHeight="1">
      <c r="B2" s="480"/>
      <c r="C2" s="481"/>
      <c r="D2" s="481"/>
      <c r="E2" s="482"/>
      <c r="F2" s="481"/>
      <c r="G2" s="481"/>
      <c r="H2" s="481"/>
      <c r="I2" s="481"/>
      <c r="J2" s="481"/>
      <c r="K2" s="481"/>
      <c r="L2" s="481"/>
      <c r="M2" s="483"/>
      <c r="N2" s="483"/>
      <c r="O2" s="483"/>
      <c r="P2" s="483"/>
      <c r="Q2" s="483"/>
      <c r="R2" s="481"/>
      <c r="S2" s="484"/>
    </row>
    <row r="3" spans="1:22" ht="20.5" thickBot="1">
      <c r="B3" s="485"/>
      <c r="C3" s="486"/>
      <c r="D3" s="487"/>
      <c r="E3" s="488"/>
      <c r="F3" s="488"/>
      <c r="G3" s="488"/>
      <c r="H3" s="488"/>
      <c r="I3" s="488"/>
      <c r="J3" s="488"/>
      <c r="K3" s="488"/>
      <c r="L3" s="488"/>
      <c r="M3" s="489"/>
      <c r="N3" s="490"/>
      <c r="O3" s="490"/>
      <c r="P3" s="490"/>
      <c r="Q3" s="490"/>
      <c r="R3" s="491"/>
      <c r="S3" s="492"/>
    </row>
    <row r="4" spans="1:22" ht="54.75" customHeight="1">
      <c r="B4" s="485"/>
      <c r="C4" s="493"/>
      <c r="D4" s="1645" t="s">
        <v>407</v>
      </c>
      <c r="E4" s="1646"/>
      <c r="F4" s="1646"/>
      <c r="G4" s="1646"/>
      <c r="H4" s="1646"/>
      <c r="I4" s="1646"/>
      <c r="J4" s="1646"/>
      <c r="K4" s="1646"/>
      <c r="L4" s="1646"/>
      <c r="M4" s="1646"/>
      <c r="N4" s="1646"/>
      <c r="O4" s="1646"/>
      <c r="P4" s="1646"/>
      <c r="Q4" s="1647"/>
      <c r="R4" s="494"/>
      <c r="S4" s="492"/>
    </row>
    <row r="5" spans="1:22" ht="39" customHeight="1" thickBot="1">
      <c r="B5" s="485"/>
      <c r="C5" s="493"/>
      <c r="D5" s="1648" t="s">
        <v>408</v>
      </c>
      <c r="E5" s="1649"/>
      <c r="F5" s="1649"/>
      <c r="G5" s="1649"/>
      <c r="H5" s="1649"/>
      <c r="I5" s="1649"/>
      <c r="J5" s="1649"/>
      <c r="K5" s="1649"/>
      <c r="L5" s="1649"/>
      <c r="M5" s="1649"/>
      <c r="N5" s="1649"/>
      <c r="O5" s="1649"/>
      <c r="P5" s="1649"/>
      <c r="Q5" s="1650"/>
      <c r="R5" s="494"/>
      <c r="S5" s="492"/>
    </row>
    <row r="6" spans="1:22" ht="16" thickBot="1">
      <c r="B6" s="485"/>
      <c r="C6" s="493"/>
      <c r="R6" s="494"/>
      <c r="S6" s="492"/>
    </row>
    <row r="7" spans="1:22" ht="17.5">
      <c r="B7" s="485"/>
      <c r="C7" s="493"/>
      <c r="D7" s="495"/>
      <c r="E7" s="496"/>
      <c r="F7" s="496"/>
      <c r="G7" s="496"/>
      <c r="H7" s="496"/>
      <c r="I7" s="496"/>
      <c r="J7" s="496"/>
      <c r="K7" s="496"/>
      <c r="L7" s="496"/>
      <c r="M7" s="497"/>
      <c r="N7" s="497"/>
      <c r="O7" s="497"/>
      <c r="P7" s="497"/>
      <c r="Q7" s="498"/>
      <c r="R7" s="494"/>
      <c r="S7" s="492"/>
    </row>
    <row r="8" spans="1:22" ht="18">
      <c r="B8" s="485"/>
      <c r="C8" s="493"/>
      <c r="D8" s="499"/>
      <c r="E8" s="500" t="s">
        <v>409</v>
      </c>
      <c r="F8" s="1664" cm="1">
        <f t="array" ref="F8:H8">'JRA CERTIFICATE'!F7:H7</f>
        <v>10</v>
      </c>
      <c r="G8" s="1665">
        <v>0</v>
      </c>
      <c r="H8" s="1666">
        <v>0</v>
      </c>
      <c r="I8" s="501"/>
      <c r="J8" s="501"/>
      <c r="K8" s="501"/>
      <c r="L8" s="501"/>
      <c r="M8" s="502"/>
      <c r="N8" s="502"/>
      <c r="O8" s="502"/>
      <c r="P8" s="502"/>
      <c r="Q8" s="503"/>
      <c r="R8" s="494"/>
      <c r="S8" s="492"/>
    </row>
    <row r="9" spans="1:22" ht="18">
      <c r="B9" s="485"/>
      <c r="C9" s="493"/>
      <c r="D9" s="499"/>
      <c r="E9" s="504"/>
      <c r="F9" s="505"/>
      <c r="G9" s="501"/>
      <c r="H9" s="501"/>
      <c r="I9" s="501"/>
      <c r="J9" s="501"/>
      <c r="K9" s="501"/>
      <c r="L9" s="501"/>
      <c r="M9" s="502"/>
      <c r="N9" s="502"/>
      <c r="O9" s="502"/>
      <c r="P9" s="502"/>
      <c r="Q9" s="503"/>
      <c r="R9" s="494"/>
      <c r="S9" s="492"/>
    </row>
    <row r="10" spans="1:22" ht="18">
      <c r="B10" s="485"/>
      <c r="C10" s="493"/>
      <c r="D10" s="499"/>
      <c r="E10" s="500" t="s">
        <v>410</v>
      </c>
      <c r="F10" s="1651">
        <f>'JRA CERTIFICATE'!F11</f>
        <v>44620</v>
      </c>
      <c r="G10" s="1652"/>
      <c r="H10" s="501"/>
      <c r="I10" s="501"/>
      <c r="J10" s="501"/>
      <c r="K10" s="501"/>
      <c r="L10" s="501"/>
      <c r="M10" s="502"/>
      <c r="N10" s="502"/>
      <c r="O10" s="502"/>
      <c r="P10" s="502"/>
      <c r="Q10" s="503"/>
      <c r="R10" s="494"/>
      <c r="S10" s="492"/>
    </row>
    <row r="11" spans="1:22" ht="18">
      <c r="B11" s="485"/>
      <c r="C11" s="493"/>
      <c r="D11" s="499"/>
      <c r="E11" s="504"/>
      <c r="F11" s="505"/>
      <c r="G11" s="501"/>
      <c r="H11" s="501"/>
      <c r="I11" s="501"/>
      <c r="J11" s="501"/>
      <c r="K11" s="501"/>
      <c r="L11" s="501"/>
      <c r="M11" s="502"/>
      <c r="N11" s="502"/>
      <c r="O11" s="502"/>
      <c r="P11" s="502"/>
      <c r="Q11" s="503"/>
      <c r="R11" s="494"/>
      <c r="S11" s="492"/>
      <c r="V11" s="506"/>
    </row>
    <row r="12" spans="1:22" ht="18">
      <c r="B12" s="485"/>
      <c r="C12" s="493"/>
      <c r="D12" s="499"/>
      <c r="E12" s="500" t="s">
        <v>411</v>
      </c>
      <c r="F12" s="1653" t="s">
        <v>254</v>
      </c>
      <c r="G12" s="1654"/>
      <c r="H12" s="501"/>
      <c r="I12" s="501"/>
      <c r="J12" s="501"/>
      <c r="K12" s="501"/>
      <c r="L12" s="501"/>
      <c r="M12" s="502"/>
      <c r="N12" s="502"/>
      <c r="O12" s="502"/>
      <c r="P12" s="502"/>
      <c r="Q12" s="503"/>
      <c r="R12" s="494"/>
      <c r="S12" s="492"/>
      <c r="V12" s="506"/>
    </row>
    <row r="13" spans="1:22" ht="18">
      <c r="B13" s="485"/>
      <c r="C13" s="493"/>
      <c r="D13" s="499"/>
      <c r="E13" s="504"/>
      <c r="F13" s="505"/>
      <c r="G13" s="501"/>
      <c r="H13" s="501"/>
      <c r="I13" s="501"/>
      <c r="J13" s="501"/>
      <c r="K13" s="501"/>
      <c r="L13" s="501"/>
      <c r="M13" s="502"/>
      <c r="N13" s="502"/>
      <c r="O13" s="502"/>
      <c r="P13" s="502"/>
      <c r="Q13" s="503"/>
      <c r="R13" s="494"/>
      <c r="S13" s="492"/>
      <c r="V13" s="506"/>
    </row>
    <row r="14" spans="1:22" ht="18">
      <c r="B14" s="485"/>
      <c r="C14" s="493"/>
      <c r="D14" s="499"/>
      <c r="E14" s="500" t="s">
        <v>412</v>
      </c>
      <c r="F14" s="1655" t="s">
        <v>413</v>
      </c>
      <c r="G14" s="1656"/>
      <c r="H14" s="1656"/>
      <c r="I14" s="1656"/>
      <c r="J14" s="1656"/>
      <c r="K14" s="1656"/>
      <c r="L14" s="1656"/>
      <c r="M14" s="1656"/>
      <c r="N14" s="1656"/>
      <c r="O14" s="1656"/>
      <c r="P14" s="1656"/>
      <c r="Q14" s="1657"/>
      <c r="R14" s="494"/>
      <c r="S14" s="492"/>
      <c r="V14" s="506"/>
    </row>
    <row r="15" spans="1:22" ht="18" thickBot="1">
      <c r="B15" s="485"/>
      <c r="C15" s="493"/>
      <c r="D15" s="507"/>
      <c r="E15" s="508"/>
      <c r="F15" s="508"/>
      <c r="G15" s="508"/>
      <c r="H15" s="508"/>
      <c r="I15" s="508"/>
      <c r="J15" s="508"/>
      <c r="K15" s="508"/>
      <c r="L15" s="508"/>
      <c r="M15" s="509"/>
      <c r="N15" s="509"/>
      <c r="O15" s="509"/>
      <c r="P15" s="509"/>
      <c r="Q15" s="510"/>
      <c r="R15" s="494"/>
      <c r="S15" s="492"/>
    </row>
    <row r="16" spans="1:22" ht="18" thickBot="1">
      <c r="B16" s="485"/>
      <c r="C16" s="493"/>
      <c r="D16" s="501"/>
      <c r="E16" s="501"/>
      <c r="F16" s="501"/>
      <c r="G16" s="501"/>
      <c r="H16" s="501"/>
      <c r="I16" s="501"/>
      <c r="J16" s="501"/>
      <c r="K16" s="501"/>
      <c r="L16" s="501"/>
      <c r="M16" s="502"/>
      <c r="N16" s="502"/>
      <c r="O16" s="502"/>
      <c r="P16" s="502"/>
      <c r="Q16" s="502"/>
      <c r="R16" s="494"/>
      <c r="S16" s="492"/>
    </row>
    <row r="17" spans="2:22" ht="24.9" customHeight="1" thickBot="1">
      <c r="B17" s="485"/>
      <c r="C17" s="493"/>
      <c r="I17" s="1658" t="s">
        <v>414</v>
      </c>
      <c r="J17" s="1659"/>
      <c r="K17" s="1660"/>
      <c r="L17" s="1659" t="s">
        <v>415</v>
      </c>
      <c r="M17" s="1659"/>
      <c r="N17" s="1660"/>
      <c r="O17" s="1658" t="s">
        <v>416</v>
      </c>
      <c r="P17" s="1659"/>
      <c r="Q17" s="1660"/>
      <c r="R17" s="494"/>
      <c r="S17" s="492"/>
    </row>
    <row r="18" spans="2:22" ht="48" customHeight="1" thickBot="1">
      <c r="B18" s="485"/>
      <c r="C18" s="493"/>
      <c r="D18" s="511" t="s">
        <v>417</v>
      </c>
      <c r="E18" s="1661" t="s">
        <v>288</v>
      </c>
      <c r="F18" s="1662"/>
      <c r="G18" s="1663"/>
      <c r="H18" s="512" t="s">
        <v>3</v>
      </c>
      <c r="I18" s="513" t="s">
        <v>418</v>
      </c>
      <c r="J18" s="514" t="s">
        <v>5</v>
      </c>
      <c r="K18" s="515" t="s">
        <v>419</v>
      </c>
      <c r="L18" s="516" t="s">
        <v>4</v>
      </c>
      <c r="M18" s="517" t="s">
        <v>5</v>
      </c>
      <c r="N18" s="518" t="s">
        <v>419</v>
      </c>
      <c r="O18" s="519" t="s">
        <v>4</v>
      </c>
      <c r="P18" s="517" t="s">
        <v>5</v>
      </c>
      <c r="Q18" s="518" t="s">
        <v>419</v>
      </c>
      <c r="R18" s="494"/>
      <c r="S18" s="492"/>
      <c r="U18" s="520"/>
      <c r="V18" s="520"/>
    </row>
    <row r="19" spans="2:22" s="532" customFormat="1" ht="21.9" customHeight="1">
      <c r="B19" s="521"/>
      <c r="C19" s="522"/>
      <c r="D19" s="523" t="s">
        <v>420</v>
      </c>
      <c r="E19" s="1642" t="s">
        <v>421</v>
      </c>
      <c r="F19" s="1643"/>
      <c r="G19" s="1644"/>
      <c r="H19" s="524" t="s">
        <v>38</v>
      </c>
      <c r="I19" s="525">
        <v>325</v>
      </c>
      <c r="J19" s="526">
        <v>758.52</v>
      </c>
      <c r="K19" s="527">
        <f>I19*J19</f>
        <v>246519</v>
      </c>
      <c r="L19" s="525">
        <v>0</v>
      </c>
      <c r="M19" s="526">
        <v>758.52</v>
      </c>
      <c r="N19" s="527">
        <f t="shared" ref="N19:N25" si="0">L19*M19</f>
        <v>0</v>
      </c>
      <c r="O19" s="528">
        <v>325</v>
      </c>
      <c r="P19" s="526">
        <v>758.52</v>
      </c>
      <c r="Q19" s="529">
        <f t="shared" ref="Q19:Q25" si="1">O19*P19</f>
        <v>246519</v>
      </c>
      <c r="R19" s="530"/>
      <c r="S19" s="531"/>
      <c r="U19" s="533">
        <f>1662765.9/11340</f>
        <v>146.63</v>
      </c>
      <c r="V19" s="533"/>
    </row>
    <row r="20" spans="2:22" s="532" customFormat="1" ht="21.9" customHeight="1">
      <c r="B20" s="521"/>
      <c r="C20" s="522"/>
      <c r="D20" s="534" t="s">
        <v>422</v>
      </c>
      <c r="E20" s="1642" t="s">
        <v>423</v>
      </c>
      <c r="F20" s="1643"/>
      <c r="G20" s="1644"/>
      <c r="H20" s="524" t="s">
        <v>38</v>
      </c>
      <c r="I20" s="535">
        <v>680</v>
      </c>
      <c r="J20" s="524">
        <v>1212.96</v>
      </c>
      <c r="K20" s="536">
        <f>I20*J20</f>
        <v>824812.8</v>
      </c>
      <c r="L20" s="535">
        <v>0</v>
      </c>
      <c r="M20" s="524">
        <v>1212.96</v>
      </c>
      <c r="N20" s="536">
        <f t="shared" si="0"/>
        <v>0</v>
      </c>
      <c r="O20" s="537">
        <v>680</v>
      </c>
      <c r="P20" s="524">
        <v>1212.96</v>
      </c>
      <c r="Q20" s="529">
        <f t="shared" si="1"/>
        <v>824812.8</v>
      </c>
      <c r="R20" s="530"/>
      <c r="S20" s="531"/>
      <c r="U20" s="533"/>
      <c r="V20" s="533"/>
    </row>
    <row r="21" spans="2:22" s="532" customFormat="1" ht="21.9" customHeight="1">
      <c r="B21" s="521"/>
      <c r="C21" s="522"/>
      <c r="D21" s="534" t="s">
        <v>424</v>
      </c>
      <c r="E21" s="1642" t="s">
        <v>425</v>
      </c>
      <c r="F21" s="1643"/>
      <c r="G21" s="1644"/>
      <c r="H21" s="524" t="s">
        <v>38</v>
      </c>
      <c r="I21" s="535">
        <v>160</v>
      </c>
      <c r="J21" s="524">
        <v>969.18</v>
      </c>
      <c r="K21" s="536">
        <f t="shared" ref="K21:K26" si="2">I21*J21</f>
        <v>155068.79999999999</v>
      </c>
      <c r="L21" s="535">
        <v>0</v>
      </c>
      <c r="M21" s="524">
        <v>969.18</v>
      </c>
      <c r="N21" s="536">
        <f t="shared" si="0"/>
        <v>0</v>
      </c>
      <c r="O21" s="537">
        <v>160</v>
      </c>
      <c r="P21" s="524">
        <v>969.18</v>
      </c>
      <c r="Q21" s="529">
        <f t="shared" si="1"/>
        <v>155068.79999999999</v>
      </c>
      <c r="R21" s="530"/>
      <c r="S21" s="531"/>
      <c r="U21" s="533"/>
      <c r="V21" s="533"/>
    </row>
    <row r="22" spans="2:22" s="532" customFormat="1" ht="21.9" customHeight="1">
      <c r="B22" s="521"/>
      <c r="C22" s="522"/>
      <c r="D22" s="534" t="s">
        <v>426</v>
      </c>
      <c r="E22" s="1642" t="s">
        <v>427</v>
      </c>
      <c r="F22" s="1643"/>
      <c r="G22" s="1644"/>
      <c r="H22" s="524" t="s">
        <v>38</v>
      </c>
      <c r="I22" s="535">
        <v>40</v>
      </c>
      <c r="J22" s="524">
        <v>1638.06</v>
      </c>
      <c r="K22" s="536">
        <f t="shared" si="2"/>
        <v>65522.400000000001</v>
      </c>
      <c r="L22" s="535">
        <f>I22-O22</f>
        <v>0</v>
      </c>
      <c r="M22" s="524">
        <v>1638.06</v>
      </c>
      <c r="N22" s="536">
        <f t="shared" si="0"/>
        <v>0</v>
      </c>
      <c r="O22" s="537">
        <v>40</v>
      </c>
      <c r="P22" s="524">
        <v>1638.06</v>
      </c>
      <c r="Q22" s="529">
        <f t="shared" si="1"/>
        <v>65522.400000000001</v>
      </c>
      <c r="R22" s="530"/>
      <c r="S22" s="531"/>
      <c r="U22" s="533"/>
      <c r="V22" s="533"/>
    </row>
    <row r="23" spans="2:22" s="532" customFormat="1" ht="21.9" customHeight="1">
      <c r="B23" s="521"/>
      <c r="C23" s="522"/>
      <c r="D23" s="534" t="s">
        <v>344</v>
      </c>
      <c r="E23" s="1642" t="s">
        <v>428</v>
      </c>
      <c r="F23" s="1643"/>
      <c r="G23" s="1644"/>
      <c r="H23" s="524" t="s">
        <v>194</v>
      </c>
      <c r="I23" s="535">
        <v>3400</v>
      </c>
      <c r="J23" s="524">
        <v>210</v>
      </c>
      <c r="K23" s="536">
        <f t="shared" si="2"/>
        <v>714000</v>
      </c>
      <c r="L23" s="594">
        <v>0</v>
      </c>
      <c r="M23" s="524">
        <v>210</v>
      </c>
      <c r="N23" s="536">
        <f t="shared" si="0"/>
        <v>0</v>
      </c>
      <c r="O23" s="537">
        <f>3200+200</f>
        <v>3400</v>
      </c>
      <c r="P23" s="524">
        <v>210</v>
      </c>
      <c r="Q23" s="529">
        <f t="shared" si="1"/>
        <v>714000</v>
      </c>
      <c r="R23" s="530"/>
      <c r="S23" s="531"/>
    </row>
    <row r="24" spans="2:22" s="532" customFormat="1" ht="21.9" customHeight="1">
      <c r="B24" s="521"/>
      <c r="C24" s="522"/>
      <c r="D24" s="534" t="s">
        <v>429</v>
      </c>
      <c r="E24" s="1642" t="s">
        <v>430</v>
      </c>
      <c r="F24" s="1643"/>
      <c r="G24" s="1644"/>
      <c r="H24" s="524" t="s">
        <v>194</v>
      </c>
      <c r="I24" s="535">
        <v>350</v>
      </c>
      <c r="J24" s="524">
        <v>210</v>
      </c>
      <c r="K24" s="536">
        <f t="shared" si="2"/>
        <v>73500</v>
      </c>
      <c r="L24" s="535">
        <f>I24-O24</f>
        <v>0</v>
      </c>
      <c r="M24" s="524">
        <v>210</v>
      </c>
      <c r="N24" s="536">
        <f t="shared" si="0"/>
        <v>0</v>
      </c>
      <c r="O24" s="537">
        <v>350</v>
      </c>
      <c r="P24" s="524">
        <v>210</v>
      </c>
      <c r="Q24" s="529">
        <f>O24*P24</f>
        <v>73500</v>
      </c>
      <c r="R24" s="530"/>
      <c r="S24" s="531"/>
    </row>
    <row r="25" spans="2:22" s="532" customFormat="1" ht="21.9" customHeight="1">
      <c r="B25" s="521"/>
      <c r="C25" s="522"/>
      <c r="D25" s="534" t="s">
        <v>431</v>
      </c>
      <c r="E25" s="1642" t="s">
        <v>432</v>
      </c>
      <c r="F25" s="1643"/>
      <c r="G25" s="1644"/>
      <c r="H25" s="524" t="s">
        <v>194</v>
      </c>
      <c r="I25" s="535">
        <v>2218.5</v>
      </c>
      <c r="J25" s="524">
        <v>700</v>
      </c>
      <c r="K25" s="536">
        <f t="shared" si="2"/>
        <v>1552950</v>
      </c>
      <c r="L25" s="535">
        <f>I25-O25</f>
        <v>0</v>
      </c>
      <c r="M25" s="539">
        <v>700</v>
      </c>
      <c r="N25" s="536">
        <f t="shared" si="0"/>
        <v>0</v>
      </c>
      <c r="O25" s="584">
        <v>2218.5</v>
      </c>
      <c r="P25" s="524">
        <v>700</v>
      </c>
      <c r="Q25" s="529">
        <f t="shared" si="1"/>
        <v>1552950</v>
      </c>
      <c r="R25" s="530"/>
      <c r="S25" s="531"/>
    </row>
    <row r="26" spans="2:22" s="532" customFormat="1" ht="21.9" customHeight="1">
      <c r="B26" s="521"/>
      <c r="C26" s="522"/>
      <c r="D26" s="534" t="s">
        <v>433</v>
      </c>
      <c r="E26" s="1642" t="s">
        <v>434</v>
      </c>
      <c r="F26" s="1643"/>
      <c r="G26" s="1644"/>
      <c r="H26" s="524" t="s">
        <v>194</v>
      </c>
      <c r="I26" s="535">
        <v>2200</v>
      </c>
      <c r="J26" s="524">
        <v>750</v>
      </c>
      <c r="K26" s="536">
        <f t="shared" si="2"/>
        <v>1650000</v>
      </c>
      <c r="L26" s="535">
        <f>I26-O26</f>
        <v>0</v>
      </c>
      <c r="M26" s="539">
        <v>750</v>
      </c>
      <c r="N26" s="536">
        <f t="shared" ref="N26:N63" si="3">SUM(L26*M26)</f>
        <v>0</v>
      </c>
      <c r="O26" s="537">
        <f>1496+704</f>
        <v>2200</v>
      </c>
      <c r="P26" s="524">
        <v>750</v>
      </c>
      <c r="Q26" s="529">
        <f t="shared" ref="Q26:Q63" si="4">SUM(O26*P26)</f>
        <v>1650000</v>
      </c>
      <c r="R26" s="530"/>
      <c r="S26" s="531"/>
    </row>
    <row r="27" spans="2:22" s="532" customFormat="1" ht="21.9" customHeight="1">
      <c r="B27" s="521"/>
      <c r="C27" s="522"/>
      <c r="D27" s="534" t="s">
        <v>435</v>
      </c>
      <c r="E27" s="1642"/>
      <c r="F27" s="1643"/>
      <c r="G27" s="1644"/>
      <c r="H27" s="524"/>
      <c r="I27" s="535"/>
      <c r="J27" s="524"/>
      <c r="K27" s="536"/>
      <c r="L27" s="538"/>
      <c r="M27" s="539"/>
      <c r="N27" s="529">
        <f t="shared" si="3"/>
        <v>0</v>
      </c>
      <c r="O27" s="537"/>
      <c r="P27" s="539"/>
      <c r="Q27" s="529">
        <f t="shared" si="4"/>
        <v>0</v>
      </c>
      <c r="R27" s="530"/>
      <c r="S27" s="531"/>
    </row>
    <row r="28" spans="2:22" s="532" customFormat="1" ht="21.9" customHeight="1">
      <c r="B28" s="521"/>
      <c r="C28" s="522"/>
      <c r="D28" s="534" t="s">
        <v>436</v>
      </c>
      <c r="E28" s="1642"/>
      <c r="F28" s="1643"/>
      <c r="G28" s="1644"/>
      <c r="H28" s="524"/>
      <c r="I28" s="535"/>
      <c r="J28" s="524"/>
      <c r="K28" s="536"/>
      <c r="L28" s="538"/>
      <c r="M28" s="539"/>
      <c r="N28" s="529">
        <f t="shared" si="3"/>
        <v>0</v>
      </c>
      <c r="O28" s="537"/>
      <c r="P28" s="539"/>
      <c r="Q28" s="529">
        <f t="shared" si="4"/>
        <v>0</v>
      </c>
      <c r="R28" s="530"/>
      <c r="S28" s="531"/>
    </row>
    <row r="29" spans="2:22" s="532" customFormat="1" ht="21.9" hidden="1" customHeight="1">
      <c r="B29" s="521"/>
      <c r="C29" s="522"/>
      <c r="D29" s="534" t="s">
        <v>437</v>
      </c>
      <c r="E29" s="1642"/>
      <c r="F29" s="1643"/>
      <c r="G29" s="1644"/>
      <c r="H29" s="524"/>
      <c r="I29" s="535"/>
      <c r="J29" s="524"/>
      <c r="K29" s="536"/>
      <c r="L29" s="538"/>
      <c r="M29" s="539"/>
      <c r="N29" s="529">
        <f t="shared" si="3"/>
        <v>0</v>
      </c>
      <c r="O29" s="537"/>
      <c r="P29" s="539"/>
      <c r="Q29" s="529">
        <f t="shared" si="4"/>
        <v>0</v>
      </c>
      <c r="R29" s="530"/>
      <c r="S29" s="531"/>
    </row>
    <row r="30" spans="2:22" s="532" customFormat="1" ht="21.9" hidden="1" customHeight="1">
      <c r="B30" s="521"/>
      <c r="C30" s="522"/>
      <c r="D30" s="534" t="s">
        <v>438</v>
      </c>
      <c r="E30" s="1642"/>
      <c r="F30" s="1643"/>
      <c r="G30" s="1644"/>
      <c r="H30" s="524"/>
      <c r="I30" s="535"/>
      <c r="J30" s="524"/>
      <c r="K30" s="536"/>
      <c r="L30" s="538"/>
      <c r="M30" s="539"/>
      <c r="N30" s="529">
        <f t="shared" si="3"/>
        <v>0</v>
      </c>
      <c r="O30" s="537"/>
      <c r="P30" s="539"/>
      <c r="Q30" s="529">
        <f t="shared" si="4"/>
        <v>0</v>
      </c>
      <c r="R30" s="530"/>
      <c r="S30" s="531"/>
    </row>
    <row r="31" spans="2:22" s="532" customFormat="1" ht="21.9" hidden="1" customHeight="1">
      <c r="B31" s="521"/>
      <c r="C31" s="522"/>
      <c r="D31" s="534" t="s">
        <v>439</v>
      </c>
      <c r="E31" s="1642"/>
      <c r="F31" s="1643"/>
      <c r="G31" s="1644"/>
      <c r="H31" s="524"/>
      <c r="I31" s="535"/>
      <c r="J31" s="524"/>
      <c r="K31" s="536"/>
      <c r="L31" s="538"/>
      <c r="M31" s="539"/>
      <c r="N31" s="529">
        <f t="shared" si="3"/>
        <v>0</v>
      </c>
      <c r="O31" s="537"/>
      <c r="P31" s="539"/>
      <c r="Q31" s="529">
        <f t="shared" si="4"/>
        <v>0</v>
      </c>
      <c r="R31" s="530"/>
      <c r="S31" s="531"/>
    </row>
    <row r="32" spans="2:22" s="532" customFormat="1" ht="21.9" hidden="1" customHeight="1">
      <c r="B32" s="521"/>
      <c r="C32" s="522"/>
      <c r="D32" s="534" t="s">
        <v>440</v>
      </c>
      <c r="E32" s="1642"/>
      <c r="F32" s="1643"/>
      <c r="G32" s="1644"/>
      <c r="H32" s="524"/>
      <c r="I32" s="535"/>
      <c r="J32" s="524"/>
      <c r="K32" s="536"/>
      <c r="L32" s="538"/>
      <c r="M32" s="539"/>
      <c r="N32" s="529">
        <f t="shared" si="3"/>
        <v>0</v>
      </c>
      <c r="O32" s="537"/>
      <c r="P32" s="539"/>
      <c r="Q32" s="529">
        <f t="shared" si="4"/>
        <v>0</v>
      </c>
      <c r="R32" s="530"/>
      <c r="S32" s="531"/>
    </row>
    <row r="33" spans="2:19" s="532" customFormat="1" ht="21.9" hidden="1" customHeight="1">
      <c r="B33" s="521"/>
      <c r="C33" s="522"/>
      <c r="D33" s="534" t="s">
        <v>441</v>
      </c>
      <c r="E33" s="1642"/>
      <c r="F33" s="1643"/>
      <c r="G33" s="1644"/>
      <c r="H33" s="524"/>
      <c r="I33" s="535"/>
      <c r="J33" s="524"/>
      <c r="K33" s="536"/>
      <c r="L33" s="538"/>
      <c r="M33" s="539"/>
      <c r="N33" s="529">
        <f t="shared" si="3"/>
        <v>0</v>
      </c>
      <c r="O33" s="537"/>
      <c r="P33" s="539"/>
      <c r="Q33" s="529">
        <f t="shared" si="4"/>
        <v>0</v>
      </c>
      <c r="R33" s="530"/>
      <c r="S33" s="531"/>
    </row>
    <row r="34" spans="2:19" s="532" customFormat="1" ht="21.9" hidden="1" customHeight="1">
      <c r="B34" s="521"/>
      <c r="C34" s="522"/>
      <c r="D34" s="534" t="s">
        <v>442</v>
      </c>
      <c r="E34" s="1642"/>
      <c r="F34" s="1643"/>
      <c r="G34" s="1644"/>
      <c r="H34" s="524"/>
      <c r="I34" s="535"/>
      <c r="J34" s="524"/>
      <c r="K34" s="536"/>
      <c r="L34" s="538"/>
      <c r="M34" s="539"/>
      <c r="N34" s="529">
        <f t="shared" si="3"/>
        <v>0</v>
      </c>
      <c r="O34" s="537"/>
      <c r="P34" s="539"/>
      <c r="Q34" s="529">
        <f t="shared" si="4"/>
        <v>0</v>
      </c>
      <c r="R34" s="530"/>
      <c r="S34" s="531"/>
    </row>
    <row r="35" spans="2:19" s="532" customFormat="1" ht="21.9" hidden="1" customHeight="1">
      <c r="B35" s="521"/>
      <c r="C35" s="522"/>
      <c r="D35" s="534" t="s">
        <v>443</v>
      </c>
      <c r="E35" s="1642"/>
      <c r="F35" s="1643"/>
      <c r="G35" s="1644"/>
      <c r="H35" s="540"/>
      <c r="I35" s="541"/>
      <c r="J35" s="540"/>
      <c r="K35" s="542"/>
      <c r="L35" s="538"/>
      <c r="M35" s="539"/>
      <c r="N35" s="529">
        <f t="shared" si="3"/>
        <v>0</v>
      </c>
      <c r="O35" s="537"/>
      <c r="P35" s="539"/>
      <c r="Q35" s="529">
        <f t="shared" si="4"/>
        <v>0</v>
      </c>
      <c r="R35" s="530"/>
      <c r="S35" s="531"/>
    </row>
    <row r="36" spans="2:19" s="532" customFormat="1" ht="21.9" hidden="1" customHeight="1">
      <c r="B36" s="521"/>
      <c r="C36" s="522"/>
      <c r="D36" s="534" t="s">
        <v>444</v>
      </c>
      <c r="E36" s="1642"/>
      <c r="F36" s="1643"/>
      <c r="G36" s="1644"/>
      <c r="H36" s="540"/>
      <c r="I36" s="541"/>
      <c r="J36" s="540"/>
      <c r="K36" s="542"/>
      <c r="L36" s="538"/>
      <c r="M36" s="539"/>
      <c r="N36" s="529">
        <f t="shared" si="3"/>
        <v>0</v>
      </c>
      <c r="O36" s="537"/>
      <c r="P36" s="539"/>
      <c r="Q36" s="529">
        <f t="shared" si="4"/>
        <v>0</v>
      </c>
      <c r="R36" s="530"/>
      <c r="S36" s="531"/>
    </row>
    <row r="37" spans="2:19" s="532" customFormat="1" ht="21.9" hidden="1" customHeight="1">
      <c r="B37" s="521"/>
      <c r="C37" s="522"/>
      <c r="D37" s="534" t="s">
        <v>445</v>
      </c>
      <c r="E37" s="1642"/>
      <c r="F37" s="1643"/>
      <c r="G37" s="1644"/>
      <c r="H37" s="540"/>
      <c r="I37" s="541"/>
      <c r="J37" s="540"/>
      <c r="K37" s="542"/>
      <c r="L37" s="538"/>
      <c r="M37" s="539"/>
      <c r="N37" s="529">
        <f t="shared" si="3"/>
        <v>0</v>
      </c>
      <c r="O37" s="537"/>
      <c r="P37" s="539"/>
      <c r="Q37" s="529">
        <f t="shared" si="4"/>
        <v>0</v>
      </c>
      <c r="R37" s="530"/>
      <c r="S37" s="531"/>
    </row>
    <row r="38" spans="2:19" s="532" customFormat="1" ht="21.9" hidden="1" customHeight="1">
      <c r="B38" s="521"/>
      <c r="C38" s="522"/>
      <c r="D38" s="534" t="s">
        <v>446</v>
      </c>
      <c r="E38" s="1642"/>
      <c r="F38" s="1643"/>
      <c r="G38" s="1644"/>
      <c r="H38" s="540"/>
      <c r="I38" s="541"/>
      <c r="J38" s="540"/>
      <c r="K38" s="542"/>
      <c r="L38" s="538"/>
      <c r="M38" s="539"/>
      <c r="N38" s="529">
        <f t="shared" si="3"/>
        <v>0</v>
      </c>
      <c r="O38" s="537"/>
      <c r="P38" s="539"/>
      <c r="Q38" s="529">
        <f t="shared" si="4"/>
        <v>0</v>
      </c>
      <c r="R38" s="530"/>
      <c r="S38" s="531"/>
    </row>
    <row r="39" spans="2:19" s="532" customFormat="1" ht="21.9" hidden="1" customHeight="1">
      <c r="B39" s="521"/>
      <c r="C39" s="522"/>
      <c r="D39" s="534" t="s">
        <v>447</v>
      </c>
      <c r="E39" s="1642"/>
      <c r="F39" s="1643"/>
      <c r="G39" s="1644"/>
      <c r="H39" s="540"/>
      <c r="I39" s="541"/>
      <c r="J39" s="540"/>
      <c r="K39" s="542"/>
      <c r="L39" s="538"/>
      <c r="M39" s="539"/>
      <c r="N39" s="529">
        <f t="shared" si="3"/>
        <v>0</v>
      </c>
      <c r="O39" s="537"/>
      <c r="P39" s="539"/>
      <c r="Q39" s="529">
        <f t="shared" si="4"/>
        <v>0</v>
      </c>
      <c r="R39" s="530"/>
      <c r="S39" s="531"/>
    </row>
    <row r="40" spans="2:19" s="532" customFormat="1" ht="21.9" hidden="1" customHeight="1">
      <c r="B40" s="521"/>
      <c r="C40" s="522"/>
      <c r="D40" s="534" t="s">
        <v>448</v>
      </c>
      <c r="E40" s="1667"/>
      <c r="F40" s="1668"/>
      <c r="G40" s="1669"/>
      <c r="H40" s="540"/>
      <c r="I40" s="541"/>
      <c r="J40" s="540"/>
      <c r="K40" s="542"/>
      <c r="L40" s="538"/>
      <c r="M40" s="539"/>
      <c r="N40" s="529">
        <f t="shared" si="3"/>
        <v>0</v>
      </c>
      <c r="O40" s="537"/>
      <c r="P40" s="539"/>
      <c r="Q40" s="529">
        <f t="shared" si="4"/>
        <v>0</v>
      </c>
      <c r="R40" s="530"/>
      <c r="S40" s="531"/>
    </row>
    <row r="41" spans="2:19" s="532" customFormat="1" ht="21.9" hidden="1" customHeight="1">
      <c r="B41" s="521"/>
      <c r="C41" s="522"/>
      <c r="D41" s="534" t="s">
        <v>449</v>
      </c>
      <c r="E41" s="1667"/>
      <c r="F41" s="1668"/>
      <c r="G41" s="1669"/>
      <c r="H41" s="540"/>
      <c r="I41" s="541"/>
      <c r="J41" s="540"/>
      <c r="K41" s="542"/>
      <c r="L41" s="538"/>
      <c r="M41" s="539"/>
      <c r="N41" s="529">
        <f t="shared" si="3"/>
        <v>0</v>
      </c>
      <c r="O41" s="537"/>
      <c r="P41" s="539"/>
      <c r="Q41" s="529">
        <f t="shared" si="4"/>
        <v>0</v>
      </c>
      <c r="R41" s="530"/>
      <c r="S41" s="531"/>
    </row>
    <row r="42" spans="2:19" s="532" customFormat="1" ht="21.9" hidden="1" customHeight="1">
      <c r="B42" s="521"/>
      <c r="C42" s="522"/>
      <c r="D42" s="534" t="s">
        <v>450</v>
      </c>
      <c r="E42" s="1667"/>
      <c r="F42" s="1668"/>
      <c r="G42" s="1669"/>
      <c r="H42" s="540"/>
      <c r="I42" s="541"/>
      <c r="J42" s="540"/>
      <c r="K42" s="542"/>
      <c r="L42" s="538"/>
      <c r="M42" s="539"/>
      <c r="N42" s="529">
        <f t="shared" si="3"/>
        <v>0</v>
      </c>
      <c r="O42" s="537"/>
      <c r="P42" s="539"/>
      <c r="Q42" s="529">
        <f t="shared" si="4"/>
        <v>0</v>
      </c>
      <c r="R42" s="530"/>
      <c r="S42" s="531"/>
    </row>
    <row r="43" spans="2:19" s="532" customFormat="1" ht="21.9" hidden="1" customHeight="1">
      <c r="B43" s="521"/>
      <c r="C43" s="522"/>
      <c r="D43" s="534" t="s">
        <v>451</v>
      </c>
      <c r="E43" s="1667"/>
      <c r="F43" s="1668"/>
      <c r="G43" s="1669"/>
      <c r="H43" s="540"/>
      <c r="I43" s="541"/>
      <c r="J43" s="540"/>
      <c r="K43" s="542"/>
      <c r="L43" s="538"/>
      <c r="M43" s="539"/>
      <c r="N43" s="529">
        <f t="shared" si="3"/>
        <v>0</v>
      </c>
      <c r="O43" s="537"/>
      <c r="P43" s="539"/>
      <c r="Q43" s="529">
        <f t="shared" si="4"/>
        <v>0</v>
      </c>
      <c r="R43" s="530"/>
      <c r="S43" s="531"/>
    </row>
    <row r="44" spans="2:19" s="532" customFormat="1" ht="21.9" hidden="1" customHeight="1">
      <c r="B44" s="521"/>
      <c r="C44" s="522"/>
      <c r="D44" s="534" t="s">
        <v>452</v>
      </c>
      <c r="E44" s="1667"/>
      <c r="F44" s="1668"/>
      <c r="G44" s="1669"/>
      <c r="H44" s="540"/>
      <c r="I44" s="541"/>
      <c r="J44" s="540"/>
      <c r="K44" s="542"/>
      <c r="L44" s="538"/>
      <c r="M44" s="539"/>
      <c r="N44" s="529">
        <f t="shared" si="3"/>
        <v>0</v>
      </c>
      <c r="O44" s="537"/>
      <c r="P44" s="539"/>
      <c r="Q44" s="529">
        <f t="shared" si="4"/>
        <v>0</v>
      </c>
      <c r="R44" s="530"/>
      <c r="S44" s="531"/>
    </row>
    <row r="45" spans="2:19" s="532" customFormat="1" ht="21.9" hidden="1" customHeight="1">
      <c r="B45" s="521"/>
      <c r="C45" s="522"/>
      <c r="D45" s="534" t="s">
        <v>453</v>
      </c>
      <c r="E45" s="1642"/>
      <c r="F45" s="1643"/>
      <c r="G45" s="1644"/>
      <c r="H45" s="540"/>
      <c r="I45" s="541"/>
      <c r="J45" s="540"/>
      <c r="K45" s="542"/>
      <c r="L45" s="538"/>
      <c r="M45" s="539"/>
      <c r="N45" s="529">
        <f t="shared" si="3"/>
        <v>0</v>
      </c>
      <c r="O45" s="537"/>
      <c r="P45" s="539"/>
      <c r="Q45" s="529">
        <f t="shared" si="4"/>
        <v>0</v>
      </c>
      <c r="R45" s="530"/>
      <c r="S45" s="531"/>
    </row>
    <row r="46" spans="2:19" s="532" customFormat="1" ht="21.9" hidden="1" customHeight="1">
      <c r="B46" s="521"/>
      <c r="C46" s="522"/>
      <c r="D46" s="534" t="s">
        <v>454</v>
      </c>
      <c r="E46" s="1667"/>
      <c r="F46" s="1668"/>
      <c r="G46" s="1669"/>
      <c r="H46" s="540"/>
      <c r="I46" s="541"/>
      <c r="J46" s="540"/>
      <c r="K46" s="542"/>
      <c r="L46" s="538"/>
      <c r="M46" s="539"/>
      <c r="N46" s="529">
        <f t="shared" si="3"/>
        <v>0</v>
      </c>
      <c r="O46" s="537"/>
      <c r="P46" s="539"/>
      <c r="Q46" s="529">
        <f t="shared" si="4"/>
        <v>0</v>
      </c>
      <c r="R46" s="530"/>
      <c r="S46" s="531"/>
    </row>
    <row r="47" spans="2:19" s="532" customFormat="1" ht="21.9" hidden="1" customHeight="1">
      <c r="B47" s="521"/>
      <c r="C47" s="522"/>
      <c r="D47" s="534" t="s">
        <v>455</v>
      </c>
      <c r="E47" s="1667"/>
      <c r="F47" s="1668"/>
      <c r="G47" s="1669"/>
      <c r="H47" s="524"/>
      <c r="I47" s="535"/>
      <c r="J47" s="524"/>
      <c r="K47" s="536"/>
      <c r="L47" s="538"/>
      <c r="M47" s="539"/>
      <c r="N47" s="529">
        <f t="shared" si="3"/>
        <v>0</v>
      </c>
      <c r="O47" s="537"/>
      <c r="P47" s="539"/>
      <c r="Q47" s="529">
        <f t="shared" si="4"/>
        <v>0</v>
      </c>
      <c r="R47" s="530"/>
      <c r="S47" s="531"/>
    </row>
    <row r="48" spans="2:19" s="532" customFormat="1" ht="21.9" hidden="1" customHeight="1">
      <c r="B48" s="521"/>
      <c r="C48" s="522"/>
      <c r="D48" s="534" t="s">
        <v>456</v>
      </c>
      <c r="E48" s="1642"/>
      <c r="F48" s="1643"/>
      <c r="G48" s="1644"/>
      <c r="H48" s="540"/>
      <c r="I48" s="541"/>
      <c r="J48" s="540"/>
      <c r="K48" s="542"/>
      <c r="L48" s="538"/>
      <c r="M48" s="539"/>
      <c r="N48" s="529">
        <f t="shared" si="3"/>
        <v>0</v>
      </c>
      <c r="O48" s="537"/>
      <c r="P48" s="539"/>
      <c r="Q48" s="529">
        <f t="shared" si="4"/>
        <v>0</v>
      </c>
      <c r="R48" s="530"/>
      <c r="S48" s="531"/>
    </row>
    <row r="49" spans="2:19" s="532" customFormat="1" ht="21.9" hidden="1" customHeight="1">
      <c r="B49" s="521"/>
      <c r="C49" s="522"/>
      <c r="D49" s="534" t="s">
        <v>457</v>
      </c>
      <c r="E49" s="1642"/>
      <c r="F49" s="1643"/>
      <c r="G49" s="1644"/>
      <c r="H49" s="540"/>
      <c r="I49" s="541"/>
      <c r="J49" s="540"/>
      <c r="K49" s="542"/>
      <c r="L49" s="538"/>
      <c r="M49" s="539"/>
      <c r="N49" s="529">
        <f t="shared" si="3"/>
        <v>0</v>
      </c>
      <c r="O49" s="537"/>
      <c r="P49" s="539"/>
      <c r="Q49" s="529">
        <f t="shared" si="4"/>
        <v>0</v>
      </c>
      <c r="R49" s="530"/>
      <c r="S49" s="531"/>
    </row>
    <row r="50" spans="2:19" s="532" customFormat="1" ht="21.9" hidden="1" customHeight="1">
      <c r="B50" s="521"/>
      <c r="C50" s="522"/>
      <c r="D50" s="534" t="s">
        <v>458</v>
      </c>
      <c r="E50" s="1642"/>
      <c r="F50" s="1643"/>
      <c r="G50" s="1644"/>
      <c r="H50" s="540"/>
      <c r="I50" s="541"/>
      <c r="J50" s="540"/>
      <c r="K50" s="542"/>
      <c r="L50" s="538"/>
      <c r="M50" s="539"/>
      <c r="N50" s="529">
        <f t="shared" si="3"/>
        <v>0</v>
      </c>
      <c r="O50" s="537"/>
      <c r="P50" s="539"/>
      <c r="Q50" s="529">
        <f t="shared" si="4"/>
        <v>0</v>
      </c>
      <c r="R50" s="530"/>
      <c r="S50" s="531"/>
    </row>
    <row r="51" spans="2:19" s="532" customFormat="1" ht="21.9" hidden="1" customHeight="1">
      <c r="B51" s="521"/>
      <c r="C51" s="522"/>
      <c r="D51" s="534" t="s">
        <v>459</v>
      </c>
      <c r="E51" s="1642"/>
      <c r="F51" s="1643"/>
      <c r="G51" s="1644"/>
      <c r="H51" s="540"/>
      <c r="I51" s="541"/>
      <c r="J51" s="540"/>
      <c r="K51" s="542"/>
      <c r="L51" s="538"/>
      <c r="M51" s="543"/>
      <c r="N51" s="529">
        <f t="shared" si="3"/>
        <v>0</v>
      </c>
      <c r="O51" s="537"/>
      <c r="P51" s="543"/>
      <c r="Q51" s="529">
        <f t="shared" si="4"/>
        <v>0</v>
      </c>
      <c r="R51" s="530"/>
      <c r="S51" s="531"/>
    </row>
    <row r="52" spans="2:19" s="532" customFormat="1" ht="21.9" hidden="1" customHeight="1">
      <c r="B52" s="521"/>
      <c r="C52" s="522"/>
      <c r="D52" s="534" t="s">
        <v>460</v>
      </c>
      <c r="E52" s="1642"/>
      <c r="F52" s="1643"/>
      <c r="G52" s="1644"/>
      <c r="H52" s="540"/>
      <c r="I52" s="541"/>
      <c r="J52" s="540"/>
      <c r="K52" s="542"/>
      <c r="L52" s="538"/>
      <c r="M52" s="539"/>
      <c r="N52" s="529">
        <f t="shared" si="3"/>
        <v>0</v>
      </c>
      <c r="O52" s="537"/>
      <c r="P52" s="539"/>
      <c r="Q52" s="529">
        <f t="shared" si="4"/>
        <v>0</v>
      </c>
      <c r="R52" s="530"/>
      <c r="S52" s="531"/>
    </row>
    <row r="53" spans="2:19" s="532" customFormat="1" ht="21.9" customHeight="1">
      <c r="B53" s="521"/>
      <c r="C53" s="522"/>
      <c r="D53" s="534" t="s">
        <v>461</v>
      </c>
      <c r="E53" s="1642"/>
      <c r="F53" s="1643"/>
      <c r="G53" s="1644"/>
      <c r="H53" s="540"/>
      <c r="I53" s="541"/>
      <c r="J53" s="540"/>
      <c r="K53" s="542"/>
      <c r="L53" s="538"/>
      <c r="M53" s="539"/>
      <c r="N53" s="529">
        <f t="shared" si="3"/>
        <v>0</v>
      </c>
      <c r="O53" s="537"/>
      <c r="P53" s="539"/>
      <c r="Q53" s="529">
        <f t="shared" si="4"/>
        <v>0</v>
      </c>
      <c r="R53" s="530"/>
      <c r="S53" s="531"/>
    </row>
    <row r="54" spans="2:19" s="532" customFormat="1" ht="21.9" customHeight="1">
      <c r="B54" s="521"/>
      <c r="C54" s="522"/>
      <c r="D54" s="534" t="s">
        <v>462</v>
      </c>
      <c r="E54" s="1642"/>
      <c r="F54" s="1643"/>
      <c r="G54" s="1644"/>
      <c r="H54" s="540"/>
      <c r="I54" s="541"/>
      <c r="J54" s="540"/>
      <c r="K54" s="542"/>
      <c r="L54" s="538"/>
      <c r="M54" s="539"/>
      <c r="N54" s="529">
        <f t="shared" si="3"/>
        <v>0</v>
      </c>
      <c r="O54" s="537"/>
      <c r="P54" s="539"/>
      <c r="Q54" s="529">
        <f t="shared" si="4"/>
        <v>0</v>
      </c>
      <c r="R54" s="530"/>
      <c r="S54" s="531"/>
    </row>
    <row r="55" spans="2:19" s="532" customFormat="1" ht="21.9" customHeight="1">
      <c r="B55" s="521"/>
      <c r="C55" s="522"/>
      <c r="D55" s="534" t="s">
        <v>463</v>
      </c>
      <c r="E55" s="1642"/>
      <c r="F55" s="1643"/>
      <c r="G55" s="1644"/>
      <c r="H55" s="540"/>
      <c r="I55" s="541"/>
      <c r="J55" s="540"/>
      <c r="K55" s="542"/>
      <c r="L55" s="538"/>
      <c r="M55" s="539"/>
      <c r="N55" s="529">
        <f t="shared" si="3"/>
        <v>0</v>
      </c>
      <c r="O55" s="537"/>
      <c r="P55" s="539"/>
      <c r="Q55" s="529">
        <f t="shared" si="4"/>
        <v>0</v>
      </c>
      <c r="R55" s="530"/>
      <c r="S55" s="531"/>
    </row>
    <row r="56" spans="2:19" s="532" customFormat="1" ht="21.9" customHeight="1">
      <c r="B56" s="521"/>
      <c r="C56" s="522"/>
      <c r="D56" s="534" t="s">
        <v>464</v>
      </c>
      <c r="E56" s="1642"/>
      <c r="F56" s="1643"/>
      <c r="G56" s="1644"/>
      <c r="H56" s="540"/>
      <c r="I56" s="541"/>
      <c r="J56" s="540"/>
      <c r="K56" s="542"/>
      <c r="L56" s="538"/>
      <c r="M56" s="539"/>
      <c r="N56" s="529">
        <f t="shared" si="3"/>
        <v>0</v>
      </c>
      <c r="O56" s="537"/>
      <c r="P56" s="539"/>
      <c r="Q56" s="529">
        <f t="shared" si="4"/>
        <v>0</v>
      </c>
      <c r="R56" s="530"/>
      <c r="S56" s="531"/>
    </row>
    <row r="57" spans="2:19" s="532" customFormat="1" ht="21.9" customHeight="1">
      <c r="B57" s="521"/>
      <c r="C57" s="522"/>
      <c r="D57" s="534" t="s">
        <v>465</v>
      </c>
      <c r="E57" s="1642"/>
      <c r="F57" s="1643"/>
      <c r="G57" s="1644"/>
      <c r="H57" s="540"/>
      <c r="I57" s="541"/>
      <c r="J57" s="540"/>
      <c r="K57" s="542"/>
      <c r="L57" s="538"/>
      <c r="M57" s="539"/>
      <c r="N57" s="529">
        <f t="shared" si="3"/>
        <v>0</v>
      </c>
      <c r="O57" s="537"/>
      <c r="P57" s="539"/>
      <c r="Q57" s="529">
        <f t="shared" si="4"/>
        <v>0</v>
      </c>
      <c r="R57" s="530"/>
      <c r="S57" s="531"/>
    </row>
    <row r="58" spans="2:19" s="532" customFormat="1" ht="21.9" customHeight="1">
      <c r="B58" s="521"/>
      <c r="C58" s="522"/>
      <c r="D58" s="534" t="s">
        <v>466</v>
      </c>
      <c r="E58" s="1642"/>
      <c r="F58" s="1643"/>
      <c r="G58" s="1644"/>
      <c r="H58" s="540"/>
      <c r="I58" s="541"/>
      <c r="J58" s="540"/>
      <c r="K58" s="542"/>
      <c r="L58" s="538"/>
      <c r="M58" s="539"/>
      <c r="N58" s="529">
        <f t="shared" si="3"/>
        <v>0</v>
      </c>
      <c r="O58" s="537"/>
      <c r="P58" s="539"/>
      <c r="Q58" s="529">
        <f t="shared" si="4"/>
        <v>0</v>
      </c>
      <c r="R58" s="530"/>
      <c r="S58" s="531"/>
    </row>
    <row r="59" spans="2:19" s="532" customFormat="1" ht="21.9" customHeight="1">
      <c r="B59" s="521"/>
      <c r="C59" s="522"/>
      <c r="D59" s="534" t="s">
        <v>467</v>
      </c>
      <c r="E59" s="1642"/>
      <c r="F59" s="1643"/>
      <c r="G59" s="1644"/>
      <c r="H59" s="540"/>
      <c r="I59" s="541"/>
      <c r="J59" s="540"/>
      <c r="K59" s="542"/>
      <c r="L59" s="538"/>
      <c r="M59" s="539"/>
      <c r="N59" s="529">
        <f t="shared" si="3"/>
        <v>0</v>
      </c>
      <c r="O59" s="537"/>
      <c r="P59" s="539"/>
      <c r="Q59" s="529">
        <f t="shared" si="4"/>
        <v>0</v>
      </c>
      <c r="R59" s="530"/>
      <c r="S59" s="531"/>
    </row>
    <row r="60" spans="2:19" s="532" customFormat="1" ht="21.9" customHeight="1">
      <c r="B60" s="521"/>
      <c r="C60" s="522"/>
      <c r="D60" s="534" t="s">
        <v>468</v>
      </c>
      <c r="E60" s="1642"/>
      <c r="F60" s="1643"/>
      <c r="G60" s="1644"/>
      <c r="H60" s="540"/>
      <c r="I60" s="544"/>
      <c r="J60" s="545"/>
      <c r="K60" s="542"/>
      <c r="L60" s="538"/>
      <c r="M60" s="539"/>
      <c r="N60" s="529">
        <f t="shared" si="3"/>
        <v>0</v>
      </c>
      <c r="O60" s="537"/>
      <c r="P60" s="539"/>
      <c r="Q60" s="529">
        <f t="shared" si="4"/>
        <v>0</v>
      </c>
      <c r="R60" s="530"/>
      <c r="S60" s="531"/>
    </row>
    <row r="61" spans="2:19" s="532" customFormat="1" ht="21.9" customHeight="1">
      <c r="B61" s="521"/>
      <c r="C61" s="522"/>
      <c r="D61" s="534" t="s">
        <v>469</v>
      </c>
      <c r="E61" s="1642"/>
      <c r="F61" s="1643"/>
      <c r="G61" s="1644"/>
      <c r="H61" s="540"/>
      <c r="I61" s="544"/>
      <c r="J61" s="545"/>
      <c r="K61" s="542"/>
      <c r="L61" s="538"/>
      <c r="M61" s="539"/>
      <c r="N61" s="529">
        <f t="shared" si="3"/>
        <v>0</v>
      </c>
      <c r="O61" s="537"/>
      <c r="P61" s="539"/>
      <c r="Q61" s="529">
        <f t="shared" si="4"/>
        <v>0</v>
      </c>
      <c r="R61" s="530"/>
      <c r="S61" s="531"/>
    </row>
    <row r="62" spans="2:19" s="532" customFormat="1" ht="21.9" customHeight="1">
      <c r="B62" s="521"/>
      <c r="C62" s="522"/>
      <c r="D62" s="534" t="s">
        <v>470</v>
      </c>
      <c r="E62" s="1642"/>
      <c r="F62" s="1643"/>
      <c r="G62" s="1644"/>
      <c r="H62" s="540"/>
      <c r="I62" s="544"/>
      <c r="J62" s="545"/>
      <c r="K62" s="542"/>
      <c r="L62" s="538"/>
      <c r="M62" s="539"/>
      <c r="N62" s="529">
        <f t="shared" si="3"/>
        <v>0</v>
      </c>
      <c r="O62" s="537"/>
      <c r="P62" s="539"/>
      <c r="Q62" s="529">
        <f t="shared" si="4"/>
        <v>0</v>
      </c>
      <c r="R62" s="530"/>
      <c r="S62" s="531"/>
    </row>
    <row r="63" spans="2:19" s="532" customFormat="1" ht="21.9" customHeight="1">
      <c r="B63" s="521"/>
      <c r="C63" s="522"/>
      <c r="D63" s="534" t="s">
        <v>471</v>
      </c>
      <c r="E63" s="1642"/>
      <c r="F63" s="1643"/>
      <c r="G63" s="1644"/>
      <c r="H63" s="540"/>
      <c r="I63" s="544"/>
      <c r="J63" s="545"/>
      <c r="K63" s="542"/>
      <c r="L63" s="538"/>
      <c r="M63" s="539"/>
      <c r="N63" s="529">
        <f t="shared" si="3"/>
        <v>0</v>
      </c>
      <c r="O63" s="537"/>
      <c r="P63" s="539"/>
      <c r="Q63" s="529">
        <f t="shared" si="4"/>
        <v>0</v>
      </c>
      <c r="R63" s="530"/>
      <c r="S63" s="531"/>
    </row>
    <row r="64" spans="2:19" s="532" customFormat="1" ht="21.9" customHeight="1" thickBot="1">
      <c r="B64" s="521"/>
      <c r="C64" s="522"/>
      <c r="D64" s="534" t="s">
        <v>472</v>
      </c>
      <c r="E64" s="1670"/>
      <c r="F64" s="1671"/>
      <c r="G64" s="1672"/>
      <c r="H64" s="546"/>
      <c r="I64" s="547"/>
      <c r="J64" s="548"/>
      <c r="K64" s="549"/>
      <c r="L64" s="550"/>
      <c r="M64" s="551"/>
      <c r="N64" s="552"/>
      <c r="O64" s="553"/>
      <c r="P64" s="551"/>
      <c r="Q64" s="552"/>
      <c r="R64" s="530"/>
      <c r="S64" s="531"/>
    </row>
    <row r="65" spans="2:22" ht="37.5" customHeight="1" thickBot="1">
      <c r="B65" s="485"/>
      <c r="C65" s="493"/>
      <c r="D65" s="554"/>
      <c r="E65" s="555"/>
      <c r="F65" s="556"/>
      <c r="G65" s="556"/>
      <c r="H65" s="557"/>
      <c r="I65" s="557"/>
      <c r="J65" s="558"/>
      <c r="K65" s="559">
        <f>SUM(K19:K64)</f>
        <v>5282373</v>
      </c>
      <c r="L65" s="556"/>
      <c r="M65" s="560" t="s">
        <v>364</v>
      </c>
      <c r="N65" s="561">
        <f>ROUND(SUM(N19:N64),2)</f>
        <v>0</v>
      </c>
      <c r="O65" s="556"/>
      <c r="P65" s="560" t="s">
        <v>364</v>
      </c>
      <c r="Q65" s="561">
        <f>ROUND(SUM(Q19:Q64),2)</f>
        <v>5282373</v>
      </c>
      <c r="R65" s="562"/>
      <c r="S65" s="492"/>
      <c r="U65" s="563"/>
      <c r="V65" s="564"/>
    </row>
    <row r="66" spans="2:22" ht="39.15" customHeight="1" thickBot="1">
      <c r="B66" s="485"/>
      <c r="C66" s="493"/>
      <c r="D66" s="554"/>
      <c r="E66" s="556" t="s">
        <v>473</v>
      </c>
      <c r="F66" s="556"/>
      <c r="G66" s="556"/>
      <c r="H66" s="565">
        <f>'[6]Contract Info'!J63</f>
        <v>0.8</v>
      </c>
      <c r="I66" s="565"/>
      <c r="J66" s="566"/>
      <c r="K66" s="567">
        <f>K65*H66</f>
        <v>4225898.4000000004</v>
      </c>
      <c r="L66" s="556"/>
      <c r="M66" s="568" t="s">
        <v>364</v>
      </c>
      <c r="N66" s="569">
        <f>SUM(N65*H66)</f>
        <v>0</v>
      </c>
      <c r="O66" s="570"/>
      <c r="P66" s="571" t="s">
        <v>364</v>
      </c>
      <c r="Q66" s="572">
        <f>Q65*H66</f>
        <v>4225898.4000000004</v>
      </c>
      <c r="R66" s="562"/>
      <c r="S66" s="492"/>
      <c r="U66" s="563"/>
      <c r="V66" s="573"/>
    </row>
    <row r="67" spans="2:22">
      <c r="B67" s="485"/>
      <c r="C67" s="574"/>
      <c r="D67" s="575"/>
      <c r="E67" s="575"/>
      <c r="F67" s="575"/>
      <c r="G67" s="575"/>
      <c r="H67" s="575"/>
      <c r="I67" s="575"/>
      <c r="J67" s="575"/>
      <c r="K67" s="575"/>
      <c r="L67" s="575"/>
      <c r="M67" s="576"/>
      <c r="N67" s="576"/>
      <c r="O67" s="576"/>
      <c r="P67" s="576"/>
      <c r="Q67" s="576"/>
      <c r="R67" s="577"/>
      <c r="S67" s="492"/>
    </row>
    <row r="68" spans="2:22" ht="20.5" thickBot="1">
      <c r="B68" s="578"/>
      <c r="C68" s="579"/>
      <c r="D68" s="579"/>
      <c r="E68" s="579"/>
      <c r="F68" s="579"/>
      <c r="G68" s="579"/>
      <c r="H68" s="579"/>
      <c r="I68" s="579"/>
      <c r="J68" s="579"/>
      <c r="K68" s="579"/>
      <c r="L68" s="579"/>
      <c r="M68" s="580"/>
      <c r="N68" s="580"/>
      <c r="O68" s="580"/>
      <c r="P68" s="580"/>
      <c r="Q68" s="580"/>
      <c r="R68" s="579"/>
      <c r="S68" s="581"/>
      <c r="U68" s="532"/>
    </row>
    <row r="69" spans="2:22">
      <c r="E69" s="582"/>
      <c r="N69" s="479">
        <f>N65-N66</f>
        <v>0</v>
      </c>
    </row>
    <row r="8155" spans="2:256">
      <c r="B8155" s="583"/>
      <c r="C8155" s="583"/>
      <c r="D8155" s="583"/>
      <c r="F8155" s="583"/>
      <c r="G8155" s="583"/>
      <c r="H8155" s="583"/>
      <c r="I8155" s="583"/>
      <c r="J8155" s="583"/>
      <c r="K8155" s="583"/>
      <c r="L8155" s="583"/>
      <c r="R8155" s="583"/>
      <c r="S8155" s="583"/>
      <c r="T8155" s="583"/>
      <c r="U8155" s="583"/>
      <c r="V8155" s="583"/>
      <c r="W8155" s="583"/>
      <c r="X8155" s="583"/>
      <c r="Y8155" s="583"/>
      <c r="Z8155" s="583"/>
      <c r="AA8155" s="583"/>
      <c r="AB8155" s="583"/>
      <c r="AC8155" s="583"/>
      <c r="AD8155" s="583"/>
      <c r="AE8155" s="583"/>
      <c r="AF8155" s="583"/>
      <c r="AG8155" s="583"/>
      <c r="AH8155" s="583"/>
      <c r="AI8155" s="583"/>
      <c r="AJ8155" s="583"/>
      <c r="AK8155" s="583"/>
      <c r="AL8155" s="583"/>
      <c r="AM8155" s="583"/>
      <c r="AN8155" s="583"/>
      <c r="AO8155" s="583"/>
      <c r="AP8155" s="583"/>
      <c r="AQ8155" s="583"/>
      <c r="AR8155" s="583"/>
      <c r="AS8155" s="583"/>
      <c r="AT8155" s="583"/>
      <c r="AU8155" s="583"/>
      <c r="AV8155" s="583"/>
      <c r="AW8155" s="583"/>
      <c r="AX8155" s="583"/>
      <c r="AY8155" s="583"/>
      <c r="AZ8155" s="583"/>
      <c r="BA8155" s="583"/>
      <c r="BB8155" s="583"/>
      <c r="BC8155" s="583"/>
      <c r="BD8155" s="583"/>
      <c r="BE8155" s="583"/>
      <c r="BF8155" s="583"/>
      <c r="BG8155" s="583"/>
      <c r="BH8155" s="583"/>
      <c r="BI8155" s="583"/>
      <c r="BJ8155" s="583"/>
      <c r="BK8155" s="583"/>
      <c r="BL8155" s="583"/>
      <c r="BM8155" s="583"/>
      <c r="BN8155" s="583"/>
      <c r="BO8155" s="583"/>
      <c r="BP8155" s="583"/>
      <c r="BQ8155" s="583"/>
      <c r="BR8155" s="583"/>
      <c r="BS8155" s="583"/>
      <c r="BT8155" s="583"/>
      <c r="BU8155" s="583"/>
      <c r="BV8155" s="583"/>
      <c r="BW8155" s="583"/>
      <c r="BX8155" s="583"/>
      <c r="BY8155" s="583"/>
      <c r="BZ8155" s="583"/>
      <c r="CA8155" s="583"/>
      <c r="CB8155" s="583"/>
      <c r="CC8155" s="583"/>
      <c r="CD8155" s="583"/>
      <c r="CE8155" s="583"/>
      <c r="CF8155" s="583"/>
      <c r="CG8155" s="583"/>
      <c r="CH8155" s="583"/>
      <c r="CI8155" s="583"/>
      <c r="CJ8155" s="583"/>
      <c r="CK8155" s="583"/>
      <c r="CL8155" s="583"/>
      <c r="CM8155" s="583"/>
      <c r="CN8155" s="583"/>
      <c r="CO8155" s="583"/>
      <c r="CP8155" s="583"/>
      <c r="CQ8155" s="583"/>
      <c r="CR8155" s="583"/>
      <c r="CS8155" s="583"/>
      <c r="CT8155" s="583"/>
      <c r="CU8155" s="583"/>
      <c r="CV8155" s="583"/>
      <c r="CW8155" s="583"/>
      <c r="CX8155" s="583"/>
      <c r="CY8155" s="583"/>
      <c r="CZ8155" s="583"/>
      <c r="DA8155" s="583"/>
      <c r="DB8155" s="583"/>
      <c r="DC8155" s="583"/>
      <c r="DD8155" s="583"/>
      <c r="DE8155" s="583"/>
      <c r="DF8155" s="583"/>
      <c r="DG8155" s="583"/>
      <c r="DH8155" s="583"/>
      <c r="DI8155" s="583"/>
      <c r="DJ8155" s="583"/>
      <c r="DK8155" s="583"/>
      <c r="DL8155" s="583"/>
      <c r="DM8155" s="583"/>
      <c r="DN8155" s="583"/>
      <c r="DO8155" s="583"/>
      <c r="DP8155" s="583"/>
      <c r="DQ8155" s="583"/>
      <c r="DR8155" s="583"/>
      <c r="DS8155" s="583"/>
      <c r="DT8155" s="583"/>
      <c r="DU8155" s="583"/>
      <c r="DV8155" s="583"/>
      <c r="DW8155" s="583"/>
      <c r="DX8155" s="583"/>
      <c r="DY8155" s="583"/>
      <c r="DZ8155" s="583"/>
      <c r="EA8155" s="583"/>
      <c r="EB8155" s="583"/>
      <c r="EC8155" s="583"/>
      <c r="ED8155" s="583"/>
      <c r="EE8155" s="583"/>
      <c r="EF8155" s="583"/>
      <c r="EG8155" s="583"/>
      <c r="EH8155" s="583"/>
      <c r="EI8155" s="583"/>
      <c r="EJ8155" s="583"/>
      <c r="EK8155" s="583"/>
      <c r="EL8155" s="583"/>
      <c r="EM8155" s="583"/>
      <c r="EN8155" s="583"/>
      <c r="EO8155" s="583"/>
      <c r="EP8155" s="583"/>
      <c r="EQ8155" s="583"/>
      <c r="ER8155" s="583"/>
      <c r="ES8155" s="583"/>
      <c r="ET8155" s="583"/>
      <c r="EU8155" s="583"/>
      <c r="EV8155" s="583"/>
      <c r="EW8155" s="583"/>
      <c r="EX8155" s="583"/>
      <c r="EY8155" s="583"/>
      <c r="EZ8155" s="583"/>
      <c r="FA8155" s="583"/>
      <c r="FB8155" s="583"/>
      <c r="FC8155" s="583"/>
      <c r="FD8155" s="583"/>
      <c r="FE8155" s="583"/>
      <c r="FF8155" s="583"/>
      <c r="FG8155" s="583"/>
      <c r="FH8155" s="583"/>
      <c r="FI8155" s="583"/>
      <c r="FJ8155" s="583"/>
      <c r="FK8155" s="583"/>
      <c r="FL8155" s="583"/>
      <c r="FM8155" s="583"/>
      <c r="FN8155" s="583"/>
      <c r="FO8155" s="583"/>
      <c r="FP8155" s="583"/>
      <c r="FQ8155" s="583"/>
      <c r="FR8155" s="583"/>
      <c r="FS8155" s="583"/>
      <c r="FT8155" s="583"/>
      <c r="FU8155" s="583"/>
      <c r="FV8155" s="583"/>
      <c r="FW8155" s="583"/>
      <c r="FX8155" s="583"/>
      <c r="FY8155" s="583"/>
      <c r="FZ8155" s="583"/>
      <c r="GA8155" s="583"/>
      <c r="GB8155" s="583"/>
      <c r="GC8155" s="583"/>
      <c r="GD8155" s="583"/>
      <c r="GE8155" s="583"/>
      <c r="GF8155" s="583"/>
      <c r="GG8155" s="583"/>
      <c r="GH8155" s="583"/>
      <c r="GI8155" s="583"/>
      <c r="GJ8155" s="583"/>
      <c r="GK8155" s="583"/>
      <c r="GL8155" s="583"/>
      <c r="GM8155" s="583"/>
      <c r="GN8155" s="583"/>
      <c r="GO8155" s="583"/>
      <c r="GP8155" s="583"/>
      <c r="GQ8155" s="583"/>
      <c r="GR8155" s="583"/>
      <c r="GS8155" s="583"/>
      <c r="GT8155" s="583"/>
      <c r="GU8155" s="583"/>
      <c r="GV8155" s="583"/>
      <c r="GW8155" s="583"/>
      <c r="GX8155" s="583"/>
      <c r="GY8155" s="583"/>
      <c r="GZ8155" s="583"/>
      <c r="HA8155" s="583"/>
      <c r="HB8155" s="583"/>
      <c r="HC8155" s="583"/>
      <c r="HD8155" s="583"/>
      <c r="HE8155" s="583"/>
      <c r="HF8155" s="583"/>
      <c r="HG8155" s="583"/>
      <c r="HH8155" s="583"/>
      <c r="HI8155" s="583"/>
      <c r="HJ8155" s="583"/>
      <c r="HK8155" s="583"/>
      <c r="HL8155" s="583"/>
      <c r="HM8155" s="583"/>
      <c r="HN8155" s="583"/>
      <c r="HO8155" s="583"/>
      <c r="HP8155" s="583"/>
      <c r="HQ8155" s="583"/>
      <c r="HR8155" s="583"/>
      <c r="HS8155" s="583"/>
      <c r="HT8155" s="583"/>
      <c r="HU8155" s="583"/>
      <c r="HV8155" s="583"/>
      <c r="HW8155" s="583"/>
      <c r="HX8155" s="583"/>
      <c r="HY8155" s="583"/>
      <c r="HZ8155" s="583"/>
      <c r="IA8155" s="583"/>
      <c r="IB8155" s="583"/>
      <c r="IC8155" s="583"/>
      <c r="ID8155" s="583"/>
      <c r="IE8155" s="583"/>
      <c r="IF8155" s="583"/>
      <c r="IG8155" s="583"/>
      <c r="IH8155" s="583"/>
      <c r="II8155" s="583"/>
      <c r="IJ8155" s="583"/>
      <c r="IK8155" s="583"/>
      <c r="IL8155" s="583"/>
      <c r="IM8155" s="583"/>
      <c r="IN8155" s="583"/>
      <c r="IO8155" s="583"/>
      <c r="IP8155" s="583"/>
      <c r="IQ8155" s="583"/>
      <c r="IR8155" s="583"/>
      <c r="IS8155" s="583"/>
      <c r="IT8155" s="583"/>
      <c r="IU8155" s="583"/>
      <c r="IV8155" s="583"/>
    </row>
    <row r="8156" spans="2:256">
      <c r="B8156" s="583"/>
      <c r="C8156" s="583"/>
      <c r="D8156" s="583"/>
      <c r="E8156" s="583"/>
      <c r="F8156" s="583"/>
      <c r="G8156" s="583"/>
      <c r="H8156" s="583"/>
      <c r="I8156" s="583"/>
      <c r="J8156" s="583"/>
      <c r="K8156" s="583"/>
      <c r="L8156" s="583"/>
      <c r="R8156" s="583"/>
      <c r="S8156" s="583"/>
      <c r="T8156" s="583"/>
      <c r="U8156" s="583"/>
      <c r="V8156" s="583"/>
      <c r="W8156" s="583"/>
      <c r="X8156" s="583"/>
      <c r="Y8156" s="583"/>
      <c r="Z8156" s="583"/>
      <c r="AA8156" s="583"/>
      <c r="AB8156" s="583"/>
      <c r="AC8156" s="583"/>
      <c r="AD8156" s="583"/>
      <c r="AE8156" s="583"/>
      <c r="AF8156" s="583"/>
      <c r="AG8156" s="583"/>
      <c r="AH8156" s="583"/>
      <c r="AI8156" s="583"/>
      <c r="AJ8156" s="583"/>
      <c r="AK8156" s="583"/>
      <c r="AL8156" s="583"/>
      <c r="AM8156" s="583"/>
      <c r="AN8156" s="583"/>
      <c r="AO8156" s="583"/>
      <c r="AP8156" s="583"/>
      <c r="AQ8156" s="583"/>
      <c r="AR8156" s="583"/>
      <c r="AS8156" s="583"/>
      <c r="AT8156" s="583"/>
      <c r="AU8156" s="583"/>
      <c r="AV8156" s="583"/>
      <c r="AW8156" s="583"/>
      <c r="AX8156" s="583"/>
      <c r="AY8156" s="583"/>
      <c r="AZ8156" s="583"/>
      <c r="BA8156" s="583"/>
      <c r="BB8156" s="583"/>
      <c r="BC8156" s="583"/>
      <c r="BD8156" s="583"/>
      <c r="BE8156" s="583"/>
      <c r="BF8156" s="583"/>
      <c r="BG8156" s="583"/>
      <c r="BH8156" s="583"/>
      <c r="BI8156" s="583"/>
      <c r="BJ8156" s="583"/>
      <c r="BK8156" s="583"/>
      <c r="BL8156" s="583"/>
      <c r="BM8156" s="583"/>
      <c r="BN8156" s="583"/>
      <c r="BO8156" s="583"/>
      <c r="BP8156" s="583"/>
      <c r="BQ8156" s="583"/>
      <c r="BR8156" s="583"/>
      <c r="BS8156" s="583"/>
      <c r="BT8156" s="583"/>
      <c r="BU8156" s="583"/>
      <c r="BV8156" s="583"/>
      <c r="BW8156" s="583"/>
      <c r="BX8156" s="583"/>
      <c r="BY8156" s="583"/>
      <c r="BZ8156" s="583"/>
      <c r="CA8156" s="583"/>
      <c r="CB8156" s="583"/>
      <c r="CC8156" s="583"/>
      <c r="CD8156" s="583"/>
      <c r="CE8156" s="583"/>
      <c r="CF8156" s="583"/>
      <c r="CG8156" s="583"/>
      <c r="CH8156" s="583"/>
      <c r="CI8156" s="583"/>
      <c r="CJ8156" s="583"/>
      <c r="CK8156" s="583"/>
      <c r="CL8156" s="583"/>
      <c r="CM8156" s="583"/>
      <c r="CN8156" s="583"/>
      <c r="CO8156" s="583"/>
      <c r="CP8156" s="583"/>
      <c r="CQ8156" s="583"/>
      <c r="CR8156" s="583"/>
      <c r="CS8156" s="583"/>
      <c r="CT8156" s="583"/>
      <c r="CU8156" s="583"/>
      <c r="CV8156" s="583"/>
      <c r="CW8156" s="583"/>
      <c r="CX8156" s="583"/>
      <c r="CY8156" s="583"/>
      <c r="CZ8156" s="583"/>
      <c r="DA8156" s="583"/>
      <c r="DB8156" s="583"/>
      <c r="DC8156" s="583"/>
      <c r="DD8156" s="583"/>
      <c r="DE8156" s="583"/>
      <c r="DF8156" s="583"/>
      <c r="DG8156" s="583"/>
      <c r="DH8156" s="583"/>
      <c r="DI8156" s="583"/>
      <c r="DJ8156" s="583"/>
      <c r="DK8156" s="583"/>
      <c r="DL8156" s="583"/>
      <c r="DM8156" s="583"/>
      <c r="DN8156" s="583"/>
      <c r="DO8156" s="583"/>
      <c r="DP8156" s="583"/>
      <c r="DQ8156" s="583"/>
      <c r="DR8156" s="583"/>
      <c r="DS8156" s="583"/>
      <c r="DT8156" s="583"/>
      <c r="DU8156" s="583"/>
      <c r="DV8156" s="583"/>
      <c r="DW8156" s="583"/>
      <c r="DX8156" s="583"/>
      <c r="DY8156" s="583"/>
      <c r="DZ8156" s="583"/>
      <c r="EA8156" s="583"/>
      <c r="EB8156" s="583"/>
      <c r="EC8156" s="583"/>
      <c r="ED8156" s="583"/>
      <c r="EE8156" s="583"/>
      <c r="EF8156" s="583"/>
      <c r="EG8156" s="583"/>
      <c r="EH8156" s="583"/>
      <c r="EI8156" s="583"/>
      <c r="EJ8156" s="583"/>
      <c r="EK8156" s="583"/>
      <c r="EL8156" s="583"/>
      <c r="EM8156" s="583"/>
      <c r="EN8156" s="583"/>
      <c r="EO8156" s="583"/>
      <c r="EP8156" s="583"/>
      <c r="EQ8156" s="583"/>
      <c r="ER8156" s="583"/>
      <c r="ES8156" s="583"/>
      <c r="ET8156" s="583"/>
      <c r="EU8156" s="583"/>
      <c r="EV8156" s="583"/>
      <c r="EW8156" s="583"/>
      <c r="EX8156" s="583"/>
      <c r="EY8156" s="583"/>
      <c r="EZ8156" s="583"/>
      <c r="FA8156" s="583"/>
      <c r="FB8156" s="583"/>
      <c r="FC8156" s="583"/>
      <c r="FD8156" s="583"/>
      <c r="FE8156" s="583"/>
      <c r="FF8156" s="583"/>
      <c r="FG8156" s="583"/>
      <c r="FH8156" s="583"/>
      <c r="FI8156" s="583"/>
      <c r="FJ8156" s="583"/>
      <c r="FK8156" s="583"/>
      <c r="FL8156" s="583"/>
      <c r="FM8156" s="583"/>
      <c r="FN8156" s="583"/>
      <c r="FO8156" s="583"/>
      <c r="FP8156" s="583"/>
      <c r="FQ8156" s="583"/>
      <c r="FR8156" s="583"/>
      <c r="FS8156" s="583"/>
      <c r="FT8156" s="583"/>
      <c r="FU8156" s="583"/>
      <c r="FV8156" s="583"/>
      <c r="FW8156" s="583"/>
      <c r="FX8156" s="583"/>
      <c r="FY8156" s="583"/>
      <c r="FZ8156" s="583"/>
      <c r="GA8156" s="583"/>
      <c r="GB8156" s="583"/>
      <c r="GC8156" s="583"/>
      <c r="GD8156" s="583"/>
      <c r="GE8156" s="583"/>
      <c r="GF8156" s="583"/>
      <c r="GG8156" s="583"/>
      <c r="GH8156" s="583"/>
      <c r="GI8156" s="583"/>
      <c r="GJ8156" s="583"/>
      <c r="GK8156" s="583"/>
      <c r="GL8156" s="583"/>
      <c r="GM8156" s="583"/>
      <c r="GN8156" s="583"/>
      <c r="GO8156" s="583"/>
      <c r="GP8156" s="583"/>
      <c r="GQ8156" s="583"/>
      <c r="GR8156" s="583"/>
      <c r="GS8156" s="583"/>
      <c r="GT8156" s="583"/>
      <c r="GU8156" s="583"/>
      <c r="GV8156" s="583"/>
      <c r="GW8156" s="583"/>
      <c r="GX8156" s="583"/>
      <c r="GY8156" s="583"/>
      <c r="GZ8156" s="583"/>
      <c r="HA8156" s="583"/>
      <c r="HB8156" s="583"/>
      <c r="HC8156" s="583"/>
      <c r="HD8156" s="583"/>
      <c r="HE8156" s="583"/>
      <c r="HF8156" s="583"/>
      <c r="HG8156" s="583"/>
      <c r="HH8156" s="583"/>
      <c r="HI8156" s="583"/>
      <c r="HJ8156" s="583"/>
      <c r="HK8156" s="583"/>
      <c r="HL8156" s="583"/>
      <c r="HM8156" s="583"/>
      <c r="HN8156" s="583"/>
      <c r="HO8156" s="583"/>
      <c r="HP8156" s="583"/>
      <c r="HQ8156" s="583"/>
      <c r="HR8156" s="583"/>
      <c r="HS8156" s="583"/>
      <c r="HT8156" s="583"/>
      <c r="HU8156" s="583"/>
      <c r="HV8156" s="583"/>
      <c r="HW8156" s="583"/>
      <c r="HX8156" s="583"/>
      <c r="HY8156" s="583"/>
      <c r="HZ8156" s="583"/>
      <c r="IA8156" s="583"/>
      <c r="IB8156" s="583"/>
      <c r="IC8156" s="583"/>
      <c r="ID8156" s="583"/>
      <c r="IE8156" s="583"/>
      <c r="IF8156" s="583"/>
      <c r="IG8156" s="583"/>
      <c r="IH8156" s="583"/>
      <c r="II8156" s="583"/>
      <c r="IJ8156" s="583"/>
      <c r="IK8156" s="583"/>
      <c r="IL8156" s="583"/>
      <c r="IM8156" s="583"/>
      <c r="IN8156" s="583"/>
      <c r="IO8156" s="583"/>
      <c r="IP8156" s="583"/>
      <c r="IQ8156" s="583"/>
      <c r="IR8156" s="583"/>
      <c r="IS8156" s="583"/>
      <c r="IT8156" s="583"/>
      <c r="IU8156" s="583"/>
      <c r="IV8156" s="583"/>
    </row>
    <row r="8157" spans="2:256">
      <c r="B8157" s="583"/>
      <c r="C8157" s="583"/>
      <c r="D8157" s="583"/>
      <c r="E8157" s="583"/>
      <c r="F8157" s="583"/>
      <c r="G8157" s="583"/>
      <c r="H8157" s="583"/>
      <c r="I8157" s="583"/>
      <c r="J8157" s="583"/>
      <c r="K8157" s="583"/>
      <c r="L8157" s="583"/>
      <c r="R8157" s="583"/>
      <c r="S8157" s="583"/>
      <c r="T8157" s="583"/>
      <c r="U8157" s="583"/>
      <c r="V8157" s="583"/>
      <c r="W8157" s="583"/>
      <c r="X8157" s="583"/>
      <c r="Y8157" s="583"/>
      <c r="Z8157" s="583"/>
      <c r="AA8157" s="583"/>
      <c r="AB8157" s="583"/>
      <c r="AC8157" s="583"/>
      <c r="AD8157" s="583"/>
      <c r="AE8157" s="583"/>
      <c r="AF8157" s="583"/>
      <c r="AG8157" s="583"/>
      <c r="AH8157" s="583"/>
      <c r="AI8157" s="583"/>
      <c r="AJ8157" s="583"/>
      <c r="AK8157" s="583"/>
      <c r="AL8157" s="583"/>
      <c r="AM8157" s="583"/>
      <c r="AN8157" s="583"/>
      <c r="AO8157" s="583"/>
      <c r="AP8157" s="583"/>
      <c r="AQ8157" s="583"/>
      <c r="AR8157" s="583"/>
      <c r="AS8157" s="583"/>
      <c r="AT8157" s="583"/>
      <c r="AU8157" s="583"/>
      <c r="AV8157" s="583"/>
      <c r="AW8157" s="583"/>
      <c r="AX8157" s="583"/>
      <c r="AY8157" s="583"/>
      <c r="AZ8157" s="583"/>
      <c r="BA8157" s="583"/>
      <c r="BB8157" s="583"/>
      <c r="BC8157" s="583"/>
      <c r="BD8157" s="583"/>
      <c r="BE8157" s="583"/>
      <c r="BF8157" s="583"/>
      <c r="BG8157" s="583"/>
      <c r="BH8157" s="583"/>
      <c r="BI8157" s="583"/>
      <c r="BJ8157" s="583"/>
      <c r="BK8157" s="583"/>
      <c r="BL8157" s="583"/>
      <c r="BM8157" s="583"/>
      <c r="BN8157" s="583"/>
      <c r="BO8157" s="583"/>
      <c r="BP8157" s="583"/>
      <c r="BQ8157" s="583"/>
      <c r="BR8157" s="583"/>
      <c r="BS8157" s="583"/>
      <c r="BT8157" s="583"/>
      <c r="BU8157" s="583"/>
      <c r="BV8157" s="583"/>
      <c r="BW8157" s="583"/>
      <c r="BX8157" s="583"/>
      <c r="BY8157" s="583"/>
      <c r="BZ8157" s="583"/>
      <c r="CA8157" s="583"/>
      <c r="CB8157" s="583"/>
      <c r="CC8157" s="583"/>
      <c r="CD8157" s="583"/>
      <c r="CE8157" s="583"/>
      <c r="CF8157" s="583"/>
      <c r="CG8157" s="583"/>
      <c r="CH8157" s="583"/>
      <c r="CI8157" s="583"/>
      <c r="CJ8157" s="583"/>
      <c r="CK8157" s="583"/>
      <c r="CL8157" s="583"/>
      <c r="CM8157" s="583"/>
      <c r="CN8157" s="583"/>
      <c r="CO8157" s="583"/>
      <c r="CP8157" s="583"/>
      <c r="CQ8157" s="583"/>
      <c r="CR8157" s="583"/>
      <c r="CS8157" s="583"/>
      <c r="CT8157" s="583"/>
      <c r="CU8157" s="583"/>
      <c r="CV8157" s="583"/>
      <c r="CW8157" s="583"/>
      <c r="CX8157" s="583"/>
      <c r="CY8157" s="583"/>
      <c r="CZ8157" s="583"/>
      <c r="DA8157" s="583"/>
      <c r="DB8157" s="583"/>
      <c r="DC8157" s="583"/>
      <c r="DD8157" s="583"/>
      <c r="DE8157" s="583"/>
      <c r="DF8157" s="583"/>
      <c r="DG8157" s="583"/>
      <c r="DH8157" s="583"/>
      <c r="DI8157" s="583"/>
      <c r="DJ8157" s="583"/>
      <c r="DK8157" s="583"/>
      <c r="DL8157" s="583"/>
      <c r="DM8157" s="583"/>
      <c r="DN8157" s="583"/>
      <c r="DO8157" s="583"/>
      <c r="DP8157" s="583"/>
      <c r="DQ8157" s="583"/>
      <c r="DR8157" s="583"/>
      <c r="DS8157" s="583"/>
      <c r="DT8157" s="583"/>
      <c r="DU8157" s="583"/>
      <c r="DV8157" s="583"/>
      <c r="DW8157" s="583"/>
      <c r="DX8157" s="583"/>
      <c r="DY8157" s="583"/>
      <c r="DZ8157" s="583"/>
      <c r="EA8157" s="583"/>
      <c r="EB8157" s="583"/>
      <c r="EC8157" s="583"/>
      <c r="ED8157" s="583"/>
      <c r="EE8157" s="583"/>
      <c r="EF8157" s="583"/>
      <c r="EG8157" s="583"/>
      <c r="EH8157" s="583"/>
      <c r="EI8157" s="583"/>
      <c r="EJ8157" s="583"/>
      <c r="EK8157" s="583"/>
      <c r="EL8157" s="583"/>
      <c r="EM8157" s="583"/>
      <c r="EN8157" s="583"/>
      <c r="EO8157" s="583"/>
      <c r="EP8157" s="583"/>
      <c r="EQ8157" s="583"/>
      <c r="ER8157" s="583"/>
      <c r="ES8157" s="583"/>
      <c r="ET8157" s="583"/>
      <c r="EU8157" s="583"/>
      <c r="EV8157" s="583"/>
      <c r="EW8157" s="583"/>
      <c r="EX8157" s="583"/>
      <c r="EY8157" s="583"/>
      <c r="EZ8157" s="583"/>
      <c r="FA8157" s="583"/>
      <c r="FB8157" s="583"/>
      <c r="FC8157" s="583"/>
      <c r="FD8157" s="583"/>
      <c r="FE8157" s="583"/>
      <c r="FF8157" s="583"/>
      <c r="FG8157" s="583"/>
      <c r="FH8157" s="583"/>
      <c r="FI8157" s="583"/>
      <c r="FJ8157" s="583"/>
      <c r="FK8157" s="583"/>
      <c r="FL8157" s="583"/>
      <c r="FM8157" s="583"/>
      <c r="FN8157" s="583"/>
      <c r="FO8157" s="583"/>
      <c r="FP8157" s="583"/>
      <c r="FQ8157" s="583"/>
      <c r="FR8157" s="583"/>
      <c r="FS8157" s="583"/>
      <c r="FT8157" s="583"/>
      <c r="FU8157" s="583"/>
      <c r="FV8157" s="583"/>
      <c r="FW8157" s="583"/>
      <c r="FX8157" s="583"/>
      <c r="FY8157" s="583"/>
      <c r="FZ8157" s="583"/>
      <c r="GA8157" s="583"/>
      <c r="GB8157" s="583"/>
      <c r="GC8157" s="583"/>
      <c r="GD8157" s="583"/>
      <c r="GE8157" s="583"/>
      <c r="GF8157" s="583"/>
      <c r="GG8157" s="583"/>
      <c r="GH8157" s="583"/>
      <c r="GI8157" s="583"/>
      <c r="GJ8157" s="583"/>
      <c r="GK8157" s="583"/>
      <c r="GL8157" s="583"/>
      <c r="GM8157" s="583"/>
      <c r="GN8157" s="583"/>
      <c r="GO8157" s="583"/>
      <c r="GP8157" s="583"/>
      <c r="GQ8157" s="583"/>
      <c r="GR8157" s="583"/>
      <c r="GS8157" s="583"/>
      <c r="GT8157" s="583"/>
      <c r="GU8157" s="583"/>
      <c r="GV8157" s="583"/>
      <c r="GW8157" s="583"/>
      <c r="GX8157" s="583"/>
      <c r="GY8157" s="583"/>
      <c r="GZ8157" s="583"/>
      <c r="HA8157" s="583"/>
      <c r="HB8157" s="583"/>
      <c r="HC8157" s="583"/>
      <c r="HD8157" s="583"/>
      <c r="HE8157" s="583"/>
      <c r="HF8157" s="583"/>
      <c r="HG8157" s="583"/>
      <c r="HH8157" s="583"/>
      <c r="HI8157" s="583"/>
      <c r="HJ8157" s="583"/>
      <c r="HK8157" s="583"/>
      <c r="HL8157" s="583"/>
      <c r="HM8157" s="583"/>
      <c r="HN8157" s="583"/>
      <c r="HO8157" s="583"/>
      <c r="HP8157" s="583"/>
      <c r="HQ8157" s="583"/>
      <c r="HR8157" s="583"/>
      <c r="HS8157" s="583"/>
      <c r="HT8157" s="583"/>
      <c r="HU8157" s="583"/>
      <c r="HV8157" s="583"/>
      <c r="HW8157" s="583"/>
      <c r="HX8157" s="583"/>
      <c r="HY8157" s="583"/>
      <c r="HZ8157" s="583"/>
      <c r="IA8157" s="583"/>
      <c r="IB8157" s="583"/>
      <c r="IC8157" s="583"/>
      <c r="ID8157" s="583"/>
      <c r="IE8157" s="583"/>
      <c r="IF8157" s="583"/>
      <c r="IG8157" s="583"/>
      <c r="IH8157" s="583"/>
      <c r="II8157" s="583"/>
      <c r="IJ8157" s="583"/>
      <c r="IK8157" s="583"/>
      <c r="IL8157" s="583"/>
      <c r="IM8157" s="583"/>
      <c r="IN8157" s="583"/>
      <c r="IO8157" s="583"/>
      <c r="IP8157" s="583"/>
      <c r="IQ8157" s="583"/>
      <c r="IR8157" s="583"/>
      <c r="IS8157" s="583"/>
      <c r="IT8157" s="583"/>
      <c r="IU8157" s="583"/>
      <c r="IV8157" s="583"/>
    </row>
    <row r="8158" spans="2:256">
      <c r="B8158" s="583"/>
      <c r="C8158" s="583"/>
      <c r="D8158" s="583"/>
      <c r="E8158" s="583"/>
      <c r="F8158" s="583"/>
      <c r="G8158" s="583"/>
      <c r="H8158" s="583"/>
      <c r="I8158" s="583"/>
      <c r="J8158" s="583"/>
      <c r="K8158" s="583"/>
      <c r="L8158" s="583"/>
      <c r="R8158" s="583"/>
      <c r="S8158" s="583"/>
      <c r="T8158" s="583"/>
      <c r="U8158" s="583"/>
      <c r="V8158" s="583"/>
      <c r="W8158" s="583"/>
      <c r="X8158" s="583"/>
      <c r="Y8158" s="583"/>
      <c r="Z8158" s="583"/>
      <c r="AA8158" s="583"/>
      <c r="AB8158" s="583"/>
      <c r="AC8158" s="583"/>
      <c r="AD8158" s="583"/>
      <c r="AE8158" s="583"/>
      <c r="AF8158" s="583"/>
      <c r="AG8158" s="583"/>
      <c r="AH8158" s="583"/>
      <c r="AI8158" s="583"/>
      <c r="AJ8158" s="583"/>
      <c r="AK8158" s="583"/>
      <c r="AL8158" s="583"/>
      <c r="AM8158" s="583"/>
      <c r="AN8158" s="583"/>
      <c r="AO8158" s="583"/>
      <c r="AP8158" s="583"/>
      <c r="AQ8158" s="583"/>
      <c r="AR8158" s="583"/>
      <c r="AS8158" s="583"/>
      <c r="AT8158" s="583"/>
      <c r="AU8158" s="583"/>
      <c r="AV8158" s="583"/>
      <c r="AW8158" s="583"/>
      <c r="AX8158" s="583"/>
      <c r="AY8158" s="583"/>
      <c r="AZ8158" s="583"/>
      <c r="BA8158" s="583"/>
      <c r="BB8158" s="583"/>
      <c r="BC8158" s="583"/>
      <c r="BD8158" s="583"/>
      <c r="BE8158" s="583"/>
      <c r="BF8158" s="583"/>
      <c r="BG8158" s="583"/>
      <c r="BH8158" s="583"/>
      <c r="BI8158" s="583"/>
      <c r="BJ8158" s="583"/>
      <c r="BK8158" s="583"/>
      <c r="BL8158" s="583"/>
      <c r="BM8158" s="583"/>
      <c r="BN8158" s="583"/>
      <c r="BO8158" s="583"/>
      <c r="BP8158" s="583"/>
      <c r="BQ8158" s="583"/>
      <c r="BR8158" s="583"/>
      <c r="BS8158" s="583"/>
      <c r="BT8158" s="583"/>
      <c r="BU8158" s="583"/>
      <c r="BV8158" s="583"/>
      <c r="BW8158" s="583"/>
      <c r="BX8158" s="583"/>
      <c r="BY8158" s="583"/>
      <c r="BZ8158" s="583"/>
      <c r="CA8158" s="583"/>
      <c r="CB8158" s="583"/>
      <c r="CC8158" s="583"/>
      <c r="CD8158" s="583"/>
      <c r="CE8158" s="583"/>
      <c r="CF8158" s="583"/>
      <c r="CG8158" s="583"/>
      <c r="CH8158" s="583"/>
      <c r="CI8158" s="583"/>
      <c r="CJ8158" s="583"/>
      <c r="CK8158" s="583"/>
      <c r="CL8158" s="583"/>
      <c r="CM8158" s="583"/>
      <c r="CN8158" s="583"/>
      <c r="CO8158" s="583"/>
      <c r="CP8158" s="583"/>
      <c r="CQ8158" s="583"/>
      <c r="CR8158" s="583"/>
      <c r="CS8158" s="583"/>
      <c r="CT8158" s="583"/>
      <c r="CU8158" s="583"/>
      <c r="CV8158" s="583"/>
      <c r="CW8158" s="583"/>
      <c r="CX8158" s="583"/>
      <c r="CY8158" s="583"/>
      <c r="CZ8158" s="583"/>
      <c r="DA8158" s="583"/>
      <c r="DB8158" s="583"/>
      <c r="DC8158" s="583"/>
      <c r="DD8158" s="583"/>
      <c r="DE8158" s="583"/>
      <c r="DF8158" s="583"/>
      <c r="DG8158" s="583"/>
      <c r="DH8158" s="583"/>
      <c r="DI8158" s="583"/>
      <c r="DJ8158" s="583"/>
      <c r="DK8158" s="583"/>
      <c r="DL8158" s="583"/>
      <c r="DM8158" s="583"/>
      <c r="DN8158" s="583"/>
      <c r="DO8158" s="583"/>
      <c r="DP8158" s="583"/>
      <c r="DQ8158" s="583"/>
      <c r="DR8158" s="583"/>
      <c r="DS8158" s="583"/>
      <c r="DT8158" s="583"/>
      <c r="DU8158" s="583"/>
      <c r="DV8158" s="583"/>
      <c r="DW8158" s="583"/>
      <c r="DX8158" s="583"/>
      <c r="DY8158" s="583"/>
      <c r="DZ8158" s="583"/>
      <c r="EA8158" s="583"/>
      <c r="EB8158" s="583"/>
      <c r="EC8158" s="583"/>
      <c r="ED8158" s="583"/>
      <c r="EE8158" s="583"/>
      <c r="EF8158" s="583"/>
      <c r="EG8158" s="583"/>
      <c r="EH8158" s="583"/>
      <c r="EI8158" s="583"/>
      <c r="EJ8158" s="583"/>
      <c r="EK8158" s="583"/>
      <c r="EL8158" s="583"/>
      <c r="EM8158" s="583"/>
      <c r="EN8158" s="583"/>
      <c r="EO8158" s="583"/>
      <c r="EP8158" s="583"/>
      <c r="EQ8158" s="583"/>
      <c r="ER8158" s="583"/>
      <c r="ES8158" s="583"/>
      <c r="ET8158" s="583"/>
      <c r="EU8158" s="583"/>
      <c r="EV8158" s="583"/>
      <c r="EW8158" s="583"/>
      <c r="EX8158" s="583"/>
      <c r="EY8158" s="583"/>
      <c r="EZ8158" s="583"/>
      <c r="FA8158" s="583"/>
      <c r="FB8158" s="583"/>
      <c r="FC8158" s="583"/>
      <c r="FD8158" s="583"/>
      <c r="FE8158" s="583"/>
      <c r="FF8158" s="583"/>
      <c r="FG8158" s="583"/>
      <c r="FH8158" s="583"/>
      <c r="FI8158" s="583"/>
      <c r="FJ8158" s="583"/>
      <c r="FK8158" s="583"/>
      <c r="FL8158" s="583"/>
      <c r="FM8158" s="583"/>
      <c r="FN8158" s="583"/>
      <c r="FO8158" s="583"/>
      <c r="FP8158" s="583"/>
      <c r="FQ8158" s="583"/>
      <c r="FR8158" s="583"/>
      <c r="FS8158" s="583"/>
      <c r="FT8158" s="583"/>
      <c r="FU8158" s="583"/>
      <c r="FV8158" s="583"/>
      <c r="FW8158" s="583"/>
      <c r="FX8158" s="583"/>
      <c r="FY8158" s="583"/>
      <c r="FZ8158" s="583"/>
      <c r="GA8158" s="583"/>
      <c r="GB8158" s="583"/>
      <c r="GC8158" s="583"/>
      <c r="GD8158" s="583"/>
      <c r="GE8158" s="583"/>
      <c r="GF8158" s="583"/>
      <c r="GG8158" s="583"/>
      <c r="GH8158" s="583"/>
      <c r="GI8158" s="583"/>
      <c r="GJ8158" s="583"/>
      <c r="GK8158" s="583"/>
      <c r="GL8158" s="583"/>
      <c r="GM8158" s="583"/>
      <c r="GN8158" s="583"/>
      <c r="GO8158" s="583"/>
      <c r="GP8158" s="583"/>
      <c r="GQ8158" s="583"/>
      <c r="GR8158" s="583"/>
      <c r="GS8158" s="583"/>
      <c r="GT8158" s="583"/>
      <c r="GU8158" s="583"/>
      <c r="GV8158" s="583"/>
      <c r="GW8158" s="583"/>
      <c r="GX8158" s="583"/>
      <c r="GY8158" s="583"/>
      <c r="GZ8158" s="583"/>
      <c r="HA8158" s="583"/>
      <c r="HB8158" s="583"/>
      <c r="HC8158" s="583"/>
      <c r="HD8158" s="583"/>
      <c r="HE8158" s="583"/>
      <c r="HF8158" s="583"/>
      <c r="HG8158" s="583"/>
      <c r="HH8158" s="583"/>
      <c r="HI8158" s="583"/>
      <c r="HJ8158" s="583"/>
      <c r="HK8158" s="583"/>
      <c r="HL8158" s="583"/>
      <c r="HM8158" s="583"/>
      <c r="HN8158" s="583"/>
      <c r="HO8158" s="583"/>
      <c r="HP8158" s="583"/>
      <c r="HQ8158" s="583"/>
      <c r="HR8158" s="583"/>
      <c r="HS8158" s="583"/>
      <c r="HT8158" s="583"/>
      <c r="HU8158" s="583"/>
      <c r="HV8158" s="583"/>
      <c r="HW8158" s="583"/>
      <c r="HX8158" s="583"/>
      <c r="HY8158" s="583"/>
      <c r="HZ8158" s="583"/>
      <c r="IA8158" s="583"/>
      <c r="IB8158" s="583"/>
      <c r="IC8158" s="583"/>
      <c r="ID8158" s="583"/>
      <c r="IE8158" s="583"/>
      <c r="IF8158" s="583"/>
      <c r="IG8158" s="583"/>
      <c r="IH8158" s="583"/>
      <c r="II8158" s="583"/>
      <c r="IJ8158" s="583"/>
      <c r="IK8158" s="583"/>
      <c r="IL8158" s="583"/>
      <c r="IM8158" s="583"/>
      <c r="IN8158" s="583"/>
      <c r="IO8158" s="583"/>
      <c r="IP8158" s="583"/>
      <c r="IQ8158" s="583"/>
      <c r="IR8158" s="583"/>
      <c r="IS8158" s="583"/>
      <c r="IT8158" s="583"/>
      <c r="IU8158" s="583"/>
      <c r="IV8158" s="583"/>
    </row>
    <row r="8159" spans="2:256">
      <c r="B8159" s="583"/>
      <c r="C8159" s="583"/>
      <c r="D8159" s="583"/>
      <c r="E8159" s="583"/>
      <c r="F8159" s="583"/>
      <c r="G8159" s="583"/>
      <c r="H8159" s="583"/>
      <c r="I8159" s="583"/>
      <c r="J8159" s="583"/>
      <c r="K8159" s="583"/>
      <c r="L8159" s="583"/>
      <c r="R8159" s="583"/>
      <c r="S8159" s="583"/>
      <c r="T8159" s="583"/>
      <c r="U8159" s="583"/>
      <c r="V8159" s="583"/>
      <c r="W8159" s="583"/>
      <c r="X8159" s="583"/>
      <c r="Y8159" s="583"/>
      <c r="Z8159" s="583"/>
      <c r="AA8159" s="583"/>
      <c r="AB8159" s="583"/>
      <c r="AC8159" s="583"/>
      <c r="AD8159" s="583"/>
      <c r="AE8159" s="583"/>
      <c r="AF8159" s="583"/>
      <c r="AG8159" s="583"/>
      <c r="AH8159" s="583"/>
      <c r="AI8159" s="583"/>
      <c r="AJ8159" s="583"/>
      <c r="AK8159" s="583"/>
      <c r="AL8159" s="583"/>
      <c r="AM8159" s="583"/>
      <c r="AN8159" s="583"/>
      <c r="AO8159" s="583"/>
      <c r="AP8159" s="583"/>
      <c r="AQ8159" s="583"/>
      <c r="AR8159" s="583"/>
      <c r="AS8159" s="583"/>
      <c r="AT8159" s="583"/>
      <c r="AU8159" s="583"/>
      <c r="AV8159" s="583"/>
      <c r="AW8159" s="583"/>
      <c r="AX8159" s="583"/>
      <c r="AY8159" s="583"/>
      <c r="AZ8159" s="583"/>
      <c r="BA8159" s="583"/>
      <c r="BB8159" s="583"/>
      <c r="BC8159" s="583"/>
      <c r="BD8159" s="583"/>
      <c r="BE8159" s="583"/>
      <c r="BF8159" s="583"/>
      <c r="BG8159" s="583"/>
      <c r="BH8159" s="583"/>
      <c r="BI8159" s="583"/>
      <c r="BJ8159" s="583"/>
      <c r="BK8159" s="583"/>
      <c r="BL8159" s="583"/>
      <c r="BM8159" s="583"/>
      <c r="BN8159" s="583"/>
      <c r="BO8159" s="583"/>
      <c r="BP8159" s="583"/>
      <c r="BQ8159" s="583"/>
      <c r="BR8159" s="583"/>
      <c r="BS8159" s="583"/>
      <c r="BT8159" s="583"/>
      <c r="BU8159" s="583"/>
      <c r="BV8159" s="583"/>
      <c r="BW8159" s="583"/>
      <c r="BX8159" s="583"/>
      <c r="BY8159" s="583"/>
      <c r="BZ8159" s="583"/>
      <c r="CA8159" s="583"/>
      <c r="CB8159" s="583"/>
      <c r="CC8159" s="583"/>
      <c r="CD8159" s="583"/>
      <c r="CE8159" s="583"/>
      <c r="CF8159" s="583"/>
      <c r="CG8159" s="583"/>
      <c r="CH8159" s="583"/>
      <c r="CI8159" s="583"/>
      <c r="CJ8159" s="583"/>
      <c r="CK8159" s="583"/>
      <c r="CL8159" s="583"/>
      <c r="CM8159" s="583"/>
      <c r="CN8159" s="583"/>
      <c r="CO8159" s="583"/>
      <c r="CP8159" s="583"/>
      <c r="CQ8159" s="583"/>
      <c r="CR8159" s="583"/>
      <c r="CS8159" s="583"/>
      <c r="CT8159" s="583"/>
      <c r="CU8159" s="583"/>
      <c r="CV8159" s="583"/>
      <c r="CW8159" s="583"/>
      <c r="CX8159" s="583"/>
      <c r="CY8159" s="583"/>
      <c r="CZ8159" s="583"/>
      <c r="DA8159" s="583"/>
      <c r="DB8159" s="583"/>
      <c r="DC8159" s="583"/>
      <c r="DD8159" s="583"/>
      <c r="DE8159" s="583"/>
      <c r="DF8159" s="583"/>
      <c r="DG8159" s="583"/>
      <c r="DH8159" s="583"/>
      <c r="DI8159" s="583"/>
      <c r="DJ8159" s="583"/>
      <c r="DK8159" s="583"/>
      <c r="DL8159" s="583"/>
      <c r="DM8159" s="583"/>
      <c r="DN8159" s="583"/>
      <c r="DO8159" s="583"/>
      <c r="DP8159" s="583"/>
      <c r="DQ8159" s="583"/>
      <c r="DR8159" s="583"/>
      <c r="DS8159" s="583"/>
      <c r="DT8159" s="583"/>
      <c r="DU8159" s="583"/>
      <c r="DV8159" s="583"/>
      <c r="DW8159" s="583"/>
      <c r="DX8159" s="583"/>
      <c r="DY8159" s="583"/>
      <c r="DZ8159" s="583"/>
      <c r="EA8159" s="583"/>
      <c r="EB8159" s="583"/>
      <c r="EC8159" s="583"/>
      <c r="ED8159" s="583"/>
      <c r="EE8159" s="583"/>
      <c r="EF8159" s="583"/>
      <c r="EG8159" s="583"/>
      <c r="EH8159" s="583"/>
      <c r="EI8159" s="583"/>
      <c r="EJ8159" s="583"/>
      <c r="EK8159" s="583"/>
      <c r="EL8159" s="583"/>
      <c r="EM8159" s="583"/>
      <c r="EN8159" s="583"/>
      <c r="EO8159" s="583"/>
      <c r="EP8159" s="583"/>
      <c r="EQ8159" s="583"/>
      <c r="ER8159" s="583"/>
      <c r="ES8159" s="583"/>
      <c r="ET8159" s="583"/>
      <c r="EU8159" s="583"/>
      <c r="EV8159" s="583"/>
      <c r="EW8159" s="583"/>
      <c r="EX8159" s="583"/>
      <c r="EY8159" s="583"/>
      <c r="EZ8159" s="583"/>
      <c r="FA8159" s="583"/>
      <c r="FB8159" s="583"/>
      <c r="FC8159" s="583"/>
      <c r="FD8159" s="583"/>
      <c r="FE8159" s="583"/>
      <c r="FF8159" s="583"/>
      <c r="FG8159" s="583"/>
      <c r="FH8159" s="583"/>
      <c r="FI8159" s="583"/>
      <c r="FJ8159" s="583"/>
      <c r="FK8159" s="583"/>
      <c r="FL8159" s="583"/>
      <c r="FM8159" s="583"/>
      <c r="FN8159" s="583"/>
      <c r="FO8159" s="583"/>
      <c r="FP8159" s="583"/>
      <c r="FQ8159" s="583"/>
      <c r="FR8159" s="583"/>
      <c r="FS8159" s="583"/>
      <c r="FT8159" s="583"/>
      <c r="FU8159" s="583"/>
      <c r="FV8159" s="583"/>
      <c r="FW8159" s="583"/>
      <c r="FX8159" s="583"/>
      <c r="FY8159" s="583"/>
      <c r="FZ8159" s="583"/>
      <c r="GA8159" s="583"/>
      <c r="GB8159" s="583"/>
      <c r="GC8159" s="583"/>
      <c r="GD8159" s="583"/>
      <c r="GE8159" s="583"/>
      <c r="GF8159" s="583"/>
      <c r="GG8159" s="583"/>
      <c r="GH8159" s="583"/>
      <c r="GI8159" s="583"/>
      <c r="GJ8159" s="583"/>
      <c r="GK8159" s="583"/>
      <c r="GL8159" s="583"/>
      <c r="GM8159" s="583"/>
      <c r="GN8159" s="583"/>
      <c r="GO8159" s="583"/>
      <c r="GP8159" s="583"/>
      <c r="GQ8159" s="583"/>
      <c r="GR8159" s="583"/>
      <c r="GS8159" s="583"/>
      <c r="GT8159" s="583"/>
      <c r="GU8159" s="583"/>
      <c r="GV8159" s="583"/>
      <c r="GW8159" s="583"/>
      <c r="GX8159" s="583"/>
      <c r="GY8159" s="583"/>
      <c r="GZ8159" s="583"/>
      <c r="HA8159" s="583"/>
      <c r="HB8159" s="583"/>
      <c r="HC8159" s="583"/>
      <c r="HD8159" s="583"/>
      <c r="HE8159" s="583"/>
      <c r="HF8159" s="583"/>
      <c r="HG8159" s="583"/>
      <c r="HH8159" s="583"/>
      <c r="HI8159" s="583"/>
      <c r="HJ8159" s="583"/>
      <c r="HK8159" s="583"/>
      <c r="HL8159" s="583"/>
      <c r="HM8159" s="583"/>
      <c r="HN8159" s="583"/>
      <c r="HO8159" s="583"/>
      <c r="HP8159" s="583"/>
      <c r="HQ8159" s="583"/>
      <c r="HR8159" s="583"/>
      <c r="HS8159" s="583"/>
      <c r="HT8159" s="583"/>
      <c r="HU8159" s="583"/>
      <c r="HV8159" s="583"/>
      <c r="HW8159" s="583"/>
      <c r="HX8159" s="583"/>
      <c r="HY8159" s="583"/>
      <c r="HZ8159" s="583"/>
      <c r="IA8159" s="583"/>
      <c r="IB8159" s="583"/>
      <c r="IC8159" s="583"/>
      <c r="ID8159" s="583"/>
      <c r="IE8159" s="583"/>
      <c r="IF8159" s="583"/>
      <c r="IG8159" s="583"/>
      <c r="IH8159" s="583"/>
      <c r="II8159" s="583"/>
      <c r="IJ8159" s="583"/>
      <c r="IK8159" s="583"/>
      <c r="IL8159" s="583"/>
      <c r="IM8159" s="583"/>
      <c r="IN8159" s="583"/>
      <c r="IO8159" s="583"/>
      <c r="IP8159" s="583"/>
      <c r="IQ8159" s="583"/>
      <c r="IR8159" s="583"/>
      <c r="IS8159" s="583"/>
      <c r="IT8159" s="583"/>
      <c r="IU8159" s="583"/>
      <c r="IV8159" s="583"/>
    </row>
    <row r="8160" spans="2:256">
      <c r="B8160" s="583"/>
      <c r="C8160" s="583"/>
      <c r="D8160" s="583"/>
      <c r="E8160" s="583"/>
      <c r="F8160" s="583"/>
      <c r="G8160" s="583"/>
      <c r="H8160" s="583"/>
      <c r="I8160" s="583"/>
      <c r="J8160" s="583"/>
      <c r="K8160" s="583"/>
      <c r="L8160" s="583"/>
      <c r="R8160" s="583"/>
      <c r="S8160" s="583"/>
      <c r="T8160" s="583"/>
      <c r="U8160" s="583"/>
      <c r="V8160" s="583"/>
      <c r="W8160" s="583"/>
      <c r="X8160" s="583"/>
      <c r="Y8160" s="583"/>
      <c r="Z8160" s="583"/>
      <c r="AA8160" s="583"/>
      <c r="AB8160" s="583"/>
      <c r="AC8160" s="583"/>
      <c r="AD8160" s="583"/>
      <c r="AE8160" s="583"/>
      <c r="AF8160" s="583"/>
      <c r="AG8160" s="583"/>
      <c r="AH8160" s="583"/>
      <c r="AI8160" s="583"/>
      <c r="AJ8160" s="583"/>
      <c r="AK8160" s="583"/>
      <c r="AL8160" s="583"/>
      <c r="AM8160" s="583"/>
      <c r="AN8160" s="583"/>
      <c r="AO8160" s="583"/>
      <c r="AP8160" s="583"/>
      <c r="AQ8160" s="583"/>
      <c r="AR8160" s="583"/>
      <c r="AS8160" s="583"/>
      <c r="AT8160" s="583"/>
      <c r="AU8160" s="583"/>
      <c r="AV8160" s="583"/>
      <c r="AW8160" s="583"/>
      <c r="AX8160" s="583"/>
      <c r="AY8160" s="583"/>
      <c r="AZ8160" s="583"/>
      <c r="BA8160" s="583"/>
      <c r="BB8160" s="583"/>
      <c r="BC8160" s="583"/>
      <c r="BD8160" s="583"/>
      <c r="BE8160" s="583"/>
      <c r="BF8160" s="583"/>
      <c r="BG8160" s="583"/>
      <c r="BH8160" s="583"/>
      <c r="BI8160" s="583"/>
      <c r="BJ8160" s="583"/>
      <c r="BK8160" s="583"/>
      <c r="BL8160" s="583"/>
      <c r="BM8160" s="583"/>
      <c r="BN8160" s="583"/>
      <c r="BO8160" s="583"/>
      <c r="BP8160" s="583"/>
      <c r="BQ8160" s="583"/>
      <c r="BR8160" s="583"/>
      <c r="BS8160" s="583"/>
      <c r="BT8160" s="583"/>
      <c r="BU8160" s="583"/>
      <c r="BV8160" s="583"/>
      <c r="BW8160" s="583"/>
      <c r="BX8160" s="583"/>
      <c r="BY8160" s="583"/>
      <c r="BZ8160" s="583"/>
      <c r="CA8160" s="583"/>
      <c r="CB8160" s="583"/>
      <c r="CC8160" s="583"/>
      <c r="CD8160" s="583"/>
      <c r="CE8160" s="583"/>
      <c r="CF8160" s="583"/>
      <c r="CG8160" s="583"/>
      <c r="CH8160" s="583"/>
      <c r="CI8160" s="583"/>
      <c r="CJ8160" s="583"/>
      <c r="CK8160" s="583"/>
      <c r="CL8160" s="583"/>
      <c r="CM8160" s="583"/>
      <c r="CN8160" s="583"/>
      <c r="CO8160" s="583"/>
      <c r="CP8160" s="583"/>
      <c r="CQ8160" s="583"/>
      <c r="CR8160" s="583"/>
      <c r="CS8160" s="583"/>
      <c r="CT8160" s="583"/>
      <c r="CU8160" s="583"/>
      <c r="CV8160" s="583"/>
      <c r="CW8160" s="583"/>
      <c r="CX8160" s="583"/>
      <c r="CY8160" s="583"/>
      <c r="CZ8160" s="583"/>
      <c r="DA8160" s="583"/>
      <c r="DB8160" s="583"/>
      <c r="DC8160" s="583"/>
      <c r="DD8160" s="583"/>
      <c r="DE8160" s="583"/>
      <c r="DF8160" s="583"/>
      <c r="DG8160" s="583"/>
      <c r="DH8160" s="583"/>
      <c r="DI8160" s="583"/>
      <c r="DJ8160" s="583"/>
      <c r="DK8160" s="583"/>
      <c r="DL8160" s="583"/>
      <c r="DM8160" s="583"/>
      <c r="DN8160" s="583"/>
      <c r="DO8160" s="583"/>
      <c r="DP8160" s="583"/>
      <c r="DQ8160" s="583"/>
      <c r="DR8160" s="583"/>
      <c r="DS8160" s="583"/>
      <c r="DT8160" s="583"/>
      <c r="DU8160" s="583"/>
      <c r="DV8160" s="583"/>
      <c r="DW8160" s="583"/>
      <c r="DX8160" s="583"/>
      <c r="DY8160" s="583"/>
      <c r="DZ8160" s="583"/>
      <c r="EA8160" s="583"/>
      <c r="EB8160" s="583"/>
      <c r="EC8160" s="583"/>
      <c r="ED8160" s="583"/>
      <c r="EE8160" s="583"/>
      <c r="EF8160" s="583"/>
      <c r="EG8160" s="583"/>
      <c r="EH8160" s="583"/>
      <c r="EI8160" s="583"/>
      <c r="EJ8160" s="583"/>
      <c r="EK8160" s="583"/>
      <c r="EL8160" s="583"/>
      <c r="EM8160" s="583"/>
      <c r="EN8160" s="583"/>
      <c r="EO8160" s="583"/>
      <c r="EP8160" s="583"/>
      <c r="EQ8160" s="583"/>
      <c r="ER8160" s="583"/>
      <c r="ES8160" s="583"/>
      <c r="ET8160" s="583"/>
      <c r="EU8160" s="583"/>
      <c r="EV8160" s="583"/>
      <c r="EW8160" s="583"/>
      <c r="EX8160" s="583"/>
      <c r="EY8160" s="583"/>
      <c r="EZ8160" s="583"/>
      <c r="FA8160" s="583"/>
      <c r="FB8160" s="583"/>
      <c r="FC8160" s="583"/>
      <c r="FD8160" s="583"/>
      <c r="FE8160" s="583"/>
      <c r="FF8160" s="583"/>
      <c r="FG8160" s="583"/>
      <c r="FH8160" s="583"/>
      <c r="FI8160" s="583"/>
      <c r="FJ8160" s="583"/>
      <c r="FK8160" s="583"/>
      <c r="FL8160" s="583"/>
      <c r="FM8160" s="583"/>
      <c r="FN8160" s="583"/>
      <c r="FO8160" s="583"/>
      <c r="FP8160" s="583"/>
      <c r="FQ8160" s="583"/>
      <c r="FR8160" s="583"/>
      <c r="FS8160" s="583"/>
      <c r="FT8160" s="583"/>
      <c r="FU8160" s="583"/>
      <c r="FV8160" s="583"/>
      <c r="FW8160" s="583"/>
      <c r="FX8160" s="583"/>
      <c r="FY8160" s="583"/>
      <c r="FZ8160" s="583"/>
      <c r="GA8160" s="583"/>
      <c r="GB8160" s="583"/>
      <c r="GC8160" s="583"/>
      <c r="GD8160" s="583"/>
      <c r="GE8160" s="583"/>
      <c r="GF8160" s="583"/>
      <c r="GG8160" s="583"/>
      <c r="GH8160" s="583"/>
      <c r="GI8160" s="583"/>
      <c r="GJ8160" s="583"/>
      <c r="GK8160" s="583"/>
      <c r="GL8160" s="583"/>
      <c r="GM8160" s="583"/>
      <c r="GN8160" s="583"/>
      <c r="GO8160" s="583"/>
      <c r="GP8160" s="583"/>
      <c r="GQ8160" s="583"/>
      <c r="GR8160" s="583"/>
      <c r="GS8160" s="583"/>
      <c r="GT8160" s="583"/>
      <c r="GU8160" s="583"/>
      <c r="GV8160" s="583"/>
      <c r="GW8160" s="583"/>
      <c r="GX8160" s="583"/>
      <c r="GY8160" s="583"/>
      <c r="GZ8160" s="583"/>
      <c r="HA8160" s="583"/>
      <c r="HB8160" s="583"/>
      <c r="HC8160" s="583"/>
      <c r="HD8160" s="583"/>
      <c r="HE8160" s="583"/>
      <c r="HF8160" s="583"/>
      <c r="HG8160" s="583"/>
      <c r="HH8160" s="583"/>
      <c r="HI8160" s="583"/>
      <c r="HJ8160" s="583"/>
      <c r="HK8160" s="583"/>
      <c r="HL8160" s="583"/>
      <c r="HM8160" s="583"/>
      <c r="HN8160" s="583"/>
      <c r="HO8160" s="583"/>
      <c r="HP8160" s="583"/>
      <c r="HQ8160" s="583"/>
      <c r="HR8160" s="583"/>
      <c r="HS8160" s="583"/>
      <c r="HT8160" s="583"/>
      <c r="HU8160" s="583"/>
      <c r="HV8160" s="583"/>
      <c r="HW8160" s="583"/>
      <c r="HX8160" s="583"/>
      <c r="HY8160" s="583"/>
      <c r="HZ8160" s="583"/>
      <c r="IA8160" s="583"/>
      <c r="IB8160" s="583"/>
      <c r="IC8160" s="583"/>
      <c r="ID8160" s="583"/>
      <c r="IE8160" s="583"/>
      <c r="IF8160" s="583"/>
      <c r="IG8160" s="583"/>
      <c r="IH8160" s="583"/>
      <c r="II8160" s="583"/>
      <c r="IJ8160" s="583"/>
      <c r="IK8160" s="583"/>
      <c r="IL8160" s="583"/>
      <c r="IM8160" s="583"/>
      <c r="IN8160" s="583"/>
      <c r="IO8160" s="583"/>
      <c r="IP8160" s="583"/>
      <c r="IQ8160" s="583"/>
      <c r="IR8160" s="583"/>
      <c r="IS8160" s="583"/>
      <c r="IT8160" s="583"/>
      <c r="IU8160" s="583"/>
      <c r="IV8160" s="583"/>
    </row>
    <row r="8161" spans="2:256">
      <c r="B8161" s="583"/>
      <c r="C8161" s="583"/>
      <c r="D8161" s="583"/>
      <c r="E8161" s="583"/>
      <c r="F8161" s="583"/>
      <c r="G8161" s="583"/>
      <c r="H8161" s="583"/>
      <c r="I8161" s="583"/>
      <c r="J8161" s="583"/>
      <c r="K8161" s="583"/>
      <c r="L8161" s="583"/>
      <c r="R8161" s="583"/>
      <c r="S8161" s="583"/>
      <c r="T8161" s="583"/>
      <c r="U8161" s="583"/>
      <c r="V8161" s="583"/>
      <c r="W8161" s="583"/>
      <c r="X8161" s="583"/>
      <c r="Y8161" s="583"/>
      <c r="Z8161" s="583"/>
      <c r="AA8161" s="583"/>
      <c r="AB8161" s="583"/>
      <c r="AC8161" s="583"/>
      <c r="AD8161" s="583"/>
      <c r="AE8161" s="583"/>
      <c r="AF8161" s="583"/>
      <c r="AG8161" s="583"/>
      <c r="AH8161" s="583"/>
      <c r="AI8161" s="583"/>
      <c r="AJ8161" s="583"/>
      <c r="AK8161" s="583"/>
      <c r="AL8161" s="583"/>
      <c r="AM8161" s="583"/>
      <c r="AN8161" s="583"/>
      <c r="AO8161" s="583"/>
      <c r="AP8161" s="583"/>
      <c r="AQ8161" s="583"/>
      <c r="AR8161" s="583"/>
      <c r="AS8161" s="583"/>
      <c r="AT8161" s="583"/>
      <c r="AU8161" s="583"/>
      <c r="AV8161" s="583"/>
      <c r="AW8161" s="583"/>
      <c r="AX8161" s="583"/>
      <c r="AY8161" s="583"/>
      <c r="AZ8161" s="583"/>
      <c r="BA8161" s="583"/>
      <c r="BB8161" s="583"/>
      <c r="BC8161" s="583"/>
      <c r="BD8161" s="583"/>
      <c r="BE8161" s="583"/>
      <c r="BF8161" s="583"/>
      <c r="BG8161" s="583"/>
      <c r="BH8161" s="583"/>
      <c r="BI8161" s="583"/>
      <c r="BJ8161" s="583"/>
      <c r="BK8161" s="583"/>
      <c r="BL8161" s="583"/>
      <c r="BM8161" s="583"/>
      <c r="BN8161" s="583"/>
      <c r="BO8161" s="583"/>
      <c r="BP8161" s="583"/>
      <c r="BQ8161" s="583"/>
      <c r="BR8161" s="583"/>
      <c r="BS8161" s="583"/>
      <c r="BT8161" s="583"/>
      <c r="BU8161" s="583"/>
      <c r="BV8161" s="583"/>
      <c r="BW8161" s="583"/>
      <c r="BX8161" s="583"/>
      <c r="BY8161" s="583"/>
      <c r="BZ8161" s="583"/>
      <c r="CA8161" s="583"/>
      <c r="CB8161" s="583"/>
      <c r="CC8161" s="583"/>
      <c r="CD8161" s="583"/>
      <c r="CE8161" s="583"/>
      <c r="CF8161" s="583"/>
      <c r="CG8161" s="583"/>
      <c r="CH8161" s="583"/>
      <c r="CI8161" s="583"/>
      <c r="CJ8161" s="583"/>
      <c r="CK8161" s="583"/>
      <c r="CL8161" s="583"/>
      <c r="CM8161" s="583"/>
      <c r="CN8161" s="583"/>
      <c r="CO8161" s="583"/>
      <c r="CP8161" s="583"/>
      <c r="CQ8161" s="583"/>
      <c r="CR8161" s="583"/>
      <c r="CS8161" s="583"/>
      <c r="CT8161" s="583"/>
      <c r="CU8161" s="583"/>
      <c r="CV8161" s="583"/>
      <c r="CW8161" s="583"/>
      <c r="CX8161" s="583"/>
      <c r="CY8161" s="583"/>
      <c r="CZ8161" s="583"/>
      <c r="DA8161" s="583"/>
      <c r="DB8161" s="583"/>
      <c r="DC8161" s="583"/>
      <c r="DD8161" s="583"/>
      <c r="DE8161" s="583"/>
      <c r="DF8161" s="583"/>
      <c r="DG8161" s="583"/>
      <c r="DH8161" s="583"/>
      <c r="DI8161" s="583"/>
      <c r="DJ8161" s="583"/>
      <c r="DK8161" s="583"/>
      <c r="DL8161" s="583"/>
      <c r="DM8161" s="583"/>
      <c r="DN8161" s="583"/>
      <c r="DO8161" s="583"/>
      <c r="DP8161" s="583"/>
      <c r="DQ8161" s="583"/>
      <c r="DR8161" s="583"/>
      <c r="DS8161" s="583"/>
      <c r="DT8161" s="583"/>
      <c r="DU8161" s="583"/>
      <c r="DV8161" s="583"/>
      <c r="DW8161" s="583"/>
      <c r="DX8161" s="583"/>
      <c r="DY8161" s="583"/>
      <c r="DZ8161" s="583"/>
      <c r="EA8161" s="583"/>
      <c r="EB8161" s="583"/>
      <c r="EC8161" s="583"/>
      <c r="ED8161" s="583"/>
      <c r="EE8161" s="583"/>
      <c r="EF8161" s="583"/>
      <c r="EG8161" s="583"/>
      <c r="EH8161" s="583"/>
      <c r="EI8161" s="583"/>
      <c r="EJ8161" s="583"/>
      <c r="EK8161" s="583"/>
      <c r="EL8161" s="583"/>
      <c r="EM8161" s="583"/>
      <c r="EN8161" s="583"/>
      <c r="EO8161" s="583"/>
      <c r="EP8161" s="583"/>
      <c r="EQ8161" s="583"/>
      <c r="ER8161" s="583"/>
      <c r="ES8161" s="583"/>
      <c r="ET8161" s="583"/>
      <c r="EU8161" s="583"/>
      <c r="EV8161" s="583"/>
      <c r="EW8161" s="583"/>
      <c r="EX8161" s="583"/>
      <c r="EY8161" s="583"/>
      <c r="EZ8161" s="583"/>
      <c r="FA8161" s="583"/>
      <c r="FB8161" s="583"/>
      <c r="FC8161" s="583"/>
      <c r="FD8161" s="583"/>
      <c r="FE8161" s="583"/>
      <c r="FF8161" s="583"/>
      <c r="FG8161" s="583"/>
      <c r="FH8161" s="583"/>
      <c r="FI8161" s="583"/>
      <c r="FJ8161" s="583"/>
      <c r="FK8161" s="583"/>
      <c r="FL8161" s="583"/>
      <c r="FM8161" s="583"/>
      <c r="FN8161" s="583"/>
      <c r="FO8161" s="583"/>
      <c r="FP8161" s="583"/>
      <c r="FQ8161" s="583"/>
      <c r="FR8161" s="583"/>
      <c r="FS8161" s="583"/>
      <c r="FT8161" s="583"/>
      <c r="FU8161" s="583"/>
      <c r="FV8161" s="583"/>
      <c r="FW8161" s="583"/>
      <c r="FX8161" s="583"/>
      <c r="FY8161" s="583"/>
      <c r="FZ8161" s="583"/>
      <c r="GA8161" s="583"/>
      <c r="GB8161" s="583"/>
      <c r="GC8161" s="583"/>
      <c r="GD8161" s="583"/>
      <c r="GE8161" s="583"/>
      <c r="GF8161" s="583"/>
      <c r="GG8161" s="583"/>
      <c r="GH8161" s="583"/>
      <c r="GI8161" s="583"/>
      <c r="GJ8161" s="583"/>
      <c r="GK8161" s="583"/>
      <c r="GL8161" s="583"/>
      <c r="GM8161" s="583"/>
      <c r="GN8161" s="583"/>
      <c r="GO8161" s="583"/>
      <c r="GP8161" s="583"/>
      <c r="GQ8161" s="583"/>
      <c r="GR8161" s="583"/>
      <c r="GS8161" s="583"/>
      <c r="GT8161" s="583"/>
      <c r="GU8161" s="583"/>
      <c r="GV8161" s="583"/>
      <c r="GW8161" s="583"/>
      <c r="GX8161" s="583"/>
      <c r="GY8161" s="583"/>
      <c r="GZ8161" s="583"/>
      <c r="HA8161" s="583"/>
      <c r="HB8161" s="583"/>
      <c r="HC8161" s="583"/>
      <c r="HD8161" s="583"/>
      <c r="HE8161" s="583"/>
      <c r="HF8161" s="583"/>
      <c r="HG8161" s="583"/>
      <c r="HH8161" s="583"/>
      <c r="HI8161" s="583"/>
      <c r="HJ8161" s="583"/>
      <c r="HK8161" s="583"/>
      <c r="HL8161" s="583"/>
      <c r="HM8161" s="583"/>
      <c r="HN8161" s="583"/>
      <c r="HO8161" s="583"/>
      <c r="HP8161" s="583"/>
      <c r="HQ8161" s="583"/>
      <c r="HR8161" s="583"/>
      <c r="HS8161" s="583"/>
      <c r="HT8161" s="583"/>
      <c r="HU8161" s="583"/>
      <c r="HV8161" s="583"/>
      <c r="HW8161" s="583"/>
      <c r="HX8161" s="583"/>
      <c r="HY8161" s="583"/>
      <c r="HZ8161" s="583"/>
      <c r="IA8161" s="583"/>
      <c r="IB8161" s="583"/>
      <c r="IC8161" s="583"/>
      <c r="ID8161" s="583"/>
      <c r="IE8161" s="583"/>
      <c r="IF8161" s="583"/>
      <c r="IG8161" s="583"/>
      <c r="IH8161" s="583"/>
      <c r="II8161" s="583"/>
      <c r="IJ8161" s="583"/>
      <c r="IK8161" s="583"/>
      <c r="IL8161" s="583"/>
      <c r="IM8161" s="583"/>
      <c r="IN8161" s="583"/>
      <c r="IO8161" s="583"/>
      <c r="IP8161" s="583"/>
      <c r="IQ8161" s="583"/>
      <c r="IR8161" s="583"/>
      <c r="IS8161" s="583"/>
      <c r="IT8161" s="583"/>
      <c r="IU8161" s="583"/>
      <c r="IV8161" s="583"/>
    </row>
    <row r="8162" spans="2:256">
      <c r="B8162" s="583"/>
      <c r="C8162" s="583"/>
      <c r="D8162" s="583"/>
      <c r="E8162" s="583"/>
      <c r="F8162" s="583"/>
      <c r="G8162" s="583"/>
      <c r="H8162" s="583"/>
      <c r="I8162" s="583"/>
      <c r="J8162" s="583"/>
      <c r="K8162" s="583"/>
      <c r="L8162" s="583"/>
      <c r="R8162" s="583"/>
      <c r="S8162" s="583"/>
      <c r="T8162" s="583"/>
      <c r="U8162" s="583"/>
      <c r="V8162" s="583"/>
      <c r="W8162" s="583"/>
      <c r="X8162" s="583"/>
      <c r="Y8162" s="583"/>
      <c r="Z8162" s="583"/>
      <c r="AA8162" s="583"/>
      <c r="AB8162" s="583"/>
      <c r="AC8162" s="583"/>
      <c r="AD8162" s="583"/>
      <c r="AE8162" s="583"/>
      <c r="AF8162" s="583"/>
      <c r="AG8162" s="583"/>
      <c r="AH8162" s="583"/>
      <c r="AI8162" s="583"/>
      <c r="AJ8162" s="583"/>
      <c r="AK8162" s="583"/>
      <c r="AL8162" s="583"/>
      <c r="AM8162" s="583"/>
      <c r="AN8162" s="583"/>
      <c r="AO8162" s="583"/>
      <c r="AP8162" s="583"/>
      <c r="AQ8162" s="583"/>
      <c r="AR8162" s="583"/>
      <c r="AS8162" s="583"/>
      <c r="AT8162" s="583"/>
      <c r="AU8162" s="583"/>
      <c r="AV8162" s="583"/>
      <c r="AW8162" s="583"/>
      <c r="AX8162" s="583"/>
      <c r="AY8162" s="583"/>
      <c r="AZ8162" s="583"/>
      <c r="BA8162" s="583"/>
      <c r="BB8162" s="583"/>
      <c r="BC8162" s="583"/>
      <c r="BD8162" s="583"/>
      <c r="BE8162" s="583"/>
      <c r="BF8162" s="583"/>
      <c r="BG8162" s="583"/>
      <c r="BH8162" s="583"/>
      <c r="BI8162" s="583"/>
      <c r="BJ8162" s="583"/>
      <c r="BK8162" s="583"/>
      <c r="BL8162" s="583"/>
      <c r="BM8162" s="583"/>
      <c r="BN8162" s="583"/>
      <c r="BO8162" s="583"/>
      <c r="BP8162" s="583"/>
      <c r="BQ8162" s="583"/>
      <c r="BR8162" s="583"/>
      <c r="BS8162" s="583"/>
      <c r="BT8162" s="583"/>
      <c r="BU8162" s="583"/>
      <c r="BV8162" s="583"/>
      <c r="BW8162" s="583"/>
      <c r="BX8162" s="583"/>
      <c r="BY8162" s="583"/>
      <c r="BZ8162" s="583"/>
      <c r="CA8162" s="583"/>
      <c r="CB8162" s="583"/>
      <c r="CC8162" s="583"/>
      <c r="CD8162" s="583"/>
      <c r="CE8162" s="583"/>
      <c r="CF8162" s="583"/>
      <c r="CG8162" s="583"/>
      <c r="CH8162" s="583"/>
      <c r="CI8162" s="583"/>
      <c r="CJ8162" s="583"/>
      <c r="CK8162" s="583"/>
      <c r="CL8162" s="583"/>
      <c r="CM8162" s="583"/>
      <c r="CN8162" s="583"/>
      <c r="CO8162" s="583"/>
      <c r="CP8162" s="583"/>
      <c r="CQ8162" s="583"/>
      <c r="CR8162" s="583"/>
      <c r="CS8162" s="583"/>
      <c r="CT8162" s="583"/>
      <c r="CU8162" s="583"/>
      <c r="CV8162" s="583"/>
      <c r="CW8162" s="583"/>
      <c r="CX8162" s="583"/>
      <c r="CY8162" s="583"/>
      <c r="CZ8162" s="583"/>
      <c r="DA8162" s="583"/>
      <c r="DB8162" s="583"/>
      <c r="DC8162" s="583"/>
      <c r="DD8162" s="583"/>
      <c r="DE8162" s="583"/>
      <c r="DF8162" s="583"/>
      <c r="DG8162" s="583"/>
      <c r="DH8162" s="583"/>
      <c r="DI8162" s="583"/>
      <c r="DJ8162" s="583"/>
      <c r="DK8162" s="583"/>
      <c r="DL8162" s="583"/>
      <c r="DM8162" s="583"/>
      <c r="DN8162" s="583"/>
      <c r="DO8162" s="583"/>
      <c r="DP8162" s="583"/>
      <c r="DQ8162" s="583"/>
      <c r="DR8162" s="583"/>
      <c r="DS8162" s="583"/>
      <c r="DT8162" s="583"/>
      <c r="DU8162" s="583"/>
      <c r="DV8162" s="583"/>
      <c r="DW8162" s="583"/>
      <c r="DX8162" s="583"/>
      <c r="DY8162" s="583"/>
      <c r="DZ8162" s="583"/>
      <c r="EA8162" s="583"/>
      <c r="EB8162" s="583"/>
      <c r="EC8162" s="583"/>
      <c r="ED8162" s="583"/>
      <c r="EE8162" s="583"/>
      <c r="EF8162" s="583"/>
      <c r="EG8162" s="583"/>
      <c r="EH8162" s="583"/>
      <c r="EI8162" s="583"/>
      <c r="EJ8162" s="583"/>
      <c r="EK8162" s="583"/>
      <c r="EL8162" s="583"/>
      <c r="EM8162" s="583"/>
      <c r="EN8162" s="583"/>
      <c r="EO8162" s="583"/>
      <c r="EP8162" s="583"/>
      <c r="EQ8162" s="583"/>
      <c r="ER8162" s="583"/>
      <c r="ES8162" s="583"/>
      <c r="ET8162" s="583"/>
      <c r="EU8162" s="583"/>
      <c r="EV8162" s="583"/>
      <c r="EW8162" s="583"/>
      <c r="EX8162" s="583"/>
      <c r="EY8162" s="583"/>
      <c r="EZ8162" s="583"/>
      <c r="FA8162" s="583"/>
      <c r="FB8162" s="583"/>
      <c r="FC8162" s="583"/>
      <c r="FD8162" s="583"/>
      <c r="FE8162" s="583"/>
      <c r="FF8162" s="583"/>
      <c r="FG8162" s="583"/>
      <c r="FH8162" s="583"/>
      <c r="FI8162" s="583"/>
      <c r="FJ8162" s="583"/>
      <c r="FK8162" s="583"/>
      <c r="FL8162" s="583"/>
      <c r="FM8162" s="583"/>
      <c r="FN8162" s="583"/>
      <c r="FO8162" s="583"/>
      <c r="FP8162" s="583"/>
      <c r="FQ8162" s="583"/>
      <c r="FR8162" s="583"/>
      <c r="FS8162" s="583"/>
      <c r="FT8162" s="583"/>
      <c r="FU8162" s="583"/>
      <c r="FV8162" s="583"/>
      <c r="FW8162" s="583"/>
      <c r="FX8162" s="583"/>
      <c r="FY8162" s="583"/>
      <c r="FZ8162" s="583"/>
      <c r="GA8162" s="583"/>
      <c r="GB8162" s="583"/>
      <c r="GC8162" s="583"/>
      <c r="GD8162" s="583"/>
      <c r="GE8162" s="583"/>
      <c r="GF8162" s="583"/>
      <c r="GG8162" s="583"/>
      <c r="GH8162" s="583"/>
      <c r="GI8162" s="583"/>
      <c r="GJ8162" s="583"/>
      <c r="GK8162" s="583"/>
      <c r="GL8162" s="583"/>
      <c r="GM8162" s="583"/>
      <c r="GN8162" s="583"/>
      <c r="GO8162" s="583"/>
      <c r="GP8162" s="583"/>
      <c r="GQ8162" s="583"/>
      <c r="GR8162" s="583"/>
      <c r="GS8162" s="583"/>
      <c r="GT8162" s="583"/>
      <c r="GU8162" s="583"/>
      <c r="GV8162" s="583"/>
      <c r="GW8162" s="583"/>
      <c r="GX8162" s="583"/>
      <c r="GY8162" s="583"/>
      <c r="GZ8162" s="583"/>
      <c r="HA8162" s="583"/>
      <c r="HB8162" s="583"/>
      <c r="HC8162" s="583"/>
      <c r="HD8162" s="583"/>
      <c r="HE8162" s="583"/>
      <c r="HF8162" s="583"/>
      <c r="HG8162" s="583"/>
      <c r="HH8162" s="583"/>
      <c r="HI8162" s="583"/>
      <c r="HJ8162" s="583"/>
      <c r="HK8162" s="583"/>
      <c r="HL8162" s="583"/>
      <c r="HM8162" s="583"/>
      <c r="HN8162" s="583"/>
      <c r="HO8162" s="583"/>
      <c r="HP8162" s="583"/>
      <c r="HQ8162" s="583"/>
      <c r="HR8162" s="583"/>
      <c r="HS8162" s="583"/>
      <c r="HT8162" s="583"/>
      <c r="HU8162" s="583"/>
      <c r="HV8162" s="583"/>
      <c r="HW8162" s="583"/>
      <c r="HX8162" s="583"/>
      <c r="HY8162" s="583"/>
      <c r="HZ8162" s="583"/>
      <c r="IA8162" s="583"/>
      <c r="IB8162" s="583"/>
      <c r="IC8162" s="583"/>
      <c r="ID8162" s="583"/>
      <c r="IE8162" s="583"/>
      <c r="IF8162" s="583"/>
      <c r="IG8162" s="583"/>
      <c r="IH8162" s="583"/>
      <c r="II8162" s="583"/>
      <c r="IJ8162" s="583"/>
      <c r="IK8162" s="583"/>
      <c r="IL8162" s="583"/>
      <c r="IM8162" s="583"/>
      <c r="IN8162" s="583"/>
      <c r="IO8162" s="583"/>
      <c r="IP8162" s="583"/>
      <c r="IQ8162" s="583"/>
      <c r="IR8162" s="583"/>
      <c r="IS8162" s="583"/>
      <c r="IT8162" s="583"/>
      <c r="IU8162" s="583"/>
      <c r="IV8162" s="583"/>
    </row>
    <row r="8163" spans="2:256">
      <c r="B8163" s="583"/>
      <c r="C8163" s="583"/>
      <c r="D8163" s="583"/>
      <c r="E8163" s="583"/>
      <c r="F8163" s="583"/>
      <c r="G8163" s="583"/>
      <c r="H8163" s="583"/>
      <c r="I8163" s="583"/>
      <c r="J8163" s="583"/>
      <c r="K8163" s="583"/>
      <c r="L8163" s="583"/>
      <c r="R8163" s="583"/>
      <c r="S8163" s="583"/>
      <c r="T8163" s="583"/>
      <c r="U8163" s="583"/>
      <c r="V8163" s="583"/>
      <c r="W8163" s="583"/>
      <c r="X8163" s="583"/>
      <c r="Y8163" s="583"/>
      <c r="Z8163" s="583"/>
      <c r="AA8163" s="583"/>
      <c r="AB8163" s="583"/>
      <c r="AC8163" s="583"/>
      <c r="AD8163" s="583"/>
      <c r="AE8163" s="583"/>
      <c r="AF8163" s="583"/>
      <c r="AG8163" s="583"/>
      <c r="AH8163" s="583"/>
      <c r="AI8163" s="583"/>
      <c r="AJ8163" s="583"/>
      <c r="AK8163" s="583"/>
      <c r="AL8163" s="583"/>
      <c r="AM8163" s="583"/>
      <c r="AN8163" s="583"/>
      <c r="AO8163" s="583"/>
      <c r="AP8163" s="583"/>
      <c r="AQ8163" s="583"/>
      <c r="AR8163" s="583"/>
      <c r="AS8163" s="583"/>
      <c r="AT8163" s="583"/>
      <c r="AU8163" s="583"/>
      <c r="AV8163" s="583"/>
      <c r="AW8163" s="583"/>
      <c r="AX8163" s="583"/>
      <c r="AY8163" s="583"/>
      <c r="AZ8163" s="583"/>
      <c r="BA8163" s="583"/>
      <c r="BB8163" s="583"/>
      <c r="BC8163" s="583"/>
      <c r="BD8163" s="583"/>
      <c r="BE8163" s="583"/>
      <c r="BF8163" s="583"/>
      <c r="BG8163" s="583"/>
      <c r="BH8163" s="583"/>
      <c r="BI8163" s="583"/>
      <c r="BJ8163" s="583"/>
      <c r="BK8163" s="583"/>
      <c r="BL8163" s="583"/>
      <c r="BM8163" s="583"/>
      <c r="BN8163" s="583"/>
      <c r="BO8163" s="583"/>
      <c r="BP8163" s="583"/>
      <c r="BQ8163" s="583"/>
      <c r="BR8163" s="583"/>
      <c r="BS8163" s="583"/>
      <c r="BT8163" s="583"/>
      <c r="BU8163" s="583"/>
      <c r="BV8163" s="583"/>
      <c r="BW8163" s="583"/>
      <c r="BX8163" s="583"/>
      <c r="BY8163" s="583"/>
      <c r="BZ8163" s="583"/>
      <c r="CA8163" s="583"/>
      <c r="CB8163" s="583"/>
      <c r="CC8163" s="583"/>
      <c r="CD8163" s="583"/>
      <c r="CE8163" s="583"/>
      <c r="CF8163" s="583"/>
      <c r="CG8163" s="583"/>
      <c r="CH8163" s="583"/>
      <c r="CI8163" s="583"/>
      <c r="CJ8163" s="583"/>
      <c r="CK8163" s="583"/>
      <c r="CL8163" s="583"/>
      <c r="CM8163" s="583"/>
      <c r="CN8163" s="583"/>
      <c r="CO8163" s="583"/>
      <c r="CP8163" s="583"/>
      <c r="CQ8163" s="583"/>
      <c r="CR8163" s="583"/>
      <c r="CS8163" s="583"/>
      <c r="CT8163" s="583"/>
      <c r="CU8163" s="583"/>
      <c r="CV8163" s="583"/>
      <c r="CW8163" s="583"/>
      <c r="CX8163" s="583"/>
      <c r="CY8163" s="583"/>
      <c r="CZ8163" s="583"/>
      <c r="DA8163" s="583"/>
      <c r="DB8163" s="583"/>
      <c r="DC8163" s="583"/>
      <c r="DD8163" s="583"/>
      <c r="DE8163" s="583"/>
      <c r="DF8163" s="583"/>
      <c r="DG8163" s="583"/>
      <c r="DH8163" s="583"/>
      <c r="DI8163" s="583"/>
      <c r="DJ8163" s="583"/>
      <c r="DK8163" s="583"/>
      <c r="DL8163" s="583"/>
      <c r="DM8163" s="583"/>
      <c r="DN8163" s="583"/>
      <c r="DO8163" s="583"/>
      <c r="DP8163" s="583"/>
      <c r="DQ8163" s="583"/>
      <c r="DR8163" s="583"/>
      <c r="DS8163" s="583"/>
      <c r="DT8163" s="583"/>
      <c r="DU8163" s="583"/>
      <c r="DV8163" s="583"/>
      <c r="DW8163" s="583"/>
      <c r="DX8163" s="583"/>
      <c r="DY8163" s="583"/>
      <c r="DZ8163" s="583"/>
      <c r="EA8163" s="583"/>
      <c r="EB8163" s="583"/>
      <c r="EC8163" s="583"/>
      <c r="ED8163" s="583"/>
      <c r="EE8163" s="583"/>
      <c r="EF8163" s="583"/>
      <c r="EG8163" s="583"/>
      <c r="EH8163" s="583"/>
      <c r="EI8163" s="583"/>
      <c r="EJ8163" s="583"/>
      <c r="EK8163" s="583"/>
      <c r="EL8163" s="583"/>
      <c r="EM8163" s="583"/>
      <c r="EN8163" s="583"/>
      <c r="EO8163" s="583"/>
      <c r="EP8163" s="583"/>
      <c r="EQ8163" s="583"/>
      <c r="ER8163" s="583"/>
      <c r="ES8163" s="583"/>
      <c r="ET8163" s="583"/>
      <c r="EU8163" s="583"/>
      <c r="EV8163" s="583"/>
      <c r="EW8163" s="583"/>
      <c r="EX8163" s="583"/>
      <c r="EY8163" s="583"/>
      <c r="EZ8163" s="583"/>
      <c r="FA8163" s="583"/>
      <c r="FB8163" s="583"/>
      <c r="FC8163" s="583"/>
      <c r="FD8163" s="583"/>
      <c r="FE8163" s="583"/>
      <c r="FF8163" s="583"/>
      <c r="FG8163" s="583"/>
      <c r="FH8163" s="583"/>
      <c r="FI8163" s="583"/>
      <c r="FJ8163" s="583"/>
      <c r="FK8163" s="583"/>
      <c r="FL8163" s="583"/>
      <c r="FM8163" s="583"/>
      <c r="FN8163" s="583"/>
      <c r="FO8163" s="583"/>
      <c r="FP8163" s="583"/>
      <c r="FQ8163" s="583"/>
      <c r="FR8163" s="583"/>
      <c r="FS8163" s="583"/>
      <c r="FT8163" s="583"/>
      <c r="FU8163" s="583"/>
      <c r="FV8163" s="583"/>
      <c r="FW8163" s="583"/>
      <c r="FX8163" s="583"/>
      <c r="FY8163" s="583"/>
      <c r="FZ8163" s="583"/>
      <c r="GA8163" s="583"/>
      <c r="GB8163" s="583"/>
      <c r="GC8163" s="583"/>
      <c r="GD8163" s="583"/>
      <c r="GE8163" s="583"/>
      <c r="GF8163" s="583"/>
      <c r="GG8163" s="583"/>
      <c r="GH8163" s="583"/>
      <c r="GI8163" s="583"/>
      <c r="GJ8163" s="583"/>
      <c r="GK8163" s="583"/>
      <c r="GL8163" s="583"/>
      <c r="GM8163" s="583"/>
      <c r="GN8163" s="583"/>
      <c r="GO8163" s="583"/>
      <c r="GP8163" s="583"/>
      <c r="GQ8163" s="583"/>
      <c r="GR8163" s="583"/>
      <c r="GS8163" s="583"/>
      <c r="GT8163" s="583"/>
      <c r="GU8163" s="583"/>
      <c r="GV8163" s="583"/>
      <c r="GW8163" s="583"/>
      <c r="GX8163" s="583"/>
      <c r="GY8163" s="583"/>
      <c r="GZ8163" s="583"/>
      <c r="HA8163" s="583"/>
      <c r="HB8163" s="583"/>
      <c r="HC8163" s="583"/>
      <c r="HD8163" s="583"/>
      <c r="HE8163" s="583"/>
      <c r="HF8163" s="583"/>
      <c r="HG8163" s="583"/>
      <c r="HH8163" s="583"/>
      <c r="HI8163" s="583"/>
      <c r="HJ8163" s="583"/>
      <c r="HK8163" s="583"/>
      <c r="HL8163" s="583"/>
      <c r="HM8163" s="583"/>
      <c r="HN8163" s="583"/>
      <c r="HO8163" s="583"/>
      <c r="HP8163" s="583"/>
      <c r="HQ8163" s="583"/>
      <c r="HR8163" s="583"/>
      <c r="HS8163" s="583"/>
      <c r="HT8163" s="583"/>
      <c r="HU8163" s="583"/>
      <c r="HV8163" s="583"/>
      <c r="HW8163" s="583"/>
      <c r="HX8163" s="583"/>
      <c r="HY8163" s="583"/>
      <c r="HZ8163" s="583"/>
      <c r="IA8163" s="583"/>
      <c r="IB8163" s="583"/>
      <c r="IC8163" s="583"/>
      <c r="ID8163" s="583"/>
      <c r="IE8163" s="583"/>
      <c r="IF8163" s="583"/>
      <c r="IG8163" s="583"/>
      <c r="IH8163" s="583"/>
      <c r="II8163" s="583"/>
      <c r="IJ8163" s="583"/>
      <c r="IK8163" s="583"/>
      <c r="IL8163" s="583"/>
      <c r="IM8163" s="583"/>
      <c r="IN8163" s="583"/>
      <c r="IO8163" s="583"/>
      <c r="IP8163" s="583"/>
      <c r="IQ8163" s="583"/>
      <c r="IR8163" s="583"/>
      <c r="IS8163" s="583"/>
      <c r="IT8163" s="583"/>
      <c r="IU8163" s="583"/>
      <c r="IV8163" s="583"/>
    </row>
    <row r="8164" spans="2:256">
      <c r="B8164" s="583"/>
      <c r="C8164" s="583"/>
      <c r="D8164" s="583"/>
      <c r="E8164" s="583"/>
      <c r="F8164" s="583"/>
      <c r="G8164" s="583"/>
      <c r="H8164" s="583"/>
      <c r="I8164" s="583"/>
      <c r="J8164" s="583"/>
      <c r="K8164" s="583"/>
      <c r="L8164" s="583"/>
      <c r="R8164" s="583"/>
      <c r="S8164" s="583"/>
      <c r="T8164" s="583"/>
      <c r="U8164" s="583"/>
      <c r="V8164" s="583"/>
      <c r="W8164" s="583"/>
      <c r="X8164" s="583"/>
      <c r="Y8164" s="583"/>
      <c r="Z8164" s="583"/>
      <c r="AA8164" s="583"/>
      <c r="AB8164" s="583"/>
      <c r="AC8164" s="583"/>
      <c r="AD8164" s="583"/>
      <c r="AE8164" s="583"/>
      <c r="AF8164" s="583"/>
      <c r="AG8164" s="583"/>
      <c r="AH8164" s="583"/>
      <c r="AI8164" s="583"/>
      <c r="AJ8164" s="583"/>
      <c r="AK8164" s="583"/>
      <c r="AL8164" s="583"/>
      <c r="AM8164" s="583"/>
      <c r="AN8164" s="583"/>
      <c r="AO8164" s="583"/>
      <c r="AP8164" s="583"/>
      <c r="AQ8164" s="583"/>
      <c r="AR8164" s="583"/>
      <c r="AS8164" s="583"/>
      <c r="AT8164" s="583"/>
      <c r="AU8164" s="583"/>
      <c r="AV8164" s="583"/>
      <c r="AW8164" s="583"/>
      <c r="AX8164" s="583"/>
      <c r="AY8164" s="583"/>
      <c r="AZ8164" s="583"/>
      <c r="BA8164" s="583"/>
      <c r="BB8164" s="583"/>
      <c r="BC8164" s="583"/>
      <c r="BD8164" s="583"/>
      <c r="BE8164" s="583"/>
      <c r="BF8164" s="583"/>
      <c r="BG8164" s="583"/>
      <c r="BH8164" s="583"/>
      <c r="BI8164" s="583"/>
      <c r="BJ8164" s="583"/>
      <c r="BK8164" s="583"/>
      <c r="BL8164" s="583"/>
      <c r="BM8164" s="583"/>
      <c r="BN8164" s="583"/>
      <c r="BO8164" s="583"/>
      <c r="BP8164" s="583"/>
      <c r="BQ8164" s="583"/>
      <c r="BR8164" s="583"/>
      <c r="BS8164" s="583"/>
      <c r="BT8164" s="583"/>
      <c r="BU8164" s="583"/>
      <c r="BV8164" s="583"/>
      <c r="BW8164" s="583"/>
      <c r="BX8164" s="583"/>
      <c r="BY8164" s="583"/>
      <c r="BZ8164" s="583"/>
      <c r="CA8164" s="583"/>
      <c r="CB8164" s="583"/>
      <c r="CC8164" s="583"/>
      <c r="CD8164" s="583"/>
      <c r="CE8164" s="583"/>
      <c r="CF8164" s="583"/>
      <c r="CG8164" s="583"/>
      <c r="CH8164" s="583"/>
      <c r="CI8164" s="583"/>
      <c r="CJ8164" s="583"/>
      <c r="CK8164" s="583"/>
      <c r="CL8164" s="583"/>
      <c r="CM8164" s="583"/>
      <c r="CN8164" s="583"/>
      <c r="CO8164" s="583"/>
      <c r="CP8164" s="583"/>
      <c r="CQ8164" s="583"/>
      <c r="CR8164" s="583"/>
      <c r="CS8164" s="583"/>
      <c r="CT8164" s="583"/>
      <c r="CU8164" s="583"/>
      <c r="CV8164" s="583"/>
      <c r="CW8164" s="583"/>
      <c r="CX8164" s="583"/>
      <c r="CY8164" s="583"/>
      <c r="CZ8164" s="583"/>
      <c r="DA8164" s="583"/>
      <c r="DB8164" s="583"/>
      <c r="DC8164" s="583"/>
      <c r="DD8164" s="583"/>
      <c r="DE8164" s="583"/>
      <c r="DF8164" s="583"/>
      <c r="DG8164" s="583"/>
      <c r="DH8164" s="583"/>
      <c r="DI8164" s="583"/>
      <c r="DJ8164" s="583"/>
      <c r="DK8164" s="583"/>
      <c r="DL8164" s="583"/>
      <c r="DM8164" s="583"/>
      <c r="DN8164" s="583"/>
      <c r="DO8164" s="583"/>
      <c r="DP8164" s="583"/>
      <c r="DQ8164" s="583"/>
      <c r="DR8164" s="583"/>
      <c r="DS8164" s="583"/>
      <c r="DT8164" s="583"/>
      <c r="DU8164" s="583"/>
      <c r="DV8164" s="583"/>
      <c r="DW8164" s="583"/>
      <c r="DX8164" s="583"/>
      <c r="DY8164" s="583"/>
      <c r="DZ8164" s="583"/>
      <c r="EA8164" s="583"/>
      <c r="EB8164" s="583"/>
      <c r="EC8164" s="583"/>
      <c r="ED8164" s="583"/>
      <c r="EE8164" s="583"/>
      <c r="EF8164" s="583"/>
      <c r="EG8164" s="583"/>
      <c r="EH8164" s="583"/>
      <c r="EI8164" s="583"/>
      <c r="EJ8164" s="583"/>
      <c r="EK8164" s="583"/>
      <c r="EL8164" s="583"/>
      <c r="EM8164" s="583"/>
      <c r="EN8164" s="583"/>
      <c r="EO8164" s="583"/>
      <c r="EP8164" s="583"/>
      <c r="EQ8164" s="583"/>
      <c r="ER8164" s="583"/>
      <c r="ES8164" s="583"/>
      <c r="ET8164" s="583"/>
      <c r="EU8164" s="583"/>
      <c r="EV8164" s="583"/>
      <c r="EW8164" s="583"/>
      <c r="EX8164" s="583"/>
      <c r="EY8164" s="583"/>
      <c r="EZ8164" s="583"/>
      <c r="FA8164" s="583"/>
      <c r="FB8164" s="583"/>
      <c r="FC8164" s="583"/>
      <c r="FD8164" s="583"/>
      <c r="FE8164" s="583"/>
      <c r="FF8164" s="583"/>
      <c r="FG8164" s="583"/>
      <c r="FH8164" s="583"/>
      <c r="FI8164" s="583"/>
      <c r="FJ8164" s="583"/>
      <c r="FK8164" s="583"/>
      <c r="FL8164" s="583"/>
      <c r="FM8164" s="583"/>
      <c r="FN8164" s="583"/>
      <c r="FO8164" s="583"/>
      <c r="FP8164" s="583"/>
      <c r="FQ8164" s="583"/>
      <c r="FR8164" s="583"/>
      <c r="FS8164" s="583"/>
      <c r="FT8164" s="583"/>
      <c r="FU8164" s="583"/>
      <c r="FV8164" s="583"/>
      <c r="FW8164" s="583"/>
      <c r="FX8164" s="583"/>
      <c r="FY8164" s="583"/>
      <c r="FZ8164" s="583"/>
      <c r="GA8164" s="583"/>
      <c r="GB8164" s="583"/>
      <c r="GC8164" s="583"/>
      <c r="GD8164" s="583"/>
      <c r="GE8164" s="583"/>
      <c r="GF8164" s="583"/>
      <c r="GG8164" s="583"/>
      <c r="GH8164" s="583"/>
      <c r="GI8164" s="583"/>
      <c r="GJ8164" s="583"/>
      <c r="GK8164" s="583"/>
      <c r="GL8164" s="583"/>
      <c r="GM8164" s="583"/>
      <c r="GN8164" s="583"/>
      <c r="GO8164" s="583"/>
      <c r="GP8164" s="583"/>
      <c r="GQ8164" s="583"/>
      <c r="GR8164" s="583"/>
      <c r="GS8164" s="583"/>
      <c r="GT8164" s="583"/>
      <c r="GU8164" s="583"/>
      <c r="GV8164" s="583"/>
      <c r="GW8164" s="583"/>
      <c r="GX8164" s="583"/>
      <c r="GY8164" s="583"/>
      <c r="GZ8164" s="583"/>
      <c r="HA8164" s="583"/>
      <c r="HB8164" s="583"/>
      <c r="HC8164" s="583"/>
      <c r="HD8164" s="583"/>
      <c r="HE8164" s="583"/>
      <c r="HF8164" s="583"/>
      <c r="HG8164" s="583"/>
      <c r="HH8164" s="583"/>
      <c r="HI8164" s="583"/>
      <c r="HJ8164" s="583"/>
      <c r="HK8164" s="583"/>
      <c r="HL8164" s="583"/>
      <c r="HM8164" s="583"/>
      <c r="HN8164" s="583"/>
      <c r="HO8164" s="583"/>
      <c r="HP8164" s="583"/>
      <c r="HQ8164" s="583"/>
      <c r="HR8164" s="583"/>
      <c r="HS8164" s="583"/>
      <c r="HT8164" s="583"/>
      <c r="HU8164" s="583"/>
      <c r="HV8164" s="583"/>
      <c r="HW8164" s="583"/>
      <c r="HX8164" s="583"/>
      <c r="HY8164" s="583"/>
      <c r="HZ8164" s="583"/>
      <c r="IA8164" s="583"/>
      <c r="IB8164" s="583"/>
      <c r="IC8164" s="583"/>
      <c r="ID8164" s="583"/>
      <c r="IE8164" s="583"/>
      <c r="IF8164" s="583"/>
      <c r="IG8164" s="583"/>
      <c r="IH8164" s="583"/>
      <c r="II8164" s="583"/>
      <c r="IJ8164" s="583"/>
      <c r="IK8164" s="583"/>
      <c r="IL8164" s="583"/>
      <c r="IM8164" s="583"/>
      <c r="IN8164" s="583"/>
      <c r="IO8164" s="583"/>
      <c r="IP8164" s="583"/>
      <c r="IQ8164" s="583"/>
      <c r="IR8164" s="583"/>
      <c r="IS8164" s="583"/>
      <c r="IT8164" s="583"/>
      <c r="IU8164" s="583"/>
      <c r="IV8164" s="583"/>
    </row>
    <row r="8165" spans="2:256">
      <c r="B8165" s="583"/>
      <c r="C8165" s="583"/>
      <c r="D8165" s="583"/>
      <c r="E8165" s="583"/>
      <c r="F8165" s="583"/>
      <c r="G8165" s="583"/>
      <c r="H8165" s="583"/>
      <c r="I8165" s="583"/>
      <c r="J8165" s="583"/>
      <c r="K8165" s="583"/>
      <c r="L8165" s="583"/>
      <c r="R8165" s="583"/>
      <c r="S8165" s="583"/>
      <c r="T8165" s="583"/>
      <c r="U8165" s="583"/>
      <c r="V8165" s="583"/>
      <c r="W8165" s="583"/>
      <c r="X8165" s="583"/>
      <c r="Y8165" s="583"/>
      <c r="Z8165" s="583"/>
      <c r="AA8165" s="583"/>
      <c r="AB8165" s="583"/>
      <c r="AC8165" s="583"/>
      <c r="AD8165" s="583"/>
      <c r="AE8165" s="583"/>
      <c r="AF8165" s="583"/>
      <c r="AG8165" s="583"/>
      <c r="AH8165" s="583"/>
      <c r="AI8165" s="583"/>
      <c r="AJ8165" s="583"/>
      <c r="AK8165" s="583"/>
      <c r="AL8165" s="583"/>
      <c r="AM8165" s="583"/>
      <c r="AN8165" s="583"/>
      <c r="AO8165" s="583"/>
      <c r="AP8165" s="583"/>
      <c r="AQ8165" s="583"/>
      <c r="AR8165" s="583"/>
      <c r="AS8165" s="583"/>
      <c r="AT8165" s="583"/>
      <c r="AU8165" s="583"/>
      <c r="AV8165" s="583"/>
      <c r="AW8165" s="583"/>
      <c r="AX8165" s="583"/>
      <c r="AY8165" s="583"/>
      <c r="AZ8165" s="583"/>
      <c r="BA8165" s="583"/>
      <c r="BB8165" s="583"/>
      <c r="BC8165" s="583"/>
      <c r="BD8165" s="583"/>
      <c r="BE8165" s="583"/>
      <c r="BF8165" s="583"/>
      <c r="BG8165" s="583"/>
      <c r="BH8165" s="583"/>
      <c r="BI8165" s="583"/>
      <c r="BJ8165" s="583"/>
      <c r="BK8165" s="583"/>
      <c r="BL8165" s="583"/>
      <c r="BM8165" s="583"/>
      <c r="BN8165" s="583"/>
      <c r="BO8165" s="583"/>
      <c r="BP8165" s="583"/>
      <c r="BQ8165" s="583"/>
      <c r="BR8165" s="583"/>
      <c r="BS8165" s="583"/>
      <c r="BT8165" s="583"/>
      <c r="BU8165" s="583"/>
      <c r="BV8165" s="583"/>
      <c r="BW8165" s="583"/>
      <c r="BX8165" s="583"/>
      <c r="BY8165" s="583"/>
      <c r="BZ8165" s="583"/>
      <c r="CA8165" s="583"/>
      <c r="CB8165" s="583"/>
      <c r="CC8165" s="583"/>
      <c r="CD8165" s="583"/>
      <c r="CE8165" s="583"/>
      <c r="CF8165" s="583"/>
      <c r="CG8165" s="583"/>
      <c r="CH8165" s="583"/>
      <c r="CI8165" s="583"/>
      <c r="CJ8165" s="583"/>
      <c r="CK8165" s="583"/>
      <c r="CL8165" s="583"/>
      <c r="CM8165" s="583"/>
      <c r="CN8165" s="583"/>
      <c r="CO8165" s="583"/>
      <c r="CP8165" s="583"/>
      <c r="CQ8165" s="583"/>
      <c r="CR8165" s="583"/>
      <c r="CS8165" s="583"/>
      <c r="CT8165" s="583"/>
      <c r="CU8165" s="583"/>
      <c r="CV8165" s="583"/>
      <c r="CW8165" s="583"/>
      <c r="CX8165" s="583"/>
      <c r="CY8165" s="583"/>
      <c r="CZ8165" s="583"/>
      <c r="DA8165" s="583"/>
      <c r="DB8165" s="583"/>
      <c r="DC8165" s="583"/>
      <c r="DD8165" s="583"/>
      <c r="DE8165" s="583"/>
      <c r="DF8165" s="583"/>
      <c r="DG8165" s="583"/>
      <c r="DH8165" s="583"/>
      <c r="DI8165" s="583"/>
      <c r="DJ8165" s="583"/>
      <c r="DK8165" s="583"/>
      <c r="DL8165" s="583"/>
      <c r="DM8165" s="583"/>
      <c r="DN8165" s="583"/>
      <c r="DO8165" s="583"/>
      <c r="DP8165" s="583"/>
      <c r="DQ8165" s="583"/>
      <c r="DR8165" s="583"/>
      <c r="DS8165" s="583"/>
      <c r="DT8165" s="583"/>
      <c r="DU8165" s="583"/>
      <c r="DV8165" s="583"/>
      <c r="DW8165" s="583"/>
      <c r="DX8165" s="583"/>
      <c r="DY8165" s="583"/>
      <c r="DZ8165" s="583"/>
      <c r="EA8165" s="583"/>
      <c r="EB8165" s="583"/>
      <c r="EC8165" s="583"/>
      <c r="ED8165" s="583"/>
      <c r="EE8165" s="583"/>
      <c r="EF8165" s="583"/>
      <c r="EG8165" s="583"/>
      <c r="EH8165" s="583"/>
      <c r="EI8165" s="583"/>
      <c r="EJ8165" s="583"/>
      <c r="EK8165" s="583"/>
      <c r="EL8165" s="583"/>
      <c r="EM8165" s="583"/>
      <c r="EN8165" s="583"/>
      <c r="EO8165" s="583"/>
      <c r="EP8165" s="583"/>
      <c r="EQ8165" s="583"/>
      <c r="ER8165" s="583"/>
      <c r="ES8165" s="583"/>
      <c r="ET8165" s="583"/>
      <c r="EU8165" s="583"/>
      <c r="EV8165" s="583"/>
      <c r="EW8165" s="583"/>
      <c r="EX8165" s="583"/>
      <c r="EY8165" s="583"/>
      <c r="EZ8165" s="583"/>
      <c r="FA8165" s="583"/>
      <c r="FB8165" s="583"/>
      <c r="FC8165" s="583"/>
      <c r="FD8165" s="583"/>
      <c r="FE8165" s="583"/>
      <c r="FF8165" s="583"/>
      <c r="FG8165" s="583"/>
      <c r="FH8165" s="583"/>
      <c r="FI8165" s="583"/>
      <c r="FJ8165" s="583"/>
      <c r="FK8165" s="583"/>
      <c r="FL8165" s="583"/>
      <c r="FM8165" s="583"/>
      <c r="FN8165" s="583"/>
      <c r="FO8165" s="583"/>
      <c r="FP8165" s="583"/>
      <c r="FQ8165" s="583"/>
      <c r="FR8165" s="583"/>
      <c r="FS8165" s="583"/>
      <c r="FT8165" s="583"/>
      <c r="FU8165" s="583"/>
      <c r="FV8165" s="583"/>
      <c r="FW8165" s="583"/>
      <c r="FX8165" s="583"/>
      <c r="FY8165" s="583"/>
      <c r="FZ8165" s="583"/>
      <c r="GA8165" s="583"/>
      <c r="GB8165" s="583"/>
      <c r="GC8165" s="583"/>
      <c r="GD8165" s="583"/>
      <c r="GE8165" s="583"/>
      <c r="GF8165" s="583"/>
      <c r="GG8165" s="583"/>
      <c r="GH8165" s="583"/>
      <c r="GI8165" s="583"/>
      <c r="GJ8165" s="583"/>
      <c r="GK8165" s="583"/>
      <c r="GL8165" s="583"/>
      <c r="GM8165" s="583"/>
      <c r="GN8165" s="583"/>
      <c r="GO8165" s="583"/>
      <c r="GP8165" s="583"/>
      <c r="GQ8165" s="583"/>
      <c r="GR8165" s="583"/>
      <c r="GS8165" s="583"/>
      <c r="GT8165" s="583"/>
      <c r="GU8165" s="583"/>
      <c r="GV8165" s="583"/>
      <c r="GW8165" s="583"/>
      <c r="GX8165" s="583"/>
      <c r="GY8165" s="583"/>
      <c r="GZ8165" s="583"/>
      <c r="HA8165" s="583"/>
      <c r="HB8165" s="583"/>
      <c r="HC8165" s="583"/>
      <c r="HD8165" s="583"/>
      <c r="HE8165" s="583"/>
      <c r="HF8165" s="583"/>
      <c r="HG8165" s="583"/>
      <c r="HH8165" s="583"/>
      <c r="HI8165" s="583"/>
      <c r="HJ8165" s="583"/>
      <c r="HK8165" s="583"/>
      <c r="HL8165" s="583"/>
      <c r="HM8165" s="583"/>
      <c r="HN8165" s="583"/>
      <c r="HO8165" s="583"/>
      <c r="HP8165" s="583"/>
      <c r="HQ8165" s="583"/>
      <c r="HR8165" s="583"/>
      <c r="HS8165" s="583"/>
      <c r="HT8165" s="583"/>
      <c r="HU8165" s="583"/>
      <c r="HV8165" s="583"/>
      <c r="HW8165" s="583"/>
      <c r="HX8165" s="583"/>
      <c r="HY8165" s="583"/>
      <c r="HZ8165" s="583"/>
      <c r="IA8165" s="583"/>
      <c r="IB8165" s="583"/>
      <c r="IC8165" s="583"/>
      <c r="ID8165" s="583"/>
      <c r="IE8165" s="583"/>
      <c r="IF8165" s="583"/>
      <c r="IG8165" s="583"/>
      <c r="IH8165" s="583"/>
      <c r="II8165" s="583"/>
      <c r="IJ8165" s="583"/>
      <c r="IK8165" s="583"/>
      <c r="IL8165" s="583"/>
      <c r="IM8165" s="583"/>
      <c r="IN8165" s="583"/>
      <c r="IO8165" s="583"/>
      <c r="IP8165" s="583"/>
      <c r="IQ8165" s="583"/>
      <c r="IR8165" s="583"/>
      <c r="IS8165" s="583"/>
      <c r="IT8165" s="583"/>
      <c r="IU8165" s="583"/>
      <c r="IV8165" s="583"/>
    </row>
    <row r="8166" spans="2:256">
      <c r="B8166" s="583"/>
      <c r="C8166" s="583"/>
      <c r="D8166" s="583"/>
      <c r="E8166" s="583"/>
      <c r="F8166" s="583"/>
      <c r="G8166" s="583"/>
      <c r="H8166" s="583"/>
      <c r="I8166" s="583"/>
      <c r="J8166" s="583"/>
      <c r="K8166" s="583"/>
      <c r="L8166" s="583"/>
      <c r="R8166" s="583"/>
      <c r="S8166" s="583"/>
      <c r="T8166" s="583"/>
      <c r="U8166" s="583"/>
      <c r="V8166" s="583"/>
      <c r="W8166" s="583"/>
      <c r="X8166" s="583"/>
      <c r="Y8166" s="583"/>
      <c r="Z8166" s="583"/>
      <c r="AA8166" s="583"/>
      <c r="AB8166" s="583"/>
      <c r="AC8166" s="583"/>
      <c r="AD8166" s="583"/>
      <c r="AE8166" s="583"/>
      <c r="AF8166" s="583"/>
      <c r="AG8166" s="583"/>
      <c r="AH8166" s="583"/>
      <c r="AI8166" s="583"/>
      <c r="AJ8166" s="583"/>
      <c r="AK8166" s="583"/>
      <c r="AL8166" s="583"/>
      <c r="AM8166" s="583"/>
      <c r="AN8166" s="583"/>
      <c r="AO8166" s="583"/>
      <c r="AP8166" s="583"/>
      <c r="AQ8166" s="583"/>
      <c r="AR8166" s="583"/>
      <c r="AS8166" s="583"/>
      <c r="AT8166" s="583"/>
      <c r="AU8166" s="583"/>
      <c r="AV8166" s="583"/>
      <c r="AW8166" s="583"/>
      <c r="AX8166" s="583"/>
      <c r="AY8166" s="583"/>
      <c r="AZ8166" s="583"/>
      <c r="BA8166" s="583"/>
      <c r="BB8166" s="583"/>
      <c r="BC8166" s="583"/>
      <c r="BD8166" s="583"/>
      <c r="BE8166" s="583"/>
      <c r="BF8166" s="583"/>
      <c r="BG8166" s="583"/>
      <c r="BH8166" s="583"/>
      <c r="BI8166" s="583"/>
      <c r="BJ8166" s="583"/>
      <c r="BK8166" s="583"/>
      <c r="BL8166" s="583"/>
      <c r="BM8166" s="583"/>
      <c r="BN8166" s="583"/>
      <c r="BO8166" s="583"/>
      <c r="BP8166" s="583"/>
      <c r="BQ8166" s="583"/>
      <c r="BR8166" s="583"/>
      <c r="BS8166" s="583"/>
      <c r="BT8166" s="583"/>
      <c r="BU8166" s="583"/>
      <c r="BV8166" s="583"/>
      <c r="BW8166" s="583"/>
      <c r="BX8166" s="583"/>
      <c r="BY8166" s="583"/>
      <c r="BZ8166" s="583"/>
      <c r="CA8166" s="583"/>
      <c r="CB8166" s="583"/>
      <c r="CC8166" s="583"/>
      <c r="CD8166" s="583"/>
      <c r="CE8166" s="583"/>
      <c r="CF8166" s="583"/>
      <c r="CG8166" s="583"/>
      <c r="CH8166" s="583"/>
      <c r="CI8166" s="583"/>
      <c r="CJ8166" s="583"/>
      <c r="CK8166" s="583"/>
      <c r="CL8166" s="583"/>
      <c r="CM8166" s="583"/>
      <c r="CN8166" s="583"/>
      <c r="CO8166" s="583"/>
      <c r="CP8166" s="583"/>
      <c r="CQ8166" s="583"/>
      <c r="CR8166" s="583"/>
      <c r="CS8166" s="583"/>
      <c r="CT8166" s="583"/>
      <c r="CU8166" s="583"/>
      <c r="CV8166" s="583"/>
      <c r="CW8166" s="583"/>
      <c r="CX8166" s="583"/>
      <c r="CY8166" s="583"/>
      <c r="CZ8166" s="583"/>
      <c r="DA8166" s="583"/>
      <c r="DB8166" s="583"/>
      <c r="DC8166" s="583"/>
      <c r="DD8166" s="583"/>
      <c r="DE8166" s="583"/>
      <c r="DF8166" s="583"/>
      <c r="DG8166" s="583"/>
      <c r="DH8166" s="583"/>
      <c r="DI8166" s="583"/>
      <c r="DJ8166" s="583"/>
      <c r="DK8166" s="583"/>
      <c r="DL8166" s="583"/>
      <c r="DM8166" s="583"/>
      <c r="DN8166" s="583"/>
      <c r="DO8166" s="583"/>
      <c r="DP8166" s="583"/>
      <c r="DQ8166" s="583"/>
      <c r="DR8166" s="583"/>
      <c r="DS8166" s="583"/>
      <c r="DT8166" s="583"/>
      <c r="DU8166" s="583"/>
      <c r="DV8166" s="583"/>
      <c r="DW8166" s="583"/>
      <c r="DX8166" s="583"/>
      <c r="DY8166" s="583"/>
      <c r="DZ8166" s="583"/>
      <c r="EA8166" s="583"/>
      <c r="EB8166" s="583"/>
      <c r="EC8166" s="583"/>
      <c r="ED8166" s="583"/>
      <c r="EE8166" s="583"/>
      <c r="EF8166" s="583"/>
      <c r="EG8166" s="583"/>
      <c r="EH8166" s="583"/>
      <c r="EI8166" s="583"/>
      <c r="EJ8166" s="583"/>
      <c r="EK8166" s="583"/>
      <c r="EL8166" s="583"/>
      <c r="EM8166" s="583"/>
      <c r="EN8166" s="583"/>
      <c r="EO8166" s="583"/>
      <c r="EP8166" s="583"/>
      <c r="EQ8166" s="583"/>
      <c r="ER8166" s="583"/>
      <c r="ES8166" s="583"/>
      <c r="ET8166" s="583"/>
      <c r="EU8166" s="583"/>
      <c r="EV8166" s="583"/>
      <c r="EW8166" s="583"/>
      <c r="EX8166" s="583"/>
      <c r="EY8166" s="583"/>
      <c r="EZ8166" s="583"/>
      <c r="FA8166" s="583"/>
      <c r="FB8166" s="583"/>
      <c r="FC8166" s="583"/>
      <c r="FD8166" s="583"/>
      <c r="FE8166" s="583"/>
      <c r="FF8166" s="583"/>
      <c r="FG8166" s="583"/>
      <c r="FH8166" s="583"/>
      <c r="FI8166" s="583"/>
      <c r="FJ8166" s="583"/>
      <c r="FK8166" s="583"/>
      <c r="FL8166" s="583"/>
      <c r="FM8166" s="583"/>
      <c r="FN8166" s="583"/>
      <c r="FO8166" s="583"/>
      <c r="FP8166" s="583"/>
      <c r="FQ8166" s="583"/>
      <c r="FR8166" s="583"/>
      <c r="FS8166" s="583"/>
      <c r="FT8166" s="583"/>
      <c r="FU8166" s="583"/>
      <c r="FV8166" s="583"/>
      <c r="FW8166" s="583"/>
      <c r="FX8166" s="583"/>
      <c r="FY8166" s="583"/>
      <c r="FZ8166" s="583"/>
      <c r="GA8166" s="583"/>
      <c r="GB8166" s="583"/>
      <c r="GC8166" s="583"/>
      <c r="GD8166" s="583"/>
      <c r="GE8166" s="583"/>
      <c r="GF8166" s="583"/>
      <c r="GG8166" s="583"/>
      <c r="GH8166" s="583"/>
      <c r="GI8166" s="583"/>
      <c r="GJ8166" s="583"/>
      <c r="GK8166" s="583"/>
      <c r="GL8166" s="583"/>
      <c r="GM8166" s="583"/>
      <c r="GN8166" s="583"/>
      <c r="GO8166" s="583"/>
      <c r="GP8166" s="583"/>
      <c r="GQ8166" s="583"/>
      <c r="GR8166" s="583"/>
      <c r="GS8166" s="583"/>
      <c r="GT8166" s="583"/>
      <c r="GU8166" s="583"/>
      <c r="GV8166" s="583"/>
      <c r="GW8166" s="583"/>
      <c r="GX8166" s="583"/>
      <c r="GY8166" s="583"/>
      <c r="GZ8166" s="583"/>
      <c r="HA8166" s="583"/>
      <c r="HB8166" s="583"/>
      <c r="HC8166" s="583"/>
      <c r="HD8166" s="583"/>
      <c r="HE8166" s="583"/>
      <c r="HF8166" s="583"/>
      <c r="HG8166" s="583"/>
      <c r="HH8166" s="583"/>
      <c r="HI8166" s="583"/>
      <c r="HJ8166" s="583"/>
      <c r="HK8166" s="583"/>
      <c r="HL8166" s="583"/>
      <c r="HM8166" s="583"/>
      <c r="HN8166" s="583"/>
      <c r="HO8166" s="583"/>
      <c r="HP8166" s="583"/>
      <c r="HQ8166" s="583"/>
      <c r="HR8166" s="583"/>
      <c r="HS8166" s="583"/>
      <c r="HT8166" s="583"/>
      <c r="HU8166" s="583"/>
      <c r="HV8166" s="583"/>
      <c r="HW8166" s="583"/>
      <c r="HX8166" s="583"/>
      <c r="HY8166" s="583"/>
      <c r="HZ8166" s="583"/>
      <c r="IA8166" s="583"/>
      <c r="IB8166" s="583"/>
      <c r="IC8166" s="583"/>
      <c r="ID8166" s="583"/>
      <c r="IE8166" s="583"/>
      <c r="IF8166" s="583"/>
      <c r="IG8166" s="583"/>
      <c r="IH8166" s="583"/>
      <c r="II8166" s="583"/>
      <c r="IJ8166" s="583"/>
      <c r="IK8166" s="583"/>
      <c r="IL8166" s="583"/>
      <c r="IM8166" s="583"/>
      <c r="IN8166" s="583"/>
      <c r="IO8166" s="583"/>
      <c r="IP8166" s="583"/>
      <c r="IQ8166" s="583"/>
      <c r="IR8166" s="583"/>
      <c r="IS8166" s="583"/>
      <c r="IT8166" s="583"/>
      <c r="IU8166" s="583"/>
      <c r="IV8166" s="583"/>
    </row>
    <row r="8167" spans="2:256">
      <c r="B8167" s="583"/>
      <c r="C8167" s="583"/>
      <c r="D8167" s="583"/>
      <c r="E8167" s="583"/>
      <c r="F8167" s="583"/>
      <c r="G8167" s="583"/>
      <c r="H8167" s="583"/>
      <c r="I8167" s="583"/>
      <c r="J8167" s="583"/>
      <c r="K8167" s="583"/>
      <c r="L8167" s="583"/>
      <c r="R8167" s="583"/>
      <c r="S8167" s="583"/>
      <c r="T8167" s="583"/>
      <c r="U8167" s="583"/>
      <c r="V8167" s="583"/>
      <c r="W8167" s="583"/>
      <c r="X8167" s="583"/>
      <c r="Y8167" s="583"/>
      <c r="Z8167" s="583"/>
      <c r="AA8167" s="583"/>
      <c r="AB8167" s="583"/>
      <c r="AC8167" s="583"/>
      <c r="AD8167" s="583"/>
      <c r="AE8167" s="583"/>
      <c r="AF8167" s="583"/>
      <c r="AG8167" s="583"/>
      <c r="AH8167" s="583"/>
      <c r="AI8167" s="583"/>
      <c r="AJ8167" s="583"/>
      <c r="AK8167" s="583"/>
      <c r="AL8167" s="583"/>
      <c r="AM8167" s="583"/>
      <c r="AN8167" s="583"/>
      <c r="AO8167" s="583"/>
      <c r="AP8167" s="583"/>
      <c r="AQ8167" s="583"/>
      <c r="AR8167" s="583"/>
      <c r="AS8167" s="583"/>
      <c r="AT8167" s="583"/>
      <c r="AU8167" s="583"/>
      <c r="AV8167" s="583"/>
      <c r="AW8167" s="583"/>
      <c r="AX8167" s="583"/>
      <c r="AY8167" s="583"/>
      <c r="AZ8167" s="583"/>
      <c r="BA8167" s="583"/>
      <c r="BB8167" s="583"/>
      <c r="BC8167" s="583"/>
      <c r="BD8167" s="583"/>
      <c r="BE8167" s="583"/>
      <c r="BF8167" s="583"/>
      <c r="BG8167" s="583"/>
      <c r="BH8167" s="583"/>
      <c r="BI8167" s="583"/>
      <c r="BJ8167" s="583"/>
      <c r="BK8167" s="583"/>
      <c r="BL8167" s="583"/>
      <c r="BM8167" s="583"/>
      <c r="BN8167" s="583"/>
      <c r="BO8167" s="583"/>
      <c r="BP8167" s="583"/>
      <c r="BQ8167" s="583"/>
      <c r="BR8167" s="583"/>
      <c r="BS8167" s="583"/>
      <c r="BT8167" s="583"/>
      <c r="BU8167" s="583"/>
      <c r="BV8167" s="583"/>
      <c r="BW8167" s="583"/>
      <c r="BX8167" s="583"/>
      <c r="BY8167" s="583"/>
      <c r="BZ8167" s="583"/>
      <c r="CA8167" s="583"/>
      <c r="CB8167" s="583"/>
      <c r="CC8167" s="583"/>
      <c r="CD8167" s="583"/>
      <c r="CE8167" s="583"/>
      <c r="CF8167" s="583"/>
      <c r="CG8167" s="583"/>
      <c r="CH8167" s="583"/>
      <c r="CI8167" s="583"/>
      <c r="CJ8167" s="583"/>
      <c r="CK8167" s="583"/>
      <c r="CL8167" s="583"/>
      <c r="CM8167" s="583"/>
      <c r="CN8167" s="583"/>
      <c r="CO8167" s="583"/>
      <c r="CP8167" s="583"/>
      <c r="CQ8167" s="583"/>
      <c r="CR8167" s="583"/>
      <c r="CS8167" s="583"/>
      <c r="CT8167" s="583"/>
      <c r="CU8167" s="583"/>
      <c r="CV8167" s="583"/>
      <c r="CW8167" s="583"/>
      <c r="CX8167" s="583"/>
      <c r="CY8167" s="583"/>
      <c r="CZ8167" s="583"/>
      <c r="DA8167" s="583"/>
      <c r="DB8167" s="583"/>
      <c r="DC8167" s="583"/>
      <c r="DD8167" s="583"/>
      <c r="DE8167" s="583"/>
      <c r="DF8167" s="583"/>
      <c r="DG8167" s="583"/>
      <c r="DH8167" s="583"/>
      <c r="DI8167" s="583"/>
      <c r="DJ8167" s="583"/>
      <c r="DK8167" s="583"/>
      <c r="DL8167" s="583"/>
      <c r="DM8167" s="583"/>
      <c r="DN8167" s="583"/>
      <c r="DO8167" s="583"/>
      <c r="DP8167" s="583"/>
      <c r="DQ8167" s="583"/>
      <c r="DR8167" s="583"/>
      <c r="DS8167" s="583"/>
      <c r="DT8167" s="583"/>
      <c r="DU8167" s="583"/>
      <c r="DV8167" s="583"/>
      <c r="DW8167" s="583"/>
      <c r="DX8167" s="583"/>
      <c r="DY8167" s="583"/>
      <c r="DZ8167" s="583"/>
      <c r="EA8167" s="583"/>
      <c r="EB8167" s="583"/>
      <c r="EC8167" s="583"/>
      <c r="ED8167" s="583"/>
      <c r="EE8167" s="583"/>
      <c r="EF8167" s="583"/>
      <c r="EG8167" s="583"/>
      <c r="EH8167" s="583"/>
      <c r="EI8167" s="583"/>
      <c r="EJ8167" s="583"/>
      <c r="EK8167" s="583"/>
      <c r="EL8167" s="583"/>
      <c r="EM8167" s="583"/>
      <c r="EN8167" s="583"/>
      <c r="EO8167" s="583"/>
      <c r="EP8167" s="583"/>
      <c r="EQ8167" s="583"/>
      <c r="ER8167" s="583"/>
      <c r="ES8167" s="583"/>
      <c r="ET8167" s="583"/>
      <c r="EU8167" s="583"/>
      <c r="EV8167" s="583"/>
      <c r="EW8167" s="583"/>
      <c r="EX8167" s="583"/>
      <c r="EY8167" s="583"/>
      <c r="EZ8167" s="583"/>
      <c r="FA8167" s="583"/>
      <c r="FB8167" s="583"/>
      <c r="FC8167" s="583"/>
      <c r="FD8167" s="583"/>
      <c r="FE8167" s="583"/>
      <c r="FF8167" s="583"/>
      <c r="FG8167" s="583"/>
      <c r="FH8167" s="583"/>
      <c r="FI8167" s="583"/>
      <c r="FJ8167" s="583"/>
      <c r="FK8167" s="583"/>
      <c r="FL8167" s="583"/>
      <c r="FM8167" s="583"/>
      <c r="FN8167" s="583"/>
      <c r="FO8167" s="583"/>
      <c r="FP8167" s="583"/>
      <c r="FQ8167" s="583"/>
      <c r="FR8167" s="583"/>
      <c r="FS8167" s="583"/>
      <c r="FT8167" s="583"/>
      <c r="FU8167" s="583"/>
      <c r="FV8167" s="583"/>
      <c r="FW8167" s="583"/>
      <c r="FX8167" s="583"/>
      <c r="FY8167" s="583"/>
      <c r="FZ8167" s="583"/>
      <c r="GA8167" s="583"/>
      <c r="GB8167" s="583"/>
      <c r="GC8167" s="583"/>
      <c r="GD8167" s="583"/>
      <c r="GE8167" s="583"/>
      <c r="GF8167" s="583"/>
      <c r="GG8167" s="583"/>
      <c r="GH8167" s="583"/>
      <c r="GI8167" s="583"/>
      <c r="GJ8167" s="583"/>
      <c r="GK8167" s="583"/>
      <c r="GL8167" s="583"/>
      <c r="GM8167" s="583"/>
      <c r="GN8167" s="583"/>
      <c r="GO8167" s="583"/>
      <c r="GP8167" s="583"/>
      <c r="GQ8167" s="583"/>
      <c r="GR8167" s="583"/>
      <c r="GS8167" s="583"/>
      <c r="GT8167" s="583"/>
      <c r="GU8167" s="583"/>
      <c r="GV8167" s="583"/>
      <c r="GW8167" s="583"/>
      <c r="GX8167" s="583"/>
      <c r="GY8167" s="583"/>
      <c r="GZ8167" s="583"/>
      <c r="HA8167" s="583"/>
      <c r="HB8167" s="583"/>
      <c r="HC8167" s="583"/>
      <c r="HD8167" s="583"/>
      <c r="HE8167" s="583"/>
      <c r="HF8167" s="583"/>
      <c r="HG8167" s="583"/>
      <c r="HH8167" s="583"/>
      <c r="HI8167" s="583"/>
      <c r="HJ8167" s="583"/>
      <c r="HK8167" s="583"/>
      <c r="HL8167" s="583"/>
      <c r="HM8167" s="583"/>
      <c r="HN8167" s="583"/>
      <c r="HO8167" s="583"/>
      <c r="HP8167" s="583"/>
      <c r="HQ8167" s="583"/>
      <c r="HR8167" s="583"/>
      <c r="HS8167" s="583"/>
      <c r="HT8167" s="583"/>
      <c r="HU8167" s="583"/>
      <c r="HV8167" s="583"/>
      <c r="HW8167" s="583"/>
      <c r="HX8167" s="583"/>
      <c r="HY8167" s="583"/>
      <c r="HZ8167" s="583"/>
      <c r="IA8167" s="583"/>
      <c r="IB8167" s="583"/>
      <c r="IC8167" s="583"/>
      <c r="ID8167" s="583"/>
      <c r="IE8167" s="583"/>
      <c r="IF8167" s="583"/>
      <c r="IG8167" s="583"/>
      <c r="IH8167" s="583"/>
      <c r="II8167" s="583"/>
      <c r="IJ8167" s="583"/>
      <c r="IK8167" s="583"/>
      <c r="IL8167" s="583"/>
      <c r="IM8167" s="583"/>
      <c r="IN8167" s="583"/>
      <c r="IO8167" s="583"/>
      <c r="IP8167" s="583"/>
      <c r="IQ8167" s="583"/>
      <c r="IR8167" s="583"/>
      <c r="IS8167" s="583"/>
      <c r="IT8167" s="583"/>
      <c r="IU8167" s="583"/>
      <c r="IV8167" s="583"/>
    </row>
    <row r="8168" spans="2:256">
      <c r="B8168" s="583"/>
      <c r="C8168" s="583"/>
      <c r="D8168" s="583"/>
      <c r="E8168" s="583"/>
      <c r="F8168" s="583"/>
      <c r="G8168" s="583"/>
      <c r="H8168" s="583"/>
      <c r="I8168" s="583"/>
      <c r="J8168" s="583"/>
      <c r="K8168" s="583"/>
      <c r="L8168" s="583"/>
      <c r="R8168" s="583"/>
      <c r="S8168" s="583"/>
      <c r="T8168" s="583"/>
      <c r="U8168" s="583"/>
      <c r="V8168" s="583"/>
      <c r="W8168" s="583"/>
      <c r="X8168" s="583"/>
      <c r="Y8168" s="583"/>
      <c r="Z8168" s="583"/>
      <c r="AA8168" s="583"/>
      <c r="AB8168" s="583"/>
      <c r="AC8168" s="583"/>
      <c r="AD8168" s="583"/>
      <c r="AE8168" s="583"/>
      <c r="AF8168" s="583"/>
      <c r="AG8168" s="583"/>
      <c r="AH8168" s="583"/>
      <c r="AI8168" s="583"/>
      <c r="AJ8168" s="583"/>
      <c r="AK8168" s="583"/>
      <c r="AL8168" s="583"/>
      <c r="AM8168" s="583"/>
      <c r="AN8168" s="583"/>
      <c r="AO8168" s="583"/>
      <c r="AP8168" s="583"/>
      <c r="AQ8168" s="583"/>
      <c r="AR8168" s="583"/>
      <c r="AS8168" s="583"/>
      <c r="AT8168" s="583"/>
      <c r="AU8168" s="583"/>
      <c r="AV8168" s="583"/>
      <c r="AW8168" s="583"/>
      <c r="AX8168" s="583"/>
      <c r="AY8168" s="583"/>
      <c r="AZ8168" s="583"/>
      <c r="BA8168" s="583"/>
      <c r="BB8168" s="583"/>
      <c r="BC8168" s="583"/>
      <c r="BD8168" s="583"/>
      <c r="BE8168" s="583"/>
      <c r="BF8168" s="583"/>
      <c r="BG8168" s="583"/>
      <c r="BH8168" s="583"/>
      <c r="BI8168" s="583"/>
      <c r="BJ8168" s="583"/>
      <c r="BK8168" s="583"/>
      <c r="BL8168" s="583"/>
      <c r="BM8168" s="583"/>
      <c r="BN8168" s="583"/>
      <c r="BO8168" s="583"/>
      <c r="BP8168" s="583"/>
      <c r="BQ8168" s="583"/>
      <c r="BR8168" s="583"/>
      <c r="BS8168" s="583"/>
      <c r="BT8168" s="583"/>
      <c r="BU8168" s="583"/>
      <c r="BV8168" s="583"/>
      <c r="BW8168" s="583"/>
      <c r="BX8168" s="583"/>
      <c r="BY8168" s="583"/>
      <c r="BZ8168" s="583"/>
      <c r="CA8168" s="583"/>
      <c r="CB8168" s="583"/>
      <c r="CC8168" s="583"/>
      <c r="CD8168" s="583"/>
      <c r="CE8168" s="583"/>
      <c r="CF8168" s="583"/>
      <c r="CG8168" s="583"/>
      <c r="CH8168" s="583"/>
      <c r="CI8168" s="583"/>
      <c r="CJ8168" s="583"/>
      <c r="CK8168" s="583"/>
      <c r="CL8168" s="583"/>
      <c r="CM8168" s="583"/>
      <c r="CN8168" s="583"/>
      <c r="CO8168" s="583"/>
      <c r="CP8168" s="583"/>
      <c r="CQ8168" s="583"/>
      <c r="CR8168" s="583"/>
      <c r="CS8168" s="583"/>
      <c r="CT8168" s="583"/>
      <c r="CU8168" s="583"/>
      <c r="CV8168" s="583"/>
      <c r="CW8168" s="583"/>
      <c r="CX8168" s="583"/>
      <c r="CY8168" s="583"/>
      <c r="CZ8168" s="583"/>
      <c r="DA8168" s="583"/>
      <c r="DB8168" s="583"/>
      <c r="DC8168" s="583"/>
      <c r="DD8168" s="583"/>
      <c r="DE8168" s="583"/>
      <c r="DF8168" s="583"/>
      <c r="DG8168" s="583"/>
      <c r="DH8168" s="583"/>
      <c r="DI8168" s="583"/>
      <c r="DJ8168" s="583"/>
      <c r="DK8168" s="583"/>
      <c r="DL8168" s="583"/>
      <c r="DM8168" s="583"/>
      <c r="DN8168" s="583"/>
      <c r="DO8168" s="583"/>
      <c r="DP8168" s="583"/>
      <c r="DQ8168" s="583"/>
      <c r="DR8168" s="583"/>
      <c r="DS8168" s="583"/>
      <c r="DT8168" s="583"/>
      <c r="DU8168" s="583"/>
      <c r="DV8168" s="583"/>
      <c r="DW8168" s="583"/>
      <c r="DX8168" s="583"/>
      <c r="DY8168" s="583"/>
      <c r="DZ8168" s="583"/>
      <c r="EA8168" s="583"/>
      <c r="EB8168" s="583"/>
      <c r="EC8168" s="583"/>
      <c r="ED8168" s="583"/>
      <c r="EE8168" s="583"/>
      <c r="EF8168" s="583"/>
      <c r="EG8168" s="583"/>
      <c r="EH8168" s="583"/>
      <c r="EI8168" s="583"/>
      <c r="EJ8168" s="583"/>
      <c r="EK8168" s="583"/>
      <c r="EL8168" s="583"/>
      <c r="EM8168" s="583"/>
      <c r="EN8168" s="583"/>
      <c r="EO8168" s="583"/>
      <c r="EP8168" s="583"/>
      <c r="EQ8168" s="583"/>
      <c r="ER8168" s="583"/>
      <c r="ES8168" s="583"/>
      <c r="ET8168" s="583"/>
      <c r="EU8168" s="583"/>
      <c r="EV8168" s="583"/>
      <c r="EW8168" s="583"/>
      <c r="EX8168" s="583"/>
      <c r="EY8168" s="583"/>
      <c r="EZ8168" s="583"/>
      <c r="FA8168" s="583"/>
      <c r="FB8168" s="583"/>
      <c r="FC8168" s="583"/>
      <c r="FD8168" s="583"/>
      <c r="FE8168" s="583"/>
      <c r="FF8168" s="583"/>
      <c r="FG8168" s="583"/>
      <c r="FH8168" s="583"/>
      <c r="FI8168" s="583"/>
      <c r="FJ8168" s="583"/>
      <c r="FK8168" s="583"/>
      <c r="FL8168" s="583"/>
      <c r="FM8168" s="583"/>
      <c r="FN8168" s="583"/>
      <c r="FO8168" s="583"/>
      <c r="FP8168" s="583"/>
      <c r="FQ8168" s="583"/>
      <c r="FR8168" s="583"/>
      <c r="FS8168" s="583"/>
      <c r="FT8168" s="583"/>
      <c r="FU8168" s="583"/>
      <c r="FV8168" s="583"/>
      <c r="FW8168" s="583"/>
      <c r="FX8168" s="583"/>
      <c r="FY8168" s="583"/>
      <c r="FZ8168" s="583"/>
      <c r="GA8168" s="583"/>
      <c r="GB8168" s="583"/>
      <c r="GC8168" s="583"/>
      <c r="GD8168" s="583"/>
      <c r="GE8168" s="583"/>
      <c r="GF8168" s="583"/>
      <c r="GG8168" s="583"/>
      <c r="GH8168" s="583"/>
      <c r="GI8168" s="583"/>
      <c r="GJ8168" s="583"/>
      <c r="GK8168" s="583"/>
      <c r="GL8168" s="583"/>
      <c r="GM8168" s="583"/>
      <c r="GN8168" s="583"/>
      <c r="GO8168" s="583"/>
      <c r="GP8168" s="583"/>
      <c r="GQ8168" s="583"/>
      <c r="GR8168" s="583"/>
      <c r="GS8168" s="583"/>
      <c r="GT8168" s="583"/>
      <c r="GU8168" s="583"/>
      <c r="GV8168" s="583"/>
      <c r="GW8168" s="583"/>
      <c r="GX8168" s="583"/>
      <c r="GY8168" s="583"/>
      <c r="GZ8168" s="583"/>
      <c r="HA8168" s="583"/>
      <c r="HB8168" s="583"/>
      <c r="HC8168" s="583"/>
      <c r="HD8168" s="583"/>
      <c r="HE8168" s="583"/>
      <c r="HF8168" s="583"/>
      <c r="HG8168" s="583"/>
      <c r="HH8168" s="583"/>
      <c r="HI8168" s="583"/>
      <c r="HJ8168" s="583"/>
      <c r="HK8168" s="583"/>
      <c r="HL8168" s="583"/>
      <c r="HM8168" s="583"/>
      <c r="HN8168" s="583"/>
      <c r="HO8168" s="583"/>
      <c r="HP8168" s="583"/>
      <c r="HQ8168" s="583"/>
      <c r="HR8168" s="583"/>
      <c r="HS8168" s="583"/>
      <c r="HT8168" s="583"/>
      <c r="HU8168" s="583"/>
      <c r="HV8168" s="583"/>
      <c r="HW8168" s="583"/>
      <c r="HX8168" s="583"/>
      <c r="HY8168" s="583"/>
      <c r="HZ8168" s="583"/>
      <c r="IA8168" s="583"/>
      <c r="IB8168" s="583"/>
      <c r="IC8168" s="583"/>
      <c r="ID8168" s="583"/>
      <c r="IE8168" s="583"/>
      <c r="IF8168" s="583"/>
      <c r="IG8168" s="583"/>
      <c r="IH8168" s="583"/>
      <c r="II8168" s="583"/>
      <c r="IJ8168" s="583"/>
      <c r="IK8168" s="583"/>
      <c r="IL8168" s="583"/>
      <c r="IM8168" s="583"/>
      <c r="IN8168" s="583"/>
      <c r="IO8168" s="583"/>
      <c r="IP8168" s="583"/>
      <c r="IQ8168" s="583"/>
      <c r="IR8168" s="583"/>
      <c r="IS8168" s="583"/>
      <c r="IT8168" s="583"/>
      <c r="IU8168" s="583"/>
      <c r="IV8168" s="583"/>
    </row>
    <row r="8169" spans="2:256">
      <c r="B8169" s="583"/>
      <c r="C8169" s="583"/>
      <c r="D8169" s="583"/>
      <c r="E8169" s="583"/>
      <c r="F8169" s="583"/>
      <c r="G8169" s="583"/>
      <c r="H8169" s="583"/>
      <c r="I8169" s="583"/>
      <c r="J8169" s="583"/>
      <c r="K8169" s="583"/>
      <c r="L8169" s="583"/>
      <c r="R8169" s="583"/>
      <c r="S8169" s="583"/>
      <c r="T8169" s="583"/>
      <c r="U8169" s="583"/>
      <c r="V8169" s="583"/>
      <c r="W8169" s="583"/>
      <c r="X8169" s="583"/>
      <c r="Y8169" s="583"/>
      <c r="Z8169" s="583"/>
      <c r="AA8169" s="583"/>
      <c r="AB8169" s="583"/>
      <c r="AC8169" s="583"/>
      <c r="AD8169" s="583"/>
      <c r="AE8169" s="583"/>
      <c r="AF8169" s="583"/>
      <c r="AG8169" s="583"/>
      <c r="AH8169" s="583"/>
      <c r="AI8169" s="583"/>
      <c r="AJ8169" s="583"/>
      <c r="AK8169" s="583"/>
      <c r="AL8169" s="583"/>
      <c r="AM8169" s="583"/>
      <c r="AN8169" s="583"/>
      <c r="AO8169" s="583"/>
      <c r="AP8169" s="583"/>
      <c r="AQ8169" s="583"/>
      <c r="AR8169" s="583"/>
      <c r="AS8169" s="583"/>
      <c r="AT8169" s="583"/>
      <c r="AU8169" s="583"/>
      <c r="AV8169" s="583"/>
      <c r="AW8169" s="583"/>
      <c r="AX8169" s="583"/>
      <c r="AY8169" s="583"/>
      <c r="AZ8169" s="583"/>
      <c r="BA8169" s="583"/>
      <c r="BB8169" s="583"/>
      <c r="BC8169" s="583"/>
      <c r="BD8169" s="583"/>
      <c r="BE8169" s="583"/>
      <c r="BF8169" s="583"/>
      <c r="BG8169" s="583"/>
      <c r="BH8169" s="583"/>
      <c r="BI8169" s="583"/>
      <c r="BJ8169" s="583"/>
      <c r="BK8169" s="583"/>
      <c r="BL8169" s="583"/>
      <c r="BM8169" s="583"/>
      <c r="BN8169" s="583"/>
      <c r="BO8169" s="583"/>
      <c r="BP8169" s="583"/>
      <c r="BQ8169" s="583"/>
      <c r="BR8169" s="583"/>
      <c r="BS8169" s="583"/>
      <c r="BT8169" s="583"/>
      <c r="BU8169" s="583"/>
      <c r="BV8169" s="583"/>
      <c r="BW8169" s="583"/>
      <c r="BX8169" s="583"/>
      <c r="BY8169" s="583"/>
      <c r="BZ8169" s="583"/>
      <c r="CA8169" s="583"/>
      <c r="CB8169" s="583"/>
      <c r="CC8169" s="583"/>
      <c r="CD8169" s="583"/>
      <c r="CE8169" s="583"/>
      <c r="CF8169" s="583"/>
      <c r="CG8169" s="583"/>
      <c r="CH8169" s="583"/>
      <c r="CI8169" s="583"/>
      <c r="CJ8169" s="583"/>
      <c r="CK8169" s="583"/>
      <c r="CL8169" s="583"/>
      <c r="CM8169" s="583"/>
      <c r="CN8169" s="583"/>
      <c r="CO8169" s="583"/>
      <c r="CP8169" s="583"/>
      <c r="CQ8169" s="583"/>
      <c r="CR8169" s="583"/>
      <c r="CS8169" s="583"/>
      <c r="CT8169" s="583"/>
      <c r="CU8169" s="583"/>
      <c r="CV8169" s="583"/>
      <c r="CW8169" s="583"/>
      <c r="CX8169" s="583"/>
      <c r="CY8169" s="583"/>
      <c r="CZ8169" s="583"/>
      <c r="DA8169" s="583"/>
      <c r="DB8169" s="583"/>
      <c r="DC8169" s="583"/>
      <c r="DD8169" s="583"/>
      <c r="DE8169" s="583"/>
      <c r="DF8169" s="583"/>
      <c r="DG8169" s="583"/>
      <c r="DH8169" s="583"/>
      <c r="DI8169" s="583"/>
      <c r="DJ8169" s="583"/>
      <c r="DK8169" s="583"/>
      <c r="DL8169" s="583"/>
      <c r="DM8169" s="583"/>
      <c r="DN8169" s="583"/>
      <c r="DO8169" s="583"/>
      <c r="DP8169" s="583"/>
      <c r="DQ8169" s="583"/>
      <c r="DR8169" s="583"/>
      <c r="DS8169" s="583"/>
      <c r="DT8169" s="583"/>
      <c r="DU8169" s="583"/>
      <c r="DV8169" s="583"/>
      <c r="DW8169" s="583"/>
      <c r="DX8169" s="583"/>
      <c r="DY8169" s="583"/>
      <c r="DZ8169" s="583"/>
      <c r="EA8169" s="583"/>
      <c r="EB8169" s="583"/>
      <c r="EC8169" s="583"/>
      <c r="ED8169" s="583"/>
      <c r="EE8169" s="583"/>
      <c r="EF8169" s="583"/>
      <c r="EG8169" s="583"/>
      <c r="EH8169" s="583"/>
      <c r="EI8169" s="583"/>
      <c r="EJ8169" s="583"/>
      <c r="EK8169" s="583"/>
      <c r="EL8169" s="583"/>
      <c r="EM8169" s="583"/>
      <c r="EN8169" s="583"/>
      <c r="EO8169" s="583"/>
      <c r="EP8169" s="583"/>
      <c r="EQ8169" s="583"/>
      <c r="ER8169" s="583"/>
      <c r="ES8169" s="583"/>
      <c r="ET8169" s="583"/>
      <c r="EU8169" s="583"/>
      <c r="EV8169" s="583"/>
      <c r="EW8169" s="583"/>
      <c r="EX8169" s="583"/>
      <c r="EY8169" s="583"/>
      <c r="EZ8169" s="583"/>
      <c r="FA8169" s="583"/>
      <c r="FB8169" s="583"/>
      <c r="FC8169" s="583"/>
      <c r="FD8169" s="583"/>
      <c r="FE8169" s="583"/>
      <c r="FF8169" s="583"/>
      <c r="FG8169" s="583"/>
      <c r="FH8169" s="583"/>
      <c r="FI8169" s="583"/>
      <c r="FJ8169" s="583"/>
      <c r="FK8169" s="583"/>
      <c r="FL8169" s="583"/>
      <c r="FM8169" s="583"/>
      <c r="FN8169" s="583"/>
      <c r="FO8169" s="583"/>
      <c r="FP8169" s="583"/>
      <c r="FQ8169" s="583"/>
      <c r="FR8169" s="583"/>
      <c r="FS8169" s="583"/>
      <c r="FT8169" s="583"/>
      <c r="FU8169" s="583"/>
      <c r="FV8169" s="583"/>
      <c r="FW8169" s="583"/>
      <c r="FX8169" s="583"/>
      <c r="FY8169" s="583"/>
      <c r="FZ8169" s="583"/>
      <c r="GA8169" s="583"/>
      <c r="GB8169" s="583"/>
      <c r="GC8169" s="583"/>
      <c r="GD8169" s="583"/>
      <c r="GE8169" s="583"/>
      <c r="GF8169" s="583"/>
      <c r="GG8169" s="583"/>
      <c r="GH8169" s="583"/>
      <c r="GI8169" s="583"/>
      <c r="GJ8169" s="583"/>
      <c r="GK8169" s="583"/>
      <c r="GL8169" s="583"/>
      <c r="GM8169" s="583"/>
      <c r="GN8169" s="583"/>
      <c r="GO8169" s="583"/>
      <c r="GP8169" s="583"/>
      <c r="GQ8169" s="583"/>
      <c r="GR8169" s="583"/>
      <c r="GS8169" s="583"/>
      <c r="GT8169" s="583"/>
      <c r="GU8169" s="583"/>
      <c r="GV8169" s="583"/>
      <c r="GW8169" s="583"/>
      <c r="GX8169" s="583"/>
      <c r="GY8169" s="583"/>
      <c r="GZ8169" s="583"/>
      <c r="HA8169" s="583"/>
      <c r="HB8169" s="583"/>
      <c r="HC8169" s="583"/>
      <c r="HD8169" s="583"/>
      <c r="HE8169" s="583"/>
      <c r="HF8169" s="583"/>
      <c r="HG8169" s="583"/>
      <c r="HH8169" s="583"/>
      <c r="HI8169" s="583"/>
      <c r="HJ8169" s="583"/>
      <c r="HK8169" s="583"/>
      <c r="HL8169" s="583"/>
      <c r="HM8169" s="583"/>
      <c r="HN8169" s="583"/>
      <c r="HO8169" s="583"/>
      <c r="HP8169" s="583"/>
      <c r="HQ8169" s="583"/>
      <c r="HR8169" s="583"/>
      <c r="HS8169" s="583"/>
      <c r="HT8169" s="583"/>
      <c r="HU8169" s="583"/>
      <c r="HV8169" s="583"/>
      <c r="HW8169" s="583"/>
      <c r="HX8169" s="583"/>
      <c r="HY8169" s="583"/>
      <c r="HZ8169" s="583"/>
      <c r="IA8169" s="583"/>
      <c r="IB8169" s="583"/>
      <c r="IC8169" s="583"/>
      <c r="ID8169" s="583"/>
      <c r="IE8169" s="583"/>
      <c r="IF8169" s="583"/>
      <c r="IG8169" s="583"/>
      <c r="IH8169" s="583"/>
      <c r="II8169" s="583"/>
      <c r="IJ8169" s="583"/>
      <c r="IK8169" s="583"/>
      <c r="IL8169" s="583"/>
      <c r="IM8169" s="583"/>
      <c r="IN8169" s="583"/>
      <c r="IO8169" s="583"/>
      <c r="IP8169" s="583"/>
      <c r="IQ8169" s="583"/>
      <c r="IR8169" s="583"/>
      <c r="IS8169" s="583"/>
      <c r="IT8169" s="583"/>
      <c r="IU8169" s="583"/>
      <c r="IV8169" s="583"/>
    </row>
    <row r="8170" spans="2:256">
      <c r="B8170" s="583"/>
      <c r="C8170" s="583"/>
      <c r="D8170" s="583"/>
      <c r="E8170" s="583"/>
      <c r="F8170" s="583"/>
      <c r="G8170" s="583"/>
      <c r="H8170" s="583"/>
      <c r="I8170" s="583"/>
      <c r="J8170" s="583"/>
      <c r="K8170" s="583"/>
      <c r="L8170" s="583"/>
      <c r="R8170" s="583"/>
      <c r="S8170" s="583"/>
      <c r="T8170" s="583"/>
      <c r="U8170" s="583"/>
      <c r="V8170" s="583"/>
      <c r="W8170" s="583"/>
      <c r="X8170" s="583"/>
      <c r="Y8170" s="583"/>
      <c r="Z8170" s="583"/>
      <c r="AA8170" s="583"/>
      <c r="AB8170" s="583"/>
      <c r="AC8170" s="583"/>
      <c r="AD8170" s="583"/>
      <c r="AE8170" s="583"/>
      <c r="AF8170" s="583"/>
      <c r="AG8170" s="583"/>
      <c r="AH8170" s="583"/>
      <c r="AI8170" s="583"/>
      <c r="AJ8170" s="583"/>
      <c r="AK8170" s="583"/>
      <c r="AL8170" s="583"/>
      <c r="AM8170" s="583"/>
      <c r="AN8170" s="583"/>
      <c r="AO8170" s="583"/>
      <c r="AP8170" s="583"/>
      <c r="AQ8170" s="583"/>
      <c r="AR8170" s="583"/>
      <c r="AS8170" s="583"/>
      <c r="AT8170" s="583"/>
      <c r="AU8170" s="583"/>
      <c r="AV8170" s="583"/>
      <c r="AW8170" s="583"/>
      <c r="AX8170" s="583"/>
      <c r="AY8170" s="583"/>
      <c r="AZ8170" s="583"/>
      <c r="BA8170" s="583"/>
      <c r="BB8170" s="583"/>
      <c r="BC8170" s="583"/>
      <c r="BD8170" s="583"/>
      <c r="BE8170" s="583"/>
      <c r="BF8170" s="583"/>
      <c r="BG8170" s="583"/>
      <c r="BH8170" s="583"/>
      <c r="BI8170" s="583"/>
      <c r="BJ8170" s="583"/>
      <c r="BK8170" s="583"/>
      <c r="BL8170" s="583"/>
      <c r="BM8170" s="583"/>
      <c r="BN8170" s="583"/>
      <c r="BO8170" s="583"/>
      <c r="BP8170" s="583"/>
      <c r="BQ8170" s="583"/>
      <c r="BR8170" s="583"/>
      <c r="BS8170" s="583"/>
      <c r="BT8170" s="583"/>
      <c r="BU8170" s="583"/>
      <c r="BV8170" s="583"/>
      <c r="BW8170" s="583"/>
      <c r="BX8170" s="583"/>
      <c r="BY8170" s="583"/>
      <c r="BZ8170" s="583"/>
      <c r="CA8170" s="583"/>
      <c r="CB8170" s="583"/>
      <c r="CC8170" s="583"/>
      <c r="CD8170" s="583"/>
      <c r="CE8170" s="583"/>
      <c r="CF8170" s="583"/>
      <c r="CG8170" s="583"/>
      <c r="CH8170" s="583"/>
      <c r="CI8170" s="583"/>
      <c r="CJ8170" s="583"/>
      <c r="CK8170" s="583"/>
      <c r="CL8170" s="583"/>
      <c r="CM8170" s="583"/>
      <c r="CN8170" s="583"/>
      <c r="CO8170" s="583"/>
      <c r="CP8170" s="583"/>
      <c r="CQ8170" s="583"/>
      <c r="CR8170" s="583"/>
      <c r="CS8170" s="583"/>
      <c r="CT8170" s="583"/>
      <c r="CU8170" s="583"/>
      <c r="CV8170" s="583"/>
      <c r="CW8170" s="583"/>
      <c r="CX8170" s="583"/>
      <c r="CY8170" s="583"/>
      <c r="CZ8170" s="583"/>
      <c r="DA8170" s="583"/>
      <c r="DB8170" s="583"/>
      <c r="DC8170" s="583"/>
      <c r="DD8170" s="583"/>
      <c r="DE8170" s="583"/>
      <c r="DF8170" s="583"/>
      <c r="DG8170" s="583"/>
      <c r="DH8170" s="583"/>
      <c r="DI8170" s="583"/>
      <c r="DJ8170" s="583"/>
      <c r="DK8170" s="583"/>
      <c r="DL8170" s="583"/>
      <c r="DM8170" s="583"/>
      <c r="DN8170" s="583"/>
      <c r="DO8170" s="583"/>
      <c r="DP8170" s="583"/>
      <c r="DQ8170" s="583"/>
      <c r="DR8170" s="583"/>
      <c r="DS8170" s="583"/>
      <c r="DT8170" s="583"/>
      <c r="DU8170" s="583"/>
      <c r="DV8170" s="583"/>
      <c r="DW8170" s="583"/>
      <c r="DX8170" s="583"/>
      <c r="DY8170" s="583"/>
      <c r="DZ8170" s="583"/>
      <c r="EA8170" s="583"/>
      <c r="EB8170" s="583"/>
      <c r="EC8170" s="583"/>
      <c r="ED8170" s="583"/>
      <c r="EE8170" s="583"/>
      <c r="EF8170" s="583"/>
      <c r="EG8170" s="583"/>
      <c r="EH8170" s="583"/>
      <c r="EI8170" s="583"/>
      <c r="EJ8170" s="583"/>
      <c r="EK8170" s="583"/>
      <c r="EL8170" s="583"/>
      <c r="EM8170" s="583"/>
      <c r="EN8170" s="583"/>
      <c r="EO8170" s="583"/>
      <c r="EP8170" s="583"/>
      <c r="EQ8170" s="583"/>
      <c r="ER8170" s="583"/>
      <c r="ES8170" s="583"/>
      <c r="ET8170" s="583"/>
      <c r="EU8170" s="583"/>
      <c r="EV8170" s="583"/>
      <c r="EW8170" s="583"/>
      <c r="EX8170" s="583"/>
      <c r="EY8170" s="583"/>
      <c r="EZ8170" s="583"/>
      <c r="FA8170" s="583"/>
      <c r="FB8170" s="583"/>
      <c r="FC8170" s="583"/>
      <c r="FD8170" s="583"/>
      <c r="FE8170" s="583"/>
      <c r="FF8170" s="583"/>
      <c r="FG8170" s="583"/>
      <c r="FH8170" s="583"/>
      <c r="FI8170" s="583"/>
      <c r="FJ8170" s="583"/>
      <c r="FK8170" s="583"/>
      <c r="FL8170" s="583"/>
      <c r="FM8170" s="583"/>
      <c r="FN8170" s="583"/>
      <c r="FO8170" s="583"/>
      <c r="FP8170" s="583"/>
      <c r="FQ8170" s="583"/>
      <c r="FR8170" s="583"/>
      <c r="FS8170" s="583"/>
      <c r="FT8170" s="583"/>
      <c r="FU8170" s="583"/>
      <c r="FV8170" s="583"/>
      <c r="FW8170" s="583"/>
      <c r="FX8170" s="583"/>
      <c r="FY8170" s="583"/>
      <c r="FZ8170" s="583"/>
      <c r="GA8170" s="583"/>
      <c r="GB8170" s="583"/>
      <c r="GC8170" s="583"/>
      <c r="GD8170" s="583"/>
      <c r="GE8170" s="583"/>
      <c r="GF8170" s="583"/>
      <c r="GG8170" s="583"/>
      <c r="GH8170" s="583"/>
      <c r="GI8170" s="583"/>
      <c r="GJ8170" s="583"/>
      <c r="GK8170" s="583"/>
      <c r="GL8170" s="583"/>
      <c r="GM8170" s="583"/>
      <c r="GN8170" s="583"/>
      <c r="GO8170" s="583"/>
      <c r="GP8170" s="583"/>
      <c r="GQ8170" s="583"/>
      <c r="GR8170" s="583"/>
      <c r="GS8170" s="583"/>
      <c r="GT8170" s="583"/>
      <c r="GU8170" s="583"/>
      <c r="GV8170" s="583"/>
      <c r="GW8170" s="583"/>
      <c r="GX8170" s="583"/>
      <c r="GY8170" s="583"/>
      <c r="GZ8170" s="583"/>
      <c r="HA8170" s="583"/>
      <c r="HB8170" s="583"/>
      <c r="HC8170" s="583"/>
      <c r="HD8170" s="583"/>
      <c r="HE8170" s="583"/>
      <c r="HF8170" s="583"/>
      <c r="HG8170" s="583"/>
      <c r="HH8170" s="583"/>
      <c r="HI8170" s="583"/>
      <c r="HJ8170" s="583"/>
      <c r="HK8170" s="583"/>
      <c r="HL8170" s="583"/>
      <c r="HM8170" s="583"/>
      <c r="HN8170" s="583"/>
      <c r="HO8170" s="583"/>
      <c r="HP8170" s="583"/>
      <c r="HQ8170" s="583"/>
      <c r="HR8170" s="583"/>
      <c r="HS8170" s="583"/>
      <c r="HT8170" s="583"/>
      <c r="HU8170" s="583"/>
      <c r="HV8170" s="583"/>
      <c r="HW8170" s="583"/>
      <c r="HX8170" s="583"/>
      <c r="HY8170" s="583"/>
      <c r="HZ8170" s="583"/>
      <c r="IA8170" s="583"/>
      <c r="IB8170" s="583"/>
      <c r="IC8170" s="583"/>
      <c r="ID8170" s="583"/>
      <c r="IE8170" s="583"/>
      <c r="IF8170" s="583"/>
      <c r="IG8170" s="583"/>
      <c r="IH8170" s="583"/>
      <c r="II8170" s="583"/>
      <c r="IJ8170" s="583"/>
      <c r="IK8170" s="583"/>
      <c r="IL8170" s="583"/>
      <c r="IM8170" s="583"/>
      <c r="IN8170" s="583"/>
      <c r="IO8170" s="583"/>
      <c r="IP8170" s="583"/>
      <c r="IQ8170" s="583"/>
      <c r="IR8170" s="583"/>
      <c r="IS8170" s="583"/>
      <c r="IT8170" s="583"/>
      <c r="IU8170" s="583"/>
      <c r="IV8170" s="583"/>
    </row>
    <row r="8171" spans="2:256">
      <c r="B8171" s="583"/>
      <c r="C8171" s="583"/>
      <c r="D8171" s="583"/>
      <c r="E8171" s="583"/>
      <c r="F8171" s="583"/>
      <c r="G8171" s="583"/>
      <c r="H8171" s="583"/>
      <c r="I8171" s="583"/>
      <c r="J8171" s="583"/>
      <c r="K8171" s="583"/>
      <c r="L8171" s="583"/>
      <c r="R8171" s="583"/>
      <c r="S8171" s="583"/>
      <c r="T8171" s="583"/>
      <c r="U8171" s="583"/>
      <c r="V8171" s="583"/>
      <c r="W8171" s="583"/>
      <c r="X8171" s="583"/>
      <c r="Y8171" s="583"/>
      <c r="Z8171" s="583"/>
      <c r="AA8171" s="583"/>
      <c r="AB8171" s="583"/>
      <c r="AC8171" s="583"/>
      <c r="AD8171" s="583"/>
      <c r="AE8171" s="583"/>
      <c r="AF8171" s="583"/>
      <c r="AG8171" s="583"/>
      <c r="AH8171" s="583"/>
      <c r="AI8171" s="583"/>
      <c r="AJ8171" s="583"/>
      <c r="AK8171" s="583"/>
      <c r="AL8171" s="583"/>
      <c r="AM8171" s="583"/>
      <c r="AN8171" s="583"/>
      <c r="AO8171" s="583"/>
      <c r="AP8171" s="583"/>
      <c r="AQ8171" s="583"/>
      <c r="AR8171" s="583"/>
      <c r="AS8171" s="583"/>
      <c r="AT8171" s="583"/>
      <c r="AU8171" s="583"/>
      <c r="AV8171" s="583"/>
      <c r="AW8171" s="583"/>
      <c r="AX8171" s="583"/>
      <c r="AY8171" s="583"/>
      <c r="AZ8171" s="583"/>
      <c r="BA8171" s="583"/>
      <c r="BB8171" s="583"/>
      <c r="BC8171" s="583"/>
      <c r="BD8171" s="583"/>
      <c r="BE8171" s="583"/>
      <c r="BF8171" s="583"/>
      <c r="BG8171" s="583"/>
      <c r="BH8171" s="583"/>
      <c r="BI8171" s="583"/>
      <c r="BJ8171" s="583"/>
      <c r="BK8171" s="583"/>
      <c r="BL8171" s="583"/>
      <c r="BM8171" s="583"/>
      <c r="BN8171" s="583"/>
      <c r="BO8171" s="583"/>
      <c r="BP8171" s="583"/>
      <c r="BQ8171" s="583"/>
      <c r="BR8171" s="583"/>
      <c r="BS8171" s="583"/>
      <c r="BT8171" s="583"/>
      <c r="BU8171" s="583"/>
      <c r="BV8171" s="583"/>
      <c r="BW8171" s="583"/>
      <c r="BX8171" s="583"/>
      <c r="BY8171" s="583"/>
      <c r="BZ8171" s="583"/>
      <c r="CA8171" s="583"/>
      <c r="CB8171" s="583"/>
      <c r="CC8171" s="583"/>
      <c r="CD8171" s="583"/>
      <c r="CE8171" s="583"/>
      <c r="CF8171" s="583"/>
      <c r="CG8171" s="583"/>
      <c r="CH8171" s="583"/>
      <c r="CI8171" s="583"/>
      <c r="CJ8171" s="583"/>
      <c r="CK8171" s="583"/>
      <c r="CL8171" s="583"/>
      <c r="CM8171" s="583"/>
      <c r="CN8171" s="583"/>
      <c r="CO8171" s="583"/>
      <c r="CP8171" s="583"/>
      <c r="CQ8171" s="583"/>
      <c r="CR8171" s="583"/>
      <c r="CS8171" s="583"/>
      <c r="CT8171" s="583"/>
      <c r="CU8171" s="583"/>
      <c r="CV8171" s="583"/>
      <c r="CW8171" s="583"/>
      <c r="CX8171" s="583"/>
      <c r="CY8171" s="583"/>
      <c r="CZ8171" s="583"/>
      <c r="DA8171" s="583"/>
      <c r="DB8171" s="583"/>
      <c r="DC8171" s="583"/>
      <c r="DD8171" s="583"/>
      <c r="DE8171" s="583"/>
      <c r="DF8171" s="583"/>
      <c r="DG8171" s="583"/>
      <c r="DH8171" s="583"/>
      <c r="DI8171" s="583"/>
      <c r="DJ8171" s="583"/>
      <c r="DK8171" s="583"/>
      <c r="DL8171" s="583"/>
      <c r="DM8171" s="583"/>
      <c r="DN8171" s="583"/>
      <c r="DO8171" s="583"/>
      <c r="DP8171" s="583"/>
      <c r="DQ8171" s="583"/>
      <c r="DR8171" s="583"/>
      <c r="DS8171" s="583"/>
      <c r="DT8171" s="583"/>
      <c r="DU8171" s="583"/>
      <c r="DV8171" s="583"/>
      <c r="DW8171" s="583"/>
      <c r="DX8171" s="583"/>
      <c r="DY8171" s="583"/>
      <c r="DZ8171" s="583"/>
      <c r="EA8171" s="583"/>
      <c r="EB8171" s="583"/>
      <c r="EC8171" s="583"/>
      <c r="ED8171" s="583"/>
      <c r="EE8171" s="583"/>
      <c r="EF8171" s="583"/>
      <c r="EG8171" s="583"/>
      <c r="EH8171" s="583"/>
      <c r="EI8171" s="583"/>
      <c r="EJ8171" s="583"/>
      <c r="EK8171" s="583"/>
      <c r="EL8171" s="583"/>
      <c r="EM8171" s="583"/>
      <c r="EN8171" s="583"/>
      <c r="EO8171" s="583"/>
      <c r="EP8171" s="583"/>
      <c r="EQ8171" s="583"/>
      <c r="ER8171" s="583"/>
      <c r="ES8171" s="583"/>
      <c r="ET8171" s="583"/>
      <c r="EU8171" s="583"/>
      <c r="EV8171" s="583"/>
      <c r="EW8171" s="583"/>
      <c r="EX8171" s="583"/>
      <c r="EY8171" s="583"/>
      <c r="EZ8171" s="583"/>
      <c r="FA8171" s="583"/>
      <c r="FB8171" s="583"/>
      <c r="FC8171" s="583"/>
      <c r="FD8171" s="583"/>
      <c r="FE8171" s="583"/>
      <c r="FF8171" s="583"/>
      <c r="FG8171" s="583"/>
      <c r="FH8171" s="583"/>
      <c r="FI8171" s="583"/>
      <c r="FJ8171" s="583"/>
      <c r="FK8171" s="583"/>
      <c r="FL8171" s="583"/>
      <c r="FM8171" s="583"/>
      <c r="FN8171" s="583"/>
      <c r="FO8171" s="583"/>
      <c r="FP8171" s="583"/>
      <c r="FQ8171" s="583"/>
      <c r="FR8171" s="583"/>
      <c r="FS8171" s="583"/>
      <c r="FT8171" s="583"/>
      <c r="FU8171" s="583"/>
      <c r="FV8171" s="583"/>
      <c r="FW8171" s="583"/>
      <c r="FX8171" s="583"/>
      <c r="FY8171" s="583"/>
      <c r="FZ8171" s="583"/>
      <c r="GA8171" s="583"/>
      <c r="GB8171" s="583"/>
      <c r="GC8171" s="583"/>
      <c r="GD8171" s="583"/>
      <c r="GE8171" s="583"/>
      <c r="GF8171" s="583"/>
      <c r="GG8171" s="583"/>
      <c r="GH8171" s="583"/>
      <c r="GI8171" s="583"/>
      <c r="GJ8171" s="583"/>
      <c r="GK8171" s="583"/>
      <c r="GL8171" s="583"/>
      <c r="GM8171" s="583"/>
      <c r="GN8171" s="583"/>
      <c r="GO8171" s="583"/>
      <c r="GP8171" s="583"/>
      <c r="GQ8171" s="583"/>
      <c r="GR8171" s="583"/>
      <c r="GS8171" s="583"/>
      <c r="GT8171" s="583"/>
      <c r="GU8171" s="583"/>
      <c r="GV8171" s="583"/>
      <c r="GW8171" s="583"/>
      <c r="GX8171" s="583"/>
      <c r="GY8171" s="583"/>
      <c r="GZ8171" s="583"/>
      <c r="HA8171" s="583"/>
      <c r="HB8171" s="583"/>
      <c r="HC8171" s="583"/>
      <c r="HD8171" s="583"/>
      <c r="HE8171" s="583"/>
      <c r="HF8171" s="583"/>
      <c r="HG8171" s="583"/>
      <c r="HH8171" s="583"/>
      <c r="HI8171" s="583"/>
      <c r="HJ8171" s="583"/>
      <c r="HK8171" s="583"/>
      <c r="HL8171" s="583"/>
      <c r="HM8171" s="583"/>
      <c r="HN8171" s="583"/>
      <c r="HO8171" s="583"/>
      <c r="HP8171" s="583"/>
      <c r="HQ8171" s="583"/>
      <c r="HR8171" s="583"/>
      <c r="HS8171" s="583"/>
      <c r="HT8171" s="583"/>
      <c r="HU8171" s="583"/>
      <c r="HV8171" s="583"/>
      <c r="HW8171" s="583"/>
      <c r="HX8171" s="583"/>
      <c r="HY8171" s="583"/>
      <c r="HZ8171" s="583"/>
      <c r="IA8171" s="583"/>
      <c r="IB8171" s="583"/>
      <c r="IC8171" s="583"/>
      <c r="ID8171" s="583"/>
      <c r="IE8171" s="583"/>
      <c r="IF8171" s="583"/>
      <c r="IG8171" s="583"/>
      <c r="IH8171" s="583"/>
      <c r="II8171" s="583"/>
      <c r="IJ8171" s="583"/>
      <c r="IK8171" s="583"/>
      <c r="IL8171" s="583"/>
      <c r="IM8171" s="583"/>
      <c r="IN8171" s="583"/>
      <c r="IO8171" s="583"/>
      <c r="IP8171" s="583"/>
      <c r="IQ8171" s="583"/>
      <c r="IR8171" s="583"/>
      <c r="IS8171" s="583"/>
      <c r="IT8171" s="583"/>
      <c r="IU8171" s="583"/>
      <c r="IV8171" s="583"/>
    </row>
    <row r="8172" spans="2:256">
      <c r="B8172" s="583"/>
      <c r="C8172" s="583"/>
      <c r="D8172" s="583"/>
      <c r="E8172" s="583"/>
      <c r="F8172" s="583"/>
      <c r="G8172" s="583"/>
      <c r="H8172" s="583"/>
      <c r="I8172" s="583"/>
      <c r="J8172" s="583"/>
      <c r="K8172" s="583"/>
      <c r="L8172" s="583"/>
      <c r="R8172" s="583"/>
      <c r="S8172" s="583"/>
      <c r="T8172" s="583"/>
      <c r="U8172" s="583"/>
      <c r="V8172" s="583"/>
      <c r="W8172" s="583"/>
      <c r="X8172" s="583"/>
      <c r="Y8172" s="583"/>
      <c r="Z8172" s="583"/>
      <c r="AA8172" s="583"/>
      <c r="AB8172" s="583"/>
      <c r="AC8172" s="583"/>
      <c r="AD8172" s="583"/>
      <c r="AE8172" s="583"/>
      <c r="AF8172" s="583"/>
      <c r="AG8172" s="583"/>
      <c r="AH8172" s="583"/>
      <c r="AI8172" s="583"/>
      <c r="AJ8172" s="583"/>
      <c r="AK8172" s="583"/>
      <c r="AL8172" s="583"/>
      <c r="AM8172" s="583"/>
      <c r="AN8172" s="583"/>
      <c r="AO8172" s="583"/>
      <c r="AP8172" s="583"/>
      <c r="AQ8172" s="583"/>
      <c r="AR8172" s="583"/>
      <c r="AS8172" s="583"/>
      <c r="AT8172" s="583"/>
      <c r="AU8172" s="583"/>
      <c r="AV8172" s="583"/>
      <c r="AW8172" s="583"/>
      <c r="AX8172" s="583"/>
      <c r="AY8172" s="583"/>
      <c r="AZ8172" s="583"/>
      <c r="BA8172" s="583"/>
      <c r="BB8172" s="583"/>
      <c r="BC8172" s="583"/>
      <c r="BD8172" s="583"/>
      <c r="BE8172" s="583"/>
      <c r="BF8172" s="583"/>
      <c r="BG8172" s="583"/>
      <c r="BH8172" s="583"/>
      <c r="BI8172" s="583"/>
      <c r="BJ8172" s="583"/>
      <c r="BK8172" s="583"/>
      <c r="BL8172" s="583"/>
      <c r="BM8172" s="583"/>
      <c r="BN8172" s="583"/>
      <c r="BO8172" s="583"/>
      <c r="BP8172" s="583"/>
      <c r="BQ8172" s="583"/>
      <c r="BR8172" s="583"/>
      <c r="BS8172" s="583"/>
      <c r="BT8172" s="583"/>
      <c r="BU8172" s="583"/>
      <c r="BV8172" s="583"/>
      <c r="BW8172" s="583"/>
      <c r="BX8172" s="583"/>
      <c r="BY8172" s="583"/>
      <c r="BZ8172" s="583"/>
      <c r="CA8172" s="583"/>
      <c r="CB8172" s="583"/>
      <c r="CC8172" s="583"/>
      <c r="CD8172" s="583"/>
      <c r="CE8172" s="583"/>
      <c r="CF8172" s="583"/>
      <c r="CG8172" s="583"/>
      <c r="CH8172" s="583"/>
      <c r="CI8172" s="583"/>
      <c r="CJ8172" s="583"/>
      <c r="CK8172" s="583"/>
      <c r="CL8172" s="583"/>
      <c r="CM8172" s="583"/>
      <c r="CN8172" s="583"/>
      <c r="CO8172" s="583"/>
      <c r="CP8172" s="583"/>
      <c r="CQ8172" s="583"/>
      <c r="CR8172" s="583"/>
      <c r="CS8172" s="583"/>
      <c r="CT8172" s="583"/>
      <c r="CU8172" s="583"/>
      <c r="CV8172" s="583"/>
      <c r="CW8172" s="583"/>
      <c r="CX8172" s="583"/>
      <c r="CY8172" s="583"/>
      <c r="CZ8172" s="583"/>
      <c r="DA8172" s="583"/>
      <c r="DB8172" s="583"/>
      <c r="DC8172" s="583"/>
      <c r="DD8172" s="583"/>
      <c r="DE8172" s="583"/>
      <c r="DF8172" s="583"/>
      <c r="DG8172" s="583"/>
      <c r="DH8172" s="583"/>
      <c r="DI8172" s="583"/>
      <c r="DJ8172" s="583"/>
      <c r="DK8172" s="583"/>
      <c r="DL8172" s="583"/>
      <c r="DM8172" s="583"/>
      <c r="DN8172" s="583"/>
      <c r="DO8172" s="583"/>
      <c r="DP8172" s="583"/>
      <c r="DQ8172" s="583"/>
      <c r="DR8172" s="583"/>
      <c r="DS8172" s="583"/>
      <c r="DT8172" s="583"/>
      <c r="DU8172" s="583"/>
      <c r="DV8172" s="583"/>
      <c r="DW8172" s="583"/>
      <c r="DX8172" s="583"/>
      <c r="DY8172" s="583"/>
      <c r="DZ8172" s="583"/>
      <c r="EA8172" s="583"/>
      <c r="EB8172" s="583"/>
      <c r="EC8172" s="583"/>
      <c r="ED8172" s="583"/>
      <c r="EE8172" s="583"/>
      <c r="EF8172" s="583"/>
      <c r="EG8172" s="583"/>
      <c r="EH8172" s="583"/>
      <c r="EI8172" s="583"/>
      <c r="EJ8172" s="583"/>
      <c r="EK8172" s="583"/>
      <c r="EL8172" s="583"/>
      <c r="EM8172" s="583"/>
      <c r="EN8172" s="583"/>
      <c r="EO8172" s="583"/>
      <c r="EP8172" s="583"/>
      <c r="EQ8172" s="583"/>
      <c r="ER8172" s="583"/>
      <c r="ES8172" s="583"/>
      <c r="ET8172" s="583"/>
      <c r="EU8172" s="583"/>
      <c r="EV8172" s="583"/>
      <c r="EW8172" s="583"/>
      <c r="EX8172" s="583"/>
      <c r="EY8172" s="583"/>
      <c r="EZ8172" s="583"/>
      <c r="FA8172" s="583"/>
      <c r="FB8172" s="583"/>
      <c r="FC8172" s="583"/>
      <c r="FD8172" s="583"/>
      <c r="FE8172" s="583"/>
      <c r="FF8172" s="583"/>
      <c r="FG8172" s="583"/>
      <c r="FH8172" s="583"/>
      <c r="FI8172" s="583"/>
      <c r="FJ8172" s="583"/>
      <c r="FK8172" s="583"/>
      <c r="FL8172" s="583"/>
      <c r="FM8172" s="583"/>
      <c r="FN8172" s="583"/>
      <c r="FO8172" s="583"/>
      <c r="FP8172" s="583"/>
      <c r="FQ8172" s="583"/>
      <c r="FR8172" s="583"/>
      <c r="FS8172" s="583"/>
      <c r="FT8172" s="583"/>
      <c r="FU8172" s="583"/>
      <c r="FV8172" s="583"/>
      <c r="FW8172" s="583"/>
      <c r="FX8172" s="583"/>
      <c r="FY8172" s="583"/>
      <c r="FZ8172" s="583"/>
      <c r="GA8172" s="583"/>
      <c r="GB8172" s="583"/>
      <c r="GC8172" s="583"/>
      <c r="GD8172" s="583"/>
      <c r="GE8172" s="583"/>
      <c r="GF8172" s="583"/>
      <c r="GG8172" s="583"/>
      <c r="GH8172" s="583"/>
      <c r="GI8172" s="583"/>
      <c r="GJ8172" s="583"/>
      <c r="GK8172" s="583"/>
      <c r="GL8172" s="583"/>
      <c r="GM8172" s="583"/>
      <c r="GN8172" s="583"/>
      <c r="GO8172" s="583"/>
      <c r="GP8172" s="583"/>
      <c r="GQ8172" s="583"/>
      <c r="GR8172" s="583"/>
      <c r="GS8172" s="583"/>
      <c r="GT8172" s="583"/>
      <c r="GU8172" s="583"/>
      <c r="GV8172" s="583"/>
      <c r="GW8172" s="583"/>
      <c r="GX8172" s="583"/>
      <c r="GY8172" s="583"/>
      <c r="GZ8172" s="583"/>
      <c r="HA8172" s="583"/>
      <c r="HB8172" s="583"/>
      <c r="HC8172" s="583"/>
      <c r="HD8172" s="583"/>
      <c r="HE8172" s="583"/>
      <c r="HF8172" s="583"/>
      <c r="HG8172" s="583"/>
      <c r="HH8172" s="583"/>
      <c r="HI8172" s="583"/>
      <c r="HJ8172" s="583"/>
      <c r="HK8172" s="583"/>
      <c r="HL8172" s="583"/>
      <c r="HM8172" s="583"/>
      <c r="HN8172" s="583"/>
      <c r="HO8172" s="583"/>
      <c r="HP8172" s="583"/>
      <c r="HQ8172" s="583"/>
      <c r="HR8172" s="583"/>
      <c r="HS8172" s="583"/>
      <c r="HT8172" s="583"/>
      <c r="HU8172" s="583"/>
      <c r="HV8172" s="583"/>
      <c r="HW8172" s="583"/>
      <c r="HX8172" s="583"/>
      <c r="HY8172" s="583"/>
      <c r="HZ8172" s="583"/>
      <c r="IA8172" s="583"/>
      <c r="IB8172" s="583"/>
      <c r="IC8172" s="583"/>
      <c r="ID8172" s="583"/>
      <c r="IE8172" s="583"/>
      <c r="IF8172" s="583"/>
      <c r="IG8172" s="583"/>
      <c r="IH8172" s="583"/>
      <c r="II8172" s="583"/>
      <c r="IJ8172" s="583"/>
      <c r="IK8172" s="583"/>
      <c r="IL8172" s="583"/>
      <c r="IM8172" s="583"/>
      <c r="IN8172" s="583"/>
      <c r="IO8172" s="583"/>
      <c r="IP8172" s="583"/>
      <c r="IQ8172" s="583"/>
      <c r="IR8172" s="583"/>
      <c r="IS8172" s="583"/>
      <c r="IT8172" s="583"/>
      <c r="IU8172" s="583"/>
      <c r="IV8172" s="583"/>
    </row>
    <row r="8173" spans="2:256">
      <c r="B8173" s="583"/>
      <c r="C8173" s="583"/>
      <c r="D8173" s="583"/>
      <c r="E8173" s="583"/>
      <c r="F8173" s="583"/>
      <c r="G8173" s="583"/>
      <c r="H8173" s="583"/>
      <c r="I8173" s="583"/>
      <c r="J8173" s="583"/>
      <c r="K8173" s="583"/>
      <c r="L8173" s="583"/>
      <c r="R8173" s="583"/>
      <c r="S8173" s="583"/>
      <c r="T8173" s="583"/>
      <c r="U8173" s="583"/>
      <c r="V8173" s="583"/>
      <c r="W8173" s="583"/>
      <c r="X8173" s="583"/>
      <c r="Y8173" s="583"/>
      <c r="Z8173" s="583"/>
      <c r="AA8173" s="583"/>
      <c r="AB8173" s="583"/>
      <c r="AC8173" s="583"/>
      <c r="AD8173" s="583"/>
      <c r="AE8173" s="583"/>
      <c r="AF8173" s="583"/>
      <c r="AG8173" s="583"/>
      <c r="AH8173" s="583"/>
      <c r="AI8173" s="583"/>
      <c r="AJ8173" s="583"/>
      <c r="AK8173" s="583"/>
      <c r="AL8173" s="583"/>
      <c r="AM8173" s="583"/>
      <c r="AN8173" s="583"/>
      <c r="AO8173" s="583"/>
      <c r="AP8173" s="583"/>
      <c r="AQ8173" s="583"/>
      <c r="AR8173" s="583"/>
      <c r="AS8173" s="583"/>
      <c r="AT8173" s="583"/>
      <c r="AU8173" s="583"/>
      <c r="AV8173" s="583"/>
      <c r="AW8173" s="583"/>
      <c r="AX8173" s="583"/>
      <c r="AY8173" s="583"/>
      <c r="AZ8173" s="583"/>
      <c r="BA8173" s="583"/>
      <c r="BB8173" s="583"/>
      <c r="BC8173" s="583"/>
      <c r="BD8173" s="583"/>
      <c r="BE8173" s="583"/>
      <c r="BF8173" s="583"/>
      <c r="BG8173" s="583"/>
      <c r="BH8173" s="583"/>
      <c r="BI8173" s="583"/>
      <c r="BJ8173" s="583"/>
      <c r="BK8173" s="583"/>
      <c r="BL8173" s="583"/>
      <c r="BM8173" s="583"/>
      <c r="BN8173" s="583"/>
      <c r="BO8173" s="583"/>
      <c r="BP8173" s="583"/>
      <c r="BQ8173" s="583"/>
      <c r="BR8173" s="583"/>
      <c r="BS8173" s="583"/>
      <c r="BT8173" s="583"/>
      <c r="BU8173" s="583"/>
      <c r="BV8173" s="583"/>
      <c r="BW8173" s="583"/>
      <c r="BX8173" s="583"/>
      <c r="BY8173" s="583"/>
      <c r="BZ8173" s="583"/>
      <c r="CA8173" s="583"/>
      <c r="CB8173" s="583"/>
      <c r="CC8173" s="583"/>
      <c r="CD8173" s="583"/>
      <c r="CE8173" s="583"/>
      <c r="CF8173" s="583"/>
      <c r="CG8173" s="583"/>
      <c r="CH8173" s="583"/>
      <c r="CI8173" s="583"/>
      <c r="CJ8173" s="583"/>
      <c r="CK8173" s="583"/>
      <c r="CL8173" s="583"/>
      <c r="CM8173" s="583"/>
      <c r="CN8173" s="583"/>
      <c r="CO8173" s="583"/>
      <c r="CP8173" s="583"/>
      <c r="CQ8173" s="583"/>
      <c r="CR8173" s="583"/>
      <c r="CS8173" s="583"/>
      <c r="CT8173" s="583"/>
      <c r="CU8173" s="583"/>
      <c r="CV8173" s="583"/>
      <c r="CW8173" s="583"/>
      <c r="CX8173" s="583"/>
      <c r="CY8173" s="583"/>
      <c r="CZ8173" s="583"/>
      <c r="DA8173" s="583"/>
      <c r="DB8173" s="583"/>
      <c r="DC8173" s="583"/>
      <c r="DD8173" s="583"/>
      <c r="DE8173" s="583"/>
      <c r="DF8173" s="583"/>
      <c r="DG8173" s="583"/>
      <c r="DH8173" s="583"/>
      <c r="DI8173" s="583"/>
      <c r="DJ8173" s="583"/>
      <c r="DK8173" s="583"/>
      <c r="DL8173" s="583"/>
      <c r="DM8173" s="583"/>
      <c r="DN8173" s="583"/>
      <c r="DO8173" s="583"/>
      <c r="DP8173" s="583"/>
      <c r="DQ8173" s="583"/>
      <c r="DR8173" s="583"/>
      <c r="DS8173" s="583"/>
      <c r="DT8173" s="583"/>
      <c r="DU8173" s="583"/>
      <c r="DV8173" s="583"/>
      <c r="DW8173" s="583"/>
      <c r="DX8173" s="583"/>
      <c r="DY8173" s="583"/>
      <c r="DZ8173" s="583"/>
      <c r="EA8173" s="583"/>
      <c r="EB8173" s="583"/>
      <c r="EC8173" s="583"/>
      <c r="ED8173" s="583"/>
      <c r="EE8173" s="583"/>
      <c r="EF8173" s="583"/>
      <c r="EG8173" s="583"/>
      <c r="EH8173" s="583"/>
      <c r="EI8173" s="583"/>
      <c r="EJ8173" s="583"/>
      <c r="EK8173" s="583"/>
      <c r="EL8173" s="583"/>
      <c r="EM8173" s="583"/>
      <c r="EN8173" s="583"/>
      <c r="EO8173" s="583"/>
      <c r="EP8173" s="583"/>
      <c r="EQ8173" s="583"/>
      <c r="ER8173" s="583"/>
      <c r="ES8173" s="583"/>
      <c r="ET8173" s="583"/>
      <c r="EU8173" s="583"/>
      <c r="EV8173" s="583"/>
      <c r="EW8173" s="583"/>
      <c r="EX8173" s="583"/>
      <c r="EY8173" s="583"/>
      <c r="EZ8173" s="583"/>
      <c r="FA8173" s="583"/>
      <c r="FB8173" s="583"/>
      <c r="FC8173" s="583"/>
      <c r="FD8173" s="583"/>
      <c r="FE8173" s="583"/>
      <c r="FF8173" s="583"/>
      <c r="FG8173" s="583"/>
      <c r="FH8173" s="583"/>
      <c r="FI8173" s="583"/>
      <c r="FJ8173" s="583"/>
      <c r="FK8173" s="583"/>
      <c r="FL8173" s="583"/>
      <c r="FM8173" s="583"/>
      <c r="FN8173" s="583"/>
      <c r="FO8173" s="583"/>
      <c r="FP8173" s="583"/>
      <c r="FQ8173" s="583"/>
      <c r="FR8173" s="583"/>
      <c r="FS8173" s="583"/>
      <c r="FT8173" s="583"/>
      <c r="FU8173" s="583"/>
      <c r="FV8173" s="583"/>
      <c r="FW8173" s="583"/>
      <c r="FX8173" s="583"/>
      <c r="FY8173" s="583"/>
      <c r="FZ8173" s="583"/>
      <c r="GA8173" s="583"/>
      <c r="GB8173" s="583"/>
      <c r="GC8173" s="583"/>
      <c r="GD8173" s="583"/>
      <c r="GE8173" s="583"/>
      <c r="GF8173" s="583"/>
      <c r="GG8173" s="583"/>
      <c r="GH8173" s="583"/>
      <c r="GI8173" s="583"/>
      <c r="GJ8173" s="583"/>
      <c r="GK8173" s="583"/>
      <c r="GL8173" s="583"/>
      <c r="GM8173" s="583"/>
      <c r="GN8173" s="583"/>
      <c r="GO8173" s="583"/>
      <c r="GP8173" s="583"/>
      <c r="GQ8173" s="583"/>
      <c r="GR8173" s="583"/>
      <c r="GS8173" s="583"/>
      <c r="GT8173" s="583"/>
      <c r="GU8173" s="583"/>
      <c r="GV8173" s="583"/>
      <c r="GW8173" s="583"/>
      <c r="GX8173" s="583"/>
      <c r="GY8173" s="583"/>
      <c r="GZ8173" s="583"/>
      <c r="HA8173" s="583"/>
      <c r="HB8173" s="583"/>
      <c r="HC8173" s="583"/>
      <c r="HD8173" s="583"/>
      <c r="HE8173" s="583"/>
      <c r="HF8173" s="583"/>
      <c r="HG8173" s="583"/>
      <c r="HH8173" s="583"/>
      <c r="HI8173" s="583"/>
      <c r="HJ8173" s="583"/>
      <c r="HK8173" s="583"/>
      <c r="HL8173" s="583"/>
      <c r="HM8173" s="583"/>
      <c r="HN8173" s="583"/>
      <c r="HO8173" s="583"/>
      <c r="HP8173" s="583"/>
      <c r="HQ8173" s="583"/>
      <c r="HR8173" s="583"/>
      <c r="HS8173" s="583"/>
      <c r="HT8173" s="583"/>
      <c r="HU8173" s="583"/>
      <c r="HV8173" s="583"/>
      <c r="HW8173" s="583"/>
      <c r="HX8173" s="583"/>
      <c r="HY8173" s="583"/>
      <c r="HZ8173" s="583"/>
      <c r="IA8173" s="583"/>
      <c r="IB8173" s="583"/>
      <c r="IC8173" s="583"/>
      <c r="ID8173" s="583"/>
      <c r="IE8173" s="583"/>
      <c r="IF8173" s="583"/>
      <c r="IG8173" s="583"/>
      <c r="IH8173" s="583"/>
      <c r="II8173" s="583"/>
      <c r="IJ8173" s="583"/>
      <c r="IK8173" s="583"/>
      <c r="IL8173" s="583"/>
      <c r="IM8173" s="583"/>
      <c r="IN8173" s="583"/>
      <c r="IO8173" s="583"/>
      <c r="IP8173" s="583"/>
      <c r="IQ8173" s="583"/>
      <c r="IR8173" s="583"/>
      <c r="IS8173" s="583"/>
      <c r="IT8173" s="583"/>
      <c r="IU8173" s="583"/>
      <c r="IV8173" s="583"/>
    </row>
    <row r="8174" spans="2:256">
      <c r="B8174" s="583"/>
      <c r="C8174" s="583"/>
      <c r="D8174" s="583"/>
      <c r="E8174" s="583"/>
      <c r="F8174" s="583"/>
      <c r="G8174" s="583"/>
      <c r="H8174" s="583"/>
      <c r="I8174" s="583"/>
      <c r="J8174" s="583"/>
      <c r="K8174" s="583"/>
      <c r="L8174" s="583"/>
      <c r="R8174" s="583"/>
      <c r="S8174" s="583"/>
      <c r="T8174" s="583"/>
      <c r="U8174" s="583"/>
      <c r="V8174" s="583"/>
      <c r="W8174" s="583"/>
      <c r="X8174" s="583"/>
      <c r="Y8174" s="583"/>
      <c r="Z8174" s="583"/>
      <c r="AA8174" s="583"/>
      <c r="AB8174" s="583"/>
      <c r="AC8174" s="583"/>
      <c r="AD8174" s="583"/>
      <c r="AE8174" s="583"/>
      <c r="AF8174" s="583"/>
      <c r="AG8174" s="583"/>
      <c r="AH8174" s="583"/>
      <c r="AI8174" s="583"/>
      <c r="AJ8174" s="583"/>
      <c r="AK8174" s="583"/>
      <c r="AL8174" s="583"/>
      <c r="AM8174" s="583"/>
      <c r="AN8174" s="583"/>
      <c r="AO8174" s="583"/>
      <c r="AP8174" s="583"/>
      <c r="AQ8174" s="583"/>
      <c r="AR8174" s="583"/>
      <c r="AS8174" s="583"/>
      <c r="AT8174" s="583"/>
      <c r="AU8174" s="583"/>
      <c r="AV8174" s="583"/>
      <c r="AW8174" s="583"/>
      <c r="AX8174" s="583"/>
      <c r="AY8174" s="583"/>
      <c r="AZ8174" s="583"/>
      <c r="BA8174" s="583"/>
      <c r="BB8174" s="583"/>
      <c r="BC8174" s="583"/>
      <c r="BD8174" s="583"/>
      <c r="BE8174" s="583"/>
      <c r="BF8174" s="583"/>
      <c r="BG8174" s="583"/>
      <c r="BH8174" s="583"/>
      <c r="BI8174" s="583"/>
      <c r="BJ8174" s="583"/>
      <c r="BK8174" s="583"/>
      <c r="BL8174" s="583"/>
      <c r="BM8174" s="583"/>
      <c r="BN8174" s="583"/>
      <c r="BO8174" s="583"/>
      <c r="BP8174" s="583"/>
      <c r="BQ8174" s="583"/>
      <c r="BR8174" s="583"/>
      <c r="BS8174" s="583"/>
      <c r="BT8174" s="583"/>
      <c r="BU8174" s="583"/>
      <c r="BV8174" s="583"/>
      <c r="BW8174" s="583"/>
      <c r="BX8174" s="583"/>
      <c r="BY8174" s="583"/>
      <c r="BZ8174" s="583"/>
      <c r="CA8174" s="583"/>
      <c r="CB8174" s="583"/>
      <c r="CC8174" s="583"/>
      <c r="CD8174" s="583"/>
      <c r="CE8174" s="583"/>
      <c r="CF8174" s="583"/>
      <c r="CG8174" s="583"/>
      <c r="CH8174" s="583"/>
      <c r="CI8174" s="583"/>
      <c r="CJ8174" s="583"/>
      <c r="CK8174" s="583"/>
      <c r="CL8174" s="583"/>
      <c r="CM8174" s="583"/>
      <c r="CN8174" s="583"/>
      <c r="CO8174" s="583"/>
      <c r="CP8174" s="583"/>
      <c r="CQ8174" s="583"/>
      <c r="CR8174" s="583"/>
      <c r="CS8174" s="583"/>
      <c r="CT8174" s="583"/>
      <c r="CU8174" s="583"/>
      <c r="CV8174" s="583"/>
      <c r="CW8174" s="583"/>
      <c r="CX8174" s="583"/>
      <c r="CY8174" s="583"/>
      <c r="CZ8174" s="583"/>
      <c r="DA8174" s="583"/>
      <c r="DB8174" s="583"/>
      <c r="DC8174" s="583"/>
      <c r="DD8174" s="583"/>
      <c r="DE8174" s="583"/>
      <c r="DF8174" s="583"/>
      <c r="DG8174" s="583"/>
      <c r="DH8174" s="583"/>
      <c r="DI8174" s="583"/>
      <c r="DJ8174" s="583"/>
      <c r="DK8174" s="583"/>
      <c r="DL8174" s="583"/>
      <c r="DM8174" s="583"/>
      <c r="DN8174" s="583"/>
      <c r="DO8174" s="583"/>
      <c r="DP8174" s="583"/>
      <c r="DQ8174" s="583"/>
      <c r="DR8174" s="583"/>
      <c r="DS8174" s="583"/>
      <c r="DT8174" s="583"/>
      <c r="DU8174" s="583"/>
      <c r="DV8174" s="583"/>
      <c r="DW8174" s="583"/>
      <c r="DX8174" s="583"/>
      <c r="DY8174" s="583"/>
      <c r="DZ8174" s="583"/>
      <c r="EA8174" s="583"/>
      <c r="EB8174" s="583"/>
      <c r="EC8174" s="583"/>
      <c r="ED8174" s="583"/>
      <c r="EE8174" s="583"/>
      <c r="EF8174" s="583"/>
      <c r="EG8174" s="583"/>
      <c r="EH8174" s="583"/>
      <c r="EI8174" s="583"/>
      <c r="EJ8174" s="583"/>
      <c r="EK8174" s="583"/>
      <c r="EL8174" s="583"/>
      <c r="EM8174" s="583"/>
      <c r="EN8174" s="583"/>
      <c r="EO8174" s="583"/>
      <c r="EP8174" s="583"/>
      <c r="EQ8174" s="583"/>
      <c r="ER8174" s="583"/>
      <c r="ES8174" s="583"/>
      <c r="ET8174" s="583"/>
      <c r="EU8174" s="583"/>
      <c r="EV8174" s="583"/>
      <c r="EW8174" s="583"/>
      <c r="EX8174" s="583"/>
      <c r="EY8174" s="583"/>
      <c r="EZ8174" s="583"/>
      <c r="FA8174" s="583"/>
      <c r="FB8174" s="583"/>
      <c r="FC8174" s="583"/>
      <c r="FD8174" s="583"/>
      <c r="FE8174" s="583"/>
      <c r="FF8174" s="583"/>
      <c r="FG8174" s="583"/>
      <c r="FH8174" s="583"/>
      <c r="FI8174" s="583"/>
      <c r="FJ8174" s="583"/>
      <c r="FK8174" s="583"/>
      <c r="FL8174" s="583"/>
      <c r="FM8174" s="583"/>
      <c r="FN8174" s="583"/>
      <c r="FO8174" s="583"/>
      <c r="FP8174" s="583"/>
      <c r="FQ8174" s="583"/>
      <c r="FR8174" s="583"/>
      <c r="FS8174" s="583"/>
      <c r="FT8174" s="583"/>
      <c r="FU8174" s="583"/>
      <c r="FV8174" s="583"/>
      <c r="FW8174" s="583"/>
      <c r="FX8174" s="583"/>
      <c r="FY8174" s="583"/>
      <c r="FZ8174" s="583"/>
      <c r="GA8174" s="583"/>
      <c r="GB8174" s="583"/>
      <c r="GC8174" s="583"/>
      <c r="GD8174" s="583"/>
      <c r="GE8174" s="583"/>
      <c r="GF8174" s="583"/>
      <c r="GG8174" s="583"/>
      <c r="GH8174" s="583"/>
      <c r="GI8174" s="583"/>
      <c r="GJ8174" s="583"/>
      <c r="GK8174" s="583"/>
      <c r="GL8174" s="583"/>
      <c r="GM8174" s="583"/>
      <c r="GN8174" s="583"/>
      <c r="GO8174" s="583"/>
      <c r="GP8174" s="583"/>
      <c r="GQ8174" s="583"/>
      <c r="GR8174" s="583"/>
      <c r="GS8174" s="583"/>
      <c r="GT8174" s="583"/>
      <c r="GU8174" s="583"/>
      <c r="GV8174" s="583"/>
      <c r="GW8174" s="583"/>
      <c r="GX8174" s="583"/>
      <c r="GY8174" s="583"/>
      <c r="GZ8174" s="583"/>
      <c r="HA8174" s="583"/>
      <c r="HB8174" s="583"/>
      <c r="HC8174" s="583"/>
      <c r="HD8174" s="583"/>
      <c r="HE8174" s="583"/>
      <c r="HF8174" s="583"/>
      <c r="HG8174" s="583"/>
      <c r="HH8174" s="583"/>
      <c r="HI8174" s="583"/>
      <c r="HJ8174" s="583"/>
      <c r="HK8174" s="583"/>
      <c r="HL8174" s="583"/>
      <c r="HM8174" s="583"/>
      <c r="HN8174" s="583"/>
      <c r="HO8174" s="583"/>
      <c r="HP8174" s="583"/>
      <c r="HQ8174" s="583"/>
      <c r="HR8174" s="583"/>
      <c r="HS8174" s="583"/>
      <c r="HT8174" s="583"/>
      <c r="HU8174" s="583"/>
      <c r="HV8174" s="583"/>
      <c r="HW8174" s="583"/>
      <c r="HX8174" s="583"/>
      <c r="HY8174" s="583"/>
      <c r="HZ8174" s="583"/>
      <c r="IA8174" s="583"/>
      <c r="IB8174" s="583"/>
      <c r="IC8174" s="583"/>
      <c r="ID8174" s="583"/>
      <c r="IE8174" s="583"/>
      <c r="IF8174" s="583"/>
      <c r="IG8174" s="583"/>
      <c r="IH8174" s="583"/>
      <c r="II8174" s="583"/>
      <c r="IJ8174" s="583"/>
      <c r="IK8174" s="583"/>
      <c r="IL8174" s="583"/>
      <c r="IM8174" s="583"/>
      <c r="IN8174" s="583"/>
      <c r="IO8174" s="583"/>
      <c r="IP8174" s="583"/>
      <c r="IQ8174" s="583"/>
      <c r="IR8174" s="583"/>
      <c r="IS8174" s="583"/>
      <c r="IT8174" s="583"/>
      <c r="IU8174" s="583"/>
      <c r="IV8174" s="583"/>
    </row>
    <row r="8175" spans="2:256">
      <c r="B8175" s="583"/>
      <c r="C8175" s="583"/>
      <c r="D8175" s="583"/>
      <c r="E8175" s="583"/>
      <c r="F8175" s="583"/>
      <c r="G8175" s="583"/>
      <c r="H8175" s="583"/>
      <c r="I8175" s="583"/>
      <c r="J8175" s="583"/>
      <c r="K8175" s="583"/>
      <c r="L8175" s="583"/>
      <c r="R8175" s="583"/>
      <c r="S8175" s="583"/>
      <c r="T8175" s="583"/>
      <c r="U8175" s="583"/>
      <c r="V8175" s="583"/>
      <c r="W8175" s="583"/>
      <c r="X8175" s="583"/>
      <c r="Y8175" s="583"/>
      <c r="Z8175" s="583"/>
      <c r="AA8175" s="583"/>
      <c r="AB8175" s="583"/>
      <c r="AC8175" s="583"/>
      <c r="AD8175" s="583"/>
      <c r="AE8175" s="583"/>
      <c r="AF8175" s="583"/>
      <c r="AG8175" s="583"/>
      <c r="AH8175" s="583"/>
      <c r="AI8175" s="583"/>
      <c r="AJ8175" s="583"/>
      <c r="AK8175" s="583"/>
      <c r="AL8175" s="583"/>
      <c r="AM8175" s="583"/>
      <c r="AN8175" s="583"/>
      <c r="AO8175" s="583"/>
      <c r="AP8175" s="583"/>
      <c r="AQ8175" s="583"/>
      <c r="AR8175" s="583"/>
      <c r="AS8175" s="583"/>
      <c r="AT8175" s="583"/>
      <c r="AU8175" s="583"/>
      <c r="AV8175" s="583"/>
      <c r="AW8175" s="583"/>
      <c r="AX8175" s="583"/>
      <c r="AY8175" s="583"/>
      <c r="AZ8175" s="583"/>
      <c r="BA8175" s="583"/>
      <c r="BB8175" s="583"/>
      <c r="BC8175" s="583"/>
      <c r="BD8175" s="583"/>
      <c r="BE8175" s="583"/>
      <c r="BF8175" s="583"/>
      <c r="BG8175" s="583"/>
      <c r="BH8175" s="583"/>
      <c r="BI8175" s="583"/>
      <c r="BJ8175" s="583"/>
      <c r="BK8175" s="583"/>
      <c r="BL8175" s="583"/>
      <c r="BM8175" s="583"/>
      <c r="BN8175" s="583"/>
      <c r="BO8175" s="583"/>
      <c r="BP8175" s="583"/>
      <c r="BQ8175" s="583"/>
      <c r="BR8175" s="583"/>
      <c r="BS8175" s="583"/>
      <c r="BT8175" s="583"/>
      <c r="BU8175" s="583"/>
      <c r="BV8175" s="583"/>
      <c r="BW8175" s="583"/>
      <c r="BX8175" s="583"/>
      <c r="BY8175" s="583"/>
      <c r="BZ8175" s="583"/>
      <c r="CA8175" s="583"/>
      <c r="CB8175" s="583"/>
      <c r="CC8175" s="583"/>
      <c r="CD8175" s="583"/>
      <c r="CE8175" s="583"/>
      <c r="CF8175" s="583"/>
      <c r="CG8175" s="583"/>
      <c r="CH8175" s="583"/>
      <c r="CI8175" s="583"/>
      <c r="CJ8175" s="583"/>
      <c r="CK8175" s="583"/>
      <c r="CL8175" s="583"/>
      <c r="CM8175" s="583"/>
      <c r="CN8175" s="583"/>
      <c r="CO8175" s="583"/>
      <c r="CP8175" s="583"/>
      <c r="CQ8175" s="583"/>
      <c r="CR8175" s="583"/>
      <c r="CS8175" s="583"/>
      <c r="CT8175" s="583"/>
      <c r="CU8175" s="583"/>
      <c r="CV8175" s="583"/>
      <c r="CW8175" s="583"/>
      <c r="CX8175" s="583"/>
      <c r="CY8175" s="583"/>
      <c r="CZ8175" s="583"/>
      <c r="DA8175" s="583"/>
      <c r="DB8175" s="583"/>
      <c r="DC8175" s="583"/>
      <c r="DD8175" s="583"/>
      <c r="DE8175" s="583"/>
      <c r="DF8175" s="583"/>
      <c r="DG8175" s="583"/>
      <c r="DH8175" s="583"/>
      <c r="DI8175" s="583"/>
      <c r="DJ8175" s="583"/>
      <c r="DK8175" s="583"/>
      <c r="DL8175" s="583"/>
      <c r="DM8175" s="583"/>
      <c r="DN8175" s="583"/>
      <c r="DO8175" s="583"/>
      <c r="DP8175" s="583"/>
      <c r="DQ8175" s="583"/>
      <c r="DR8175" s="583"/>
      <c r="DS8175" s="583"/>
      <c r="DT8175" s="583"/>
      <c r="DU8175" s="583"/>
      <c r="DV8175" s="583"/>
      <c r="DW8175" s="583"/>
      <c r="DX8175" s="583"/>
      <c r="DY8175" s="583"/>
      <c r="DZ8175" s="583"/>
      <c r="EA8175" s="583"/>
      <c r="EB8175" s="583"/>
      <c r="EC8175" s="583"/>
      <c r="ED8175" s="583"/>
      <c r="EE8175" s="583"/>
      <c r="EF8175" s="583"/>
      <c r="EG8175" s="583"/>
      <c r="EH8175" s="583"/>
      <c r="EI8175" s="583"/>
      <c r="EJ8175" s="583"/>
      <c r="EK8175" s="583"/>
      <c r="EL8175" s="583"/>
      <c r="EM8175" s="583"/>
      <c r="EN8175" s="583"/>
      <c r="EO8175" s="583"/>
      <c r="EP8175" s="583"/>
      <c r="EQ8175" s="583"/>
      <c r="ER8175" s="583"/>
      <c r="ES8175" s="583"/>
      <c r="ET8175" s="583"/>
      <c r="EU8175" s="583"/>
      <c r="EV8175" s="583"/>
      <c r="EW8175" s="583"/>
      <c r="EX8175" s="583"/>
      <c r="EY8175" s="583"/>
      <c r="EZ8175" s="583"/>
      <c r="FA8175" s="583"/>
      <c r="FB8175" s="583"/>
      <c r="FC8175" s="583"/>
      <c r="FD8175" s="583"/>
      <c r="FE8175" s="583"/>
      <c r="FF8175" s="583"/>
      <c r="FG8175" s="583"/>
      <c r="FH8175" s="583"/>
      <c r="FI8175" s="583"/>
      <c r="FJ8175" s="583"/>
      <c r="FK8175" s="583"/>
      <c r="FL8175" s="583"/>
      <c r="FM8175" s="583"/>
      <c r="FN8175" s="583"/>
      <c r="FO8175" s="583"/>
      <c r="FP8175" s="583"/>
      <c r="FQ8175" s="583"/>
      <c r="FR8175" s="583"/>
      <c r="FS8175" s="583"/>
      <c r="FT8175" s="583"/>
      <c r="FU8175" s="583"/>
      <c r="FV8175" s="583"/>
      <c r="FW8175" s="583"/>
      <c r="FX8175" s="583"/>
      <c r="FY8175" s="583"/>
      <c r="FZ8175" s="583"/>
      <c r="GA8175" s="583"/>
      <c r="GB8175" s="583"/>
      <c r="GC8175" s="583"/>
      <c r="GD8175" s="583"/>
      <c r="GE8175" s="583"/>
      <c r="GF8175" s="583"/>
      <c r="GG8175" s="583"/>
      <c r="GH8175" s="583"/>
      <c r="GI8175" s="583"/>
      <c r="GJ8175" s="583"/>
      <c r="GK8175" s="583"/>
      <c r="GL8175" s="583"/>
      <c r="GM8175" s="583"/>
      <c r="GN8175" s="583"/>
      <c r="GO8175" s="583"/>
      <c r="GP8175" s="583"/>
      <c r="GQ8175" s="583"/>
      <c r="GR8175" s="583"/>
      <c r="GS8175" s="583"/>
      <c r="GT8175" s="583"/>
      <c r="GU8175" s="583"/>
      <c r="GV8175" s="583"/>
      <c r="GW8175" s="583"/>
      <c r="GX8175" s="583"/>
      <c r="GY8175" s="583"/>
      <c r="GZ8175" s="583"/>
      <c r="HA8175" s="583"/>
      <c r="HB8175" s="583"/>
      <c r="HC8175" s="583"/>
      <c r="HD8175" s="583"/>
      <c r="HE8175" s="583"/>
      <c r="HF8175" s="583"/>
      <c r="HG8175" s="583"/>
      <c r="HH8175" s="583"/>
      <c r="HI8175" s="583"/>
      <c r="HJ8175" s="583"/>
      <c r="HK8175" s="583"/>
      <c r="HL8175" s="583"/>
      <c r="HM8175" s="583"/>
      <c r="HN8175" s="583"/>
      <c r="HO8175" s="583"/>
      <c r="HP8175" s="583"/>
      <c r="HQ8175" s="583"/>
      <c r="HR8175" s="583"/>
      <c r="HS8175" s="583"/>
      <c r="HT8175" s="583"/>
      <c r="HU8175" s="583"/>
      <c r="HV8175" s="583"/>
      <c r="HW8175" s="583"/>
      <c r="HX8175" s="583"/>
      <c r="HY8175" s="583"/>
      <c r="HZ8175" s="583"/>
      <c r="IA8175" s="583"/>
      <c r="IB8175" s="583"/>
      <c r="IC8175" s="583"/>
      <c r="ID8175" s="583"/>
      <c r="IE8175" s="583"/>
      <c r="IF8175" s="583"/>
      <c r="IG8175" s="583"/>
      <c r="IH8175" s="583"/>
      <c r="II8175" s="583"/>
      <c r="IJ8175" s="583"/>
      <c r="IK8175" s="583"/>
      <c r="IL8175" s="583"/>
      <c r="IM8175" s="583"/>
      <c r="IN8175" s="583"/>
      <c r="IO8175" s="583"/>
      <c r="IP8175" s="583"/>
      <c r="IQ8175" s="583"/>
      <c r="IR8175" s="583"/>
      <c r="IS8175" s="583"/>
      <c r="IT8175" s="583"/>
      <c r="IU8175" s="583"/>
      <c r="IV8175" s="583"/>
    </row>
    <row r="8176" spans="2:256">
      <c r="B8176" s="583"/>
      <c r="C8176" s="583"/>
      <c r="D8176" s="583"/>
      <c r="E8176" s="583"/>
      <c r="F8176" s="583"/>
      <c r="G8176" s="583"/>
      <c r="H8176" s="583"/>
      <c r="I8176" s="583"/>
      <c r="J8176" s="583"/>
      <c r="K8176" s="583"/>
      <c r="L8176" s="583"/>
      <c r="R8176" s="583"/>
      <c r="S8176" s="583"/>
      <c r="T8176" s="583"/>
      <c r="U8176" s="583"/>
      <c r="V8176" s="583"/>
      <c r="W8176" s="583"/>
      <c r="X8176" s="583"/>
      <c r="Y8176" s="583"/>
      <c r="Z8176" s="583"/>
      <c r="AA8176" s="583"/>
      <c r="AB8176" s="583"/>
      <c r="AC8176" s="583"/>
      <c r="AD8176" s="583"/>
      <c r="AE8176" s="583"/>
      <c r="AF8176" s="583"/>
      <c r="AG8176" s="583"/>
      <c r="AH8176" s="583"/>
      <c r="AI8176" s="583"/>
      <c r="AJ8176" s="583"/>
      <c r="AK8176" s="583"/>
      <c r="AL8176" s="583"/>
      <c r="AM8176" s="583"/>
      <c r="AN8176" s="583"/>
      <c r="AO8176" s="583"/>
      <c r="AP8176" s="583"/>
      <c r="AQ8176" s="583"/>
      <c r="AR8176" s="583"/>
      <c r="AS8176" s="583"/>
      <c r="AT8176" s="583"/>
      <c r="AU8176" s="583"/>
      <c r="AV8176" s="583"/>
      <c r="AW8176" s="583"/>
      <c r="AX8176" s="583"/>
      <c r="AY8176" s="583"/>
      <c r="AZ8176" s="583"/>
      <c r="BA8176" s="583"/>
      <c r="BB8176" s="583"/>
      <c r="BC8176" s="583"/>
      <c r="BD8176" s="583"/>
      <c r="BE8176" s="583"/>
      <c r="BF8176" s="583"/>
      <c r="BG8176" s="583"/>
      <c r="BH8176" s="583"/>
      <c r="BI8176" s="583"/>
      <c r="BJ8176" s="583"/>
      <c r="BK8176" s="583"/>
      <c r="BL8176" s="583"/>
      <c r="BM8176" s="583"/>
      <c r="BN8176" s="583"/>
      <c r="BO8176" s="583"/>
      <c r="BP8176" s="583"/>
      <c r="BQ8176" s="583"/>
      <c r="BR8176" s="583"/>
      <c r="BS8176" s="583"/>
      <c r="BT8176" s="583"/>
      <c r="BU8176" s="583"/>
      <c r="BV8176" s="583"/>
      <c r="BW8176" s="583"/>
      <c r="BX8176" s="583"/>
      <c r="BY8176" s="583"/>
      <c r="BZ8176" s="583"/>
      <c r="CA8176" s="583"/>
      <c r="CB8176" s="583"/>
      <c r="CC8176" s="583"/>
      <c r="CD8176" s="583"/>
      <c r="CE8176" s="583"/>
      <c r="CF8176" s="583"/>
      <c r="CG8176" s="583"/>
      <c r="CH8176" s="583"/>
      <c r="CI8176" s="583"/>
      <c r="CJ8176" s="583"/>
      <c r="CK8176" s="583"/>
      <c r="CL8176" s="583"/>
      <c r="CM8176" s="583"/>
      <c r="CN8176" s="583"/>
      <c r="CO8176" s="583"/>
      <c r="CP8176" s="583"/>
      <c r="CQ8176" s="583"/>
      <c r="CR8176" s="583"/>
      <c r="CS8176" s="583"/>
      <c r="CT8176" s="583"/>
      <c r="CU8176" s="583"/>
      <c r="CV8176" s="583"/>
      <c r="CW8176" s="583"/>
      <c r="CX8176" s="583"/>
      <c r="CY8176" s="583"/>
      <c r="CZ8176" s="583"/>
      <c r="DA8176" s="583"/>
      <c r="DB8176" s="583"/>
      <c r="DC8176" s="583"/>
      <c r="DD8176" s="583"/>
      <c r="DE8176" s="583"/>
      <c r="DF8176" s="583"/>
      <c r="DG8176" s="583"/>
      <c r="DH8176" s="583"/>
      <c r="DI8176" s="583"/>
      <c r="DJ8176" s="583"/>
      <c r="DK8176" s="583"/>
      <c r="DL8176" s="583"/>
      <c r="DM8176" s="583"/>
      <c r="DN8176" s="583"/>
      <c r="DO8176" s="583"/>
      <c r="DP8176" s="583"/>
      <c r="DQ8176" s="583"/>
      <c r="DR8176" s="583"/>
      <c r="DS8176" s="583"/>
      <c r="DT8176" s="583"/>
      <c r="DU8176" s="583"/>
      <c r="DV8176" s="583"/>
      <c r="DW8176" s="583"/>
      <c r="DX8176" s="583"/>
      <c r="DY8176" s="583"/>
      <c r="DZ8176" s="583"/>
      <c r="EA8176" s="583"/>
      <c r="EB8176" s="583"/>
      <c r="EC8176" s="583"/>
      <c r="ED8176" s="583"/>
      <c r="EE8176" s="583"/>
      <c r="EF8176" s="583"/>
      <c r="EG8176" s="583"/>
      <c r="EH8176" s="583"/>
      <c r="EI8176" s="583"/>
      <c r="EJ8176" s="583"/>
      <c r="EK8176" s="583"/>
      <c r="EL8176" s="583"/>
      <c r="EM8176" s="583"/>
      <c r="EN8176" s="583"/>
      <c r="EO8176" s="583"/>
      <c r="EP8176" s="583"/>
      <c r="EQ8176" s="583"/>
      <c r="ER8176" s="583"/>
      <c r="ES8176" s="583"/>
      <c r="ET8176" s="583"/>
      <c r="EU8176" s="583"/>
      <c r="EV8176" s="583"/>
      <c r="EW8176" s="583"/>
      <c r="EX8176" s="583"/>
      <c r="EY8176" s="583"/>
      <c r="EZ8176" s="583"/>
      <c r="FA8176" s="583"/>
      <c r="FB8176" s="583"/>
      <c r="FC8176" s="583"/>
      <c r="FD8176" s="583"/>
      <c r="FE8176" s="583"/>
      <c r="FF8176" s="583"/>
      <c r="FG8176" s="583"/>
      <c r="FH8176" s="583"/>
      <c r="FI8176" s="583"/>
      <c r="FJ8176" s="583"/>
      <c r="FK8176" s="583"/>
      <c r="FL8176" s="583"/>
      <c r="FM8176" s="583"/>
      <c r="FN8176" s="583"/>
      <c r="FO8176" s="583"/>
      <c r="FP8176" s="583"/>
      <c r="FQ8176" s="583"/>
      <c r="FR8176" s="583"/>
      <c r="FS8176" s="583"/>
      <c r="FT8176" s="583"/>
      <c r="FU8176" s="583"/>
      <c r="FV8176" s="583"/>
      <c r="FW8176" s="583"/>
      <c r="FX8176" s="583"/>
      <c r="FY8176" s="583"/>
      <c r="FZ8176" s="583"/>
      <c r="GA8176" s="583"/>
      <c r="GB8176" s="583"/>
      <c r="GC8176" s="583"/>
      <c r="GD8176" s="583"/>
      <c r="GE8176" s="583"/>
      <c r="GF8176" s="583"/>
      <c r="GG8176" s="583"/>
      <c r="GH8176" s="583"/>
      <c r="GI8176" s="583"/>
      <c r="GJ8176" s="583"/>
      <c r="GK8176" s="583"/>
      <c r="GL8176" s="583"/>
      <c r="GM8176" s="583"/>
      <c r="GN8176" s="583"/>
      <c r="GO8176" s="583"/>
      <c r="GP8176" s="583"/>
      <c r="GQ8176" s="583"/>
      <c r="GR8176" s="583"/>
      <c r="GS8176" s="583"/>
      <c r="GT8176" s="583"/>
      <c r="GU8176" s="583"/>
      <c r="GV8176" s="583"/>
      <c r="GW8176" s="583"/>
      <c r="GX8176" s="583"/>
      <c r="GY8176" s="583"/>
      <c r="GZ8176" s="583"/>
      <c r="HA8176" s="583"/>
      <c r="HB8176" s="583"/>
      <c r="HC8176" s="583"/>
      <c r="HD8176" s="583"/>
      <c r="HE8176" s="583"/>
      <c r="HF8176" s="583"/>
      <c r="HG8176" s="583"/>
      <c r="HH8176" s="583"/>
      <c r="HI8176" s="583"/>
      <c r="HJ8176" s="583"/>
      <c r="HK8176" s="583"/>
      <c r="HL8176" s="583"/>
      <c r="HM8176" s="583"/>
      <c r="HN8176" s="583"/>
      <c r="HO8176" s="583"/>
      <c r="HP8176" s="583"/>
      <c r="HQ8176" s="583"/>
      <c r="HR8176" s="583"/>
      <c r="HS8176" s="583"/>
      <c r="HT8176" s="583"/>
      <c r="HU8176" s="583"/>
      <c r="HV8176" s="583"/>
      <c r="HW8176" s="583"/>
      <c r="HX8176" s="583"/>
      <c r="HY8176" s="583"/>
      <c r="HZ8176" s="583"/>
      <c r="IA8176" s="583"/>
      <c r="IB8176" s="583"/>
      <c r="IC8176" s="583"/>
      <c r="ID8176" s="583"/>
      <c r="IE8176" s="583"/>
      <c r="IF8176" s="583"/>
      <c r="IG8176" s="583"/>
      <c r="IH8176" s="583"/>
      <c r="II8176" s="583"/>
      <c r="IJ8176" s="583"/>
      <c r="IK8176" s="583"/>
      <c r="IL8176" s="583"/>
      <c r="IM8176" s="583"/>
      <c r="IN8176" s="583"/>
      <c r="IO8176" s="583"/>
      <c r="IP8176" s="583"/>
      <c r="IQ8176" s="583"/>
      <c r="IR8176" s="583"/>
      <c r="IS8176" s="583"/>
      <c r="IT8176" s="583"/>
      <c r="IU8176" s="583"/>
      <c r="IV8176" s="583"/>
    </row>
    <row r="8177" spans="2:256">
      <c r="B8177" s="583"/>
      <c r="C8177" s="583"/>
      <c r="D8177" s="583"/>
      <c r="E8177" s="583"/>
      <c r="F8177" s="583"/>
      <c r="G8177" s="583"/>
      <c r="H8177" s="583"/>
      <c r="I8177" s="583"/>
      <c r="J8177" s="583"/>
      <c r="K8177" s="583"/>
      <c r="L8177" s="583"/>
      <c r="R8177" s="583"/>
      <c r="S8177" s="583"/>
      <c r="T8177" s="583"/>
      <c r="U8177" s="583"/>
      <c r="V8177" s="583"/>
      <c r="W8177" s="583"/>
      <c r="X8177" s="583"/>
      <c r="Y8177" s="583"/>
      <c r="Z8177" s="583"/>
      <c r="AA8177" s="583"/>
      <c r="AB8177" s="583"/>
      <c r="AC8177" s="583"/>
      <c r="AD8177" s="583"/>
      <c r="AE8177" s="583"/>
      <c r="AF8177" s="583"/>
      <c r="AG8177" s="583"/>
      <c r="AH8177" s="583"/>
      <c r="AI8177" s="583"/>
      <c r="AJ8177" s="583"/>
      <c r="AK8177" s="583"/>
      <c r="AL8177" s="583"/>
      <c r="AM8177" s="583"/>
      <c r="AN8177" s="583"/>
      <c r="AO8177" s="583"/>
      <c r="AP8177" s="583"/>
      <c r="AQ8177" s="583"/>
      <c r="AR8177" s="583"/>
      <c r="AS8177" s="583"/>
      <c r="AT8177" s="583"/>
      <c r="AU8177" s="583"/>
      <c r="AV8177" s="583"/>
      <c r="AW8177" s="583"/>
      <c r="AX8177" s="583"/>
      <c r="AY8177" s="583"/>
      <c r="AZ8177" s="583"/>
      <c r="BA8177" s="583"/>
      <c r="BB8177" s="583"/>
      <c r="BC8177" s="583"/>
      <c r="BD8177" s="583"/>
      <c r="BE8177" s="583"/>
      <c r="BF8177" s="583"/>
      <c r="BG8177" s="583"/>
      <c r="BH8177" s="583"/>
      <c r="BI8177" s="583"/>
      <c r="BJ8177" s="583"/>
      <c r="BK8177" s="583"/>
      <c r="BL8177" s="583"/>
      <c r="BM8177" s="583"/>
      <c r="BN8177" s="583"/>
      <c r="BO8177" s="583"/>
      <c r="BP8177" s="583"/>
      <c r="BQ8177" s="583"/>
      <c r="BR8177" s="583"/>
      <c r="BS8177" s="583"/>
      <c r="BT8177" s="583"/>
      <c r="BU8177" s="583"/>
      <c r="BV8177" s="583"/>
      <c r="BW8177" s="583"/>
      <c r="BX8177" s="583"/>
      <c r="BY8177" s="583"/>
      <c r="BZ8177" s="583"/>
      <c r="CA8177" s="583"/>
      <c r="CB8177" s="583"/>
      <c r="CC8177" s="583"/>
      <c r="CD8177" s="583"/>
      <c r="CE8177" s="583"/>
      <c r="CF8177" s="583"/>
      <c r="CG8177" s="583"/>
      <c r="CH8177" s="583"/>
      <c r="CI8177" s="583"/>
      <c r="CJ8177" s="583"/>
      <c r="CK8177" s="583"/>
      <c r="CL8177" s="583"/>
      <c r="CM8177" s="583"/>
      <c r="CN8177" s="583"/>
      <c r="CO8177" s="583"/>
      <c r="CP8177" s="583"/>
      <c r="CQ8177" s="583"/>
      <c r="CR8177" s="583"/>
      <c r="CS8177" s="583"/>
      <c r="CT8177" s="583"/>
      <c r="CU8177" s="583"/>
      <c r="CV8177" s="583"/>
      <c r="CW8177" s="583"/>
      <c r="CX8177" s="583"/>
      <c r="CY8177" s="583"/>
      <c r="CZ8177" s="583"/>
      <c r="DA8177" s="583"/>
      <c r="DB8177" s="583"/>
      <c r="DC8177" s="583"/>
      <c r="DD8177" s="583"/>
      <c r="DE8177" s="583"/>
      <c r="DF8177" s="583"/>
      <c r="DG8177" s="583"/>
      <c r="DH8177" s="583"/>
      <c r="DI8177" s="583"/>
      <c r="DJ8177" s="583"/>
      <c r="DK8177" s="583"/>
      <c r="DL8177" s="583"/>
      <c r="DM8177" s="583"/>
      <c r="DN8177" s="583"/>
      <c r="DO8177" s="583"/>
      <c r="DP8177" s="583"/>
      <c r="DQ8177" s="583"/>
      <c r="DR8177" s="583"/>
      <c r="DS8177" s="583"/>
      <c r="DT8177" s="583"/>
      <c r="DU8177" s="583"/>
      <c r="DV8177" s="583"/>
      <c r="DW8177" s="583"/>
      <c r="DX8177" s="583"/>
      <c r="DY8177" s="583"/>
      <c r="DZ8177" s="583"/>
      <c r="EA8177" s="583"/>
      <c r="EB8177" s="583"/>
      <c r="EC8177" s="583"/>
      <c r="ED8177" s="583"/>
      <c r="EE8177" s="583"/>
      <c r="EF8177" s="583"/>
      <c r="EG8177" s="583"/>
      <c r="EH8177" s="583"/>
      <c r="EI8177" s="583"/>
      <c r="EJ8177" s="583"/>
      <c r="EK8177" s="583"/>
      <c r="EL8177" s="583"/>
      <c r="EM8177" s="583"/>
      <c r="EN8177" s="583"/>
      <c r="EO8177" s="583"/>
      <c r="EP8177" s="583"/>
      <c r="EQ8177" s="583"/>
      <c r="ER8177" s="583"/>
      <c r="ES8177" s="583"/>
      <c r="ET8177" s="583"/>
      <c r="EU8177" s="583"/>
      <c r="EV8177" s="583"/>
      <c r="EW8177" s="583"/>
      <c r="EX8177" s="583"/>
      <c r="EY8177" s="583"/>
      <c r="EZ8177" s="583"/>
      <c r="FA8177" s="583"/>
      <c r="FB8177" s="583"/>
      <c r="FC8177" s="583"/>
      <c r="FD8177" s="583"/>
      <c r="FE8177" s="583"/>
      <c r="FF8177" s="583"/>
      <c r="FG8177" s="583"/>
      <c r="FH8177" s="583"/>
      <c r="FI8177" s="583"/>
      <c r="FJ8177" s="583"/>
      <c r="FK8177" s="583"/>
      <c r="FL8177" s="583"/>
      <c r="FM8177" s="583"/>
      <c r="FN8177" s="583"/>
      <c r="FO8177" s="583"/>
      <c r="FP8177" s="583"/>
      <c r="FQ8177" s="583"/>
      <c r="FR8177" s="583"/>
      <c r="FS8177" s="583"/>
      <c r="FT8177" s="583"/>
      <c r="FU8177" s="583"/>
      <c r="FV8177" s="583"/>
      <c r="FW8177" s="583"/>
      <c r="FX8177" s="583"/>
      <c r="FY8177" s="583"/>
      <c r="FZ8177" s="583"/>
      <c r="GA8177" s="583"/>
      <c r="GB8177" s="583"/>
      <c r="GC8177" s="583"/>
      <c r="GD8177" s="583"/>
      <c r="GE8177" s="583"/>
      <c r="GF8177" s="583"/>
      <c r="GG8177" s="583"/>
      <c r="GH8177" s="583"/>
      <c r="GI8177" s="583"/>
      <c r="GJ8177" s="583"/>
      <c r="GK8177" s="583"/>
      <c r="GL8177" s="583"/>
      <c r="GM8177" s="583"/>
      <c r="GN8177" s="583"/>
      <c r="GO8177" s="583"/>
      <c r="GP8177" s="583"/>
      <c r="GQ8177" s="583"/>
      <c r="GR8177" s="583"/>
      <c r="GS8177" s="583"/>
      <c r="GT8177" s="583"/>
      <c r="GU8177" s="583"/>
      <c r="GV8177" s="583"/>
      <c r="GW8177" s="583"/>
      <c r="GX8177" s="583"/>
      <c r="GY8177" s="583"/>
      <c r="GZ8177" s="583"/>
      <c r="HA8177" s="583"/>
      <c r="HB8177" s="583"/>
      <c r="HC8177" s="583"/>
      <c r="HD8177" s="583"/>
      <c r="HE8177" s="583"/>
      <c r="HF8177" s="583"/>
      <c r="HG8177" s="583"/>
      <c r="HH8177" s="583"/>
      <c r="HI8177" s="583"/>
      <c r="HJ8177" s="583"/>
      <c r="HK8177" s="583"/>
      <c r="HL8177" s="583"/>
      <c r="HM8177" s="583"/>
      <c r="HN8177" s="583"/>
      <c r="HO8177" s="583"/>
      <c r="HP8177" s="583"/>
      <c r="HQ8177" s="583"/>
      <c r="HR8177" s="583"/>
      <c r="HS8177" s="583"/>
      <c r="HT8177" s="583"/>
      <c r="HU8177" s="583"/>
      <c r="HV8177" s="583"/>
      <c r="HW8177" s="583"/>
      <c r="HX8177" s="583"/>
      <c r="HY8177" s="583"/>
      <c r="HZ8177" s="583"/>
      <c r="IA8177" s="583"/>
      <c r="IB8177" s="583"/>
      <c r="IC8177" s="583"/>
      <c r="ID8177" s="583"/>
      <c r="IE8177" s="583"/>
      <c r="IF8177" s="583"/>
      <c r="IG8177" s="583"/>
      <c r="IH8177" s="583"/>
      <c r="II8177" s="583"/>
      <c r="IJ8177" s="583"/>
      <c r="IK8177" s="583"/>
      <c r="IL8177" s="583"/>
      <c r="IM8177" s="583"/>
      <c r="IN8177" s="583"/>
      <c r="IO8177" s="583"/>
      <c r="IP8177" s="583"/>
      <c r="IQ8177" s="583"/>
      <c r="IR8177" s="583"/>
      <c r="IS8177" s="583"/>
      <c r="IT8177" s="583"/>
      <c r="IU8177" s="583"/>
      <c r="IV8177" s="583"/>
    </row>
    <row r="8178" spans="2:256">
      <c r="E8178" s="583"/>
    </row>
  </sheetData>
  <protectedRanges>
    <protectedRange sqref="E27:E65 F27:M64 D21:D64 D19:K19 E21:G22 D20:G20 H20:K22 N19:N22 M19:M24 O19:P64 E25:M26 E23:L24 L19:L22" name="Range1"/>
  </protectedRanges>
  <mergeCells count="56">
    <mergeCell ref="E60:G60"/>
    <mergeCell ref="E61:G61"/>
    <mergeCell ref="E62:G62"/>
    <mergeCell ref="E63:G63"/>
    <mergeCell ref="E64:G64"/>
    <mergeCell ref="E59:G59"/>
    <mergeCell ref="E48:G48"/>
    <mergeCell ref="E49:G49"/>
    <mergeCell ref="E50:G50"/>
    <mergeCell ref="E51:G51"/>
    <mergeCell ref="E52:G52"/>
    <mergeCell ref="E53:G53"/>
    <mergeCell ref="E54:G54"/>
    <mergeCell ref="E55:G55"/>
    <mergeCell ref="E56:G56"/>
    <mergeCell ref="E57:G57"/>
    <mergeCell ref="E58:G58"/>
    <mergeCell ref="E47:G47"/>
    <mergeCell ref="E36:G36"/>
    <mergeCell ref="E37:G37"/>
    <mergeCell ref="E38:G38"/>
    <mergeCell ref="E39:G39"/>
    <mergeCell ref="E40:G40"/>
    <mergeCell ref="E41:G41"/>
    <mergeCell ref="E42:G42"/>
    <mergeCell ref="E43:G43"/>
    <mergeCell ref="E44:G44"/>
    <mergeCell ref="E45:G45"/>
    <mergeCell ref="E46:G46"/>
    <mergeCell ref="E35:G35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23:G23"/>
    <mergeCell ref="D4:Q4"/>
    <mergeCell ref="D5:Q5"/>
    <mergeCell ref="F10:G10"/>
    <mergeCell ref="F12:G12"/>
    <mergeCell ref="F14:Q14"/>
    <mergeCell ref="I17:K17"/>
    <mergeCell ref="L17:N17"/>
    <mergeCell ref="O17:Q17"/>
    <mergeCell ref="E18:G18"/>
    <mergeCell ref="E19:G19"/>
    <mergeCell ref="E20:G20"/>
    <mergeCell ref="E21:G21"/>
    <mergeCell ref="E22:G22"/>
    <mergeCell ref="F8:H8"/>
  </mergeCells>
  <printOptions horizontalCentered="1" verticalCentered="1"/>
  <pageMargins left="0.51181102362204722" right="0.51181102362204722" top="0.51181102362204722" bottom="0.51181102362204722" header="0.51181102362204722" footer="0.31496062992125984"/>
  <pageSetup paperSize="9" scale="30" orientation="portrait" cellComments="asDisplayed" r:id="rId1"/>
  <headerFooter alignWithMargins="0">
    <oddFooter>&amp;CPage &amp;P of &amp;N&amp;RRev 2 - 23 Apr 2020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A45EE-757D-4C67-9246-8CEF5BD13451}">
  <dimension ref="B1:H67"/>
  <sheetViews>
    <sheetView tabSelected="1" view="pageBreakPreview" topLeftCell="B15" zoomScaleNormal="100" zoomScaleSheetLayoutView="100" workbookViewId="0">
      <selection activeCell="C50" sqref="C50"/>
    </sheetView>
  </sheetViews>
  <sheetFormatPr defaultRowHeight="12"/>
  <cols>
    <col min="1" max="1" width="8.90625" style="797"/>
    <col min="2" max="2" width="9.54296875" style="797" bestFit="1" customWidth="1"/>
    <col min="3" max="3" width="69" style="797" customWidth="1"/>
    <col min="4" max="4" width="16.90625" style="797" customWidth="1"/>
    <col min="5" max="5" width="15.08984375" style="797" customWidth="1"/>
    <col min="6" max="6" width="15.08984375" style="831" customWidth="1"/>
    <col min="7" max="7" width="18.90625" style="831" customWidth="1"/>
    <col min="8" max="227" width="8.90625" style="797"/>
    <col min="228" max="228" width="9.54296875" style="797" bestFit="1" customWidth="1"/>
    <col min="229" max="229" width="11.6328125" style="797" customWidth="1"/>
    <col min="230" max="230" width="69" style="797" customWidth="1"/>
    <col min="231" max="234" width="25.6328125" style="797" customWidth="1"/>
    <col min="235" max="235" width="8.90625" style="797"/>
    <col min="236" max="236" width="17.90625" style="797" customWidth="1"/>
    <col min="237" max="483" width="8.90625" style="797"/>
    <col min="484" max="484" width="9.54296875" style="797" bestFit="1" customWidth="1"/>
    <col min="485" max="485" width="11.6328125" style="797" customWidth="1"/>
    <col min="486" max="486" width="69" style="797" customWidth="1"/>
    <col min="487" max="490" width="25.6328125" style="797" customWidth="1"/>
    <col min="491" max="491" width="8.90625" style="797"/>
    <col min="492" max="492" width="17.90625" style="797" customWidth="1"/>
    <col min="493" max="739" width="8.90625" style="797"/>
    <col min="740" max="740" width="9.54296875" style="797" bestFit="1" customWidth="1"/>
    <col min="741" max="741" width="11.6328125" style="797" customWidth="1"/>
    <col min="742" max="742" width="69" style="797" customWidth="1"/>
    <col min="743" max="746" width="25.6328125" style="797" customWidth="1"/>
    <col min="747" max="747" width="8.90625" style="797"/>
    <col min="748" max="748" width="17.90625" style="797" customWidth="1"/>
    <col min="749" max="995" width="8.90625" style="797"/>
    <col min="996" max="996" width="9.54296875" style="797" bestFit="1" customWidth="1"/>
    <col min="997" max="997" width="11.6328125" style="797" customWidth="1"/>
    <col min="998" max="998" width="69" style="797" customWidth="1"/>
    <col min="999" max="1002" width="25.6328125" style="797" customWidth="1"/>
    <col min="1003" max="1003" width="8.90625" style="797"/>
    <col min="1004" max="1004" width="17.90625" style="797" customWidth="1"/>
    <col min="1005" max="1251" width="8.90625" style="797"/>
    <col min="1252" max="1252" width="9.54296875" style="797" bestFit="1" customWidth="1"/>
    <col min="1253" max="1253" width="11.6328125" style="797" customWidth="1"/>
    <col min="1254" max="1254" width="69" style="797" customWidth="1"/>
    <col min="1255" max="1258" width="25.6328125" style="797" customWidth="1"/>
    <col min="1259" max="1259" width="8.90625" style="797"/>
    <col min="1260" max="1260" width="17.90625" style="797" customWidth="1"/>
    <col min="1261" max="1507" width="8.90625" style="797"/>
    <col min="1508" max="1508" width="9.54296875" style="797" bestFit="1" customWidth="1"/>
    <col min="1509" max="1509" width="11.6328125" style="797" customWidth="1"/>
    <col min="1510" max="1510" width="69" style="797" customWidth="1"/>
    <col min="1511" max="1514" width="25.6328125" style="797" customWidth="1"/>
    <col min="1515" max="1515" width="8.90625" style="797"/>
    <col min="1516" max="1516" width="17.90625" style="797" customWidth="1"/>
    <col min="1517" max="1763" width="8.90625" style="797"/>
    <col min="1764" max="1764" width="9.54296875" style="797" bestFit="1" customWidth="1"/>
    <col min="1765" max="1765" width="11.6328125" style="797" customWidth="1"/>
    <col min="1766" max="1766" width="69" style="797" customWidth="1"/>
    <col min="1767" max="1770" width="25.6328125" style="797" customWidth="1"/>
    <col min="1771" max="1771" width="8.90625" style="797"/>
    <col min="1772" max="1772" width="17.90625" style="797" customWidth="1"/>
    <col min="1773" max="2019" width="8.90625" style="797"/>
    <col min="2020" max="2020" width="9.54296875" style="797" bestFit="1" customWidth="1"/>
    <col min="2021" max="2021" width="11.6328125" style="797" customWidth="1"/>
    <col min="2022" max="2022" width="69" style="797" customWidth="1"/>
    <col min="2023" max="2026" width="25.6328125" style="797" customWidth="1"/>
    <col min="2027" max="2027" width="8.90625" style="797"/>
    <col min="2028" max="2028" width="17.90625" style="797" customWidth="1"/>
    <col min="2029" max="2275" width="8.90625" style="797"/>
    <col min="2276" max="2276" width="9.54296875" style="797" bestFit="1" customWidth="1"/>
    <col min="2277" max="2277" width="11.6328125" style="797" customWidth="1"/>
    <col min="2278" max="2278" width="69" style="797" customWidth="1"/>
    <col min="2279" max="2282" width="25.6328125" style="797" customWidth="1"/>
    <col min="2283" max="2283" width="8.90625" style="797"/>
    <col min="2284" max="2284" width="17.90625" style="797" customWidth="1"/>
    <col min="2285" max="2531" width="8.90625" style="797"/>
    <col min="2532" max="2532" width="9.54296875" style="797" bestFit="1" customWidth="1"/>
    <col min="2533" max="2533" width="11.6328125" style="797" customWidth="1"/>
    <col min="2534" max="2534" width="69" style="797" customWidth="1"/>
    <col min="2535" max="2538" width="25.6328125" style="797" customWidth="1"/>
    <col min="2539" max="2539" width="8.90625" style="797"/>
    <col min="2540" max="2540" width="17.90625" style="797" customWidth="1"/>
    <col min="2541" max="2787" width="8.90625" style="797"/>
    <col min="2788" max="2788" width="9.54296875" style="797" bestFit="1" customWidth="1"/>
    <col min="2789" max="2789" width="11.6328125" style="797" customWidth="1"/>
    <col min="2790" max="2790" width="69" style="797" customWidth="1"/>
    <col min="2791" max="2794" width="25.6328125" style="797" customWidth="1"/>
    <col min="2795" max="2795" width="8.90625" style="797"/>
    <col min="2796" max="2796" width="17.90625" style="797" customWidth="1"/>
    <col min="2797" max="3043" width="8.90625" style="797"/>
    <col min="3044" max="3044" width="9.54296875" style="797" bestFit="1" customWidth="1"/>
    <col min="3045" max="3045" width="11.6328125" style="797" customWidth="1"/>
    <col min="3046" max="3046" width="69" style="797" customWidth="1"/>
    <col min="3047" max="3050" width="25.6328125" style="797" customWidth="1"/>
    <col min="3051" max="3051" width="8.90625" style="797"/>
    <col min="3052" max="3052" width="17.90625" style="797" customWidth="1"/>
    <col min="3053" max="3299" width="8.90625" style="797"/>
    <col min="3300" max="3300" width="9.54296875" style="797" bestFit="1" customWidth="1"/>
    <col min="3301" max="3301" width="11.6328125" style="797" customWidth="1"/>
    <col min="3302" max="3302" width="69" style="797" customWidth="1"/>
    <col min="3303" max="3306" width="25.6328125" style="797" customWidth="1"/>
    <col min="3307" max="3307" width="8.90625" style="797"/>
    <col min="3308" max="3308" width="17.90625" style="797" customWidth="1"/>
    <col min="3309" max="3555" width="8.90625" style="797"/>
    <col min="3556" max="3556" width="9.54296875" style="797" bestFit="1" customWidth="1"/>
    <col min="3557" max="3557" width="11.6328125" style="797" customWidth="1"/>
    <col min="3558" max="3558" width="69" style="797" customWidth="1"/>
    <col min="3559" max="3562" width="25.6328125" style="797" customWidth="1"/>
    <col min="3563" max="3563" width="8.90625" style="797"/>
    <col min="3564" max="3564" width="17.90625" style="797" customWidth="1"/>
    <col min="3565" max="3811" width="8.90625" style="797"/>
    <col min="3812" max="3812" width="9.54296875" style="797" bestFit="1" customWidth="1"/>
    <col min="3813" max="3813" width="11.6328125" style="797" customWidth="1"/>
    <col min="3814" max="3814" width="69" style="797" customWidth="1"/>
    <col min="3815" max="3818" width="25.6328125" style="797" customWidth="1"/>
    <col min="3819" max="3819" width="8.90625" style="797"/>
    <col min="3820" max="3820" width="17.90625" style="797" customWidth="1"/>
    <col min="3821" max="4067" width="8.90625" style="797"/>
    <col min="4068" max="4068" width="9.54296875" style="797" bestFit="1" customWidth="1"/>
    <col min="4069" max="4069" width="11.6328125" style="797" customWidth="1"/>
    <col min="4070" max="4070" width="69" style="797" customWidth="1"/>
    <col min="4071" max="4074" width="25.6328125" style="797" customWidth="1"/>
    <col min="4075" max="4075" width="8.90625" style="797"/>
    <col min="4076" max="4076" width="17.90625" style="797" customWidth="1"/>
    <col min="4077" max="4323" width="8.90625" style="797"/>
    <col min="4324" max="4324" width="9.54296875" style="797" bestFit="1" customWidth="1"/>
    <col min="4325" max="4325" width="11.6328125" style="797" customWidth="1"/>
    <col min="4326" max="4326" width="69" style="797" customWidth="1"/>
    <col min="4327" max="4330" width="25.6328125" style="797" customWidth="1"/>
    <col min="4331" max="4331" width="8.90625" style="797"/>
    <col min="4332" max="4332" width="17.90625" style="797" customWidth="1"/>
    <col min="4333" max="4579" width="8.90625" style="797"/>
    <col min="4580" max="4580" width="9.54296875" style="797" bestFit="1" customWidth="1"/>
    <col min="4581" max="4581" width="11.6328125" style="797" customWidth="1"/>
    <col min="4582" max="4582" width="69" style="797" customWidth="1"/>
    <col min="4583" max="4586" width="25.6328125" style="797" customWidth="1"/>
    <col min="4587" max="4587" width="8.90625" style="797"/>
    <col min="4588" max="4588" width="17.90625" style="797" customWidth="1"/>
    <col min="4589" max="4835" width="8.90625" style="797"/>
    <col min="4836" max="4836" width="9.54296875" style="797" bestFit="1" customWidth="1"/>
    <col min="4837" max="4837" width="11.6328125" style="797" customWidth="1"/>
    <col min="4838" max="4838" width="69" style="797" customWidth="1"/>
    <col min="4839" max="4842" width="25.6328125" style="797" customWidth="1"/>
    <col min="4843" max="4843" width="8.90625" style="797"/>
    <col min="4844" max="4844" width="17.90625" style="797" customWidth="1"/>
    <col min="4845" max="5091" width="8.90625" style="797"/>
    <col min="5092" max="5092" width="9.54296875" style="797" bestFit="1" customWidth="1"/>
    <col min="5093" max="5093" width="11.6328125" style="797" customWidth="1"/>
    <col min="5094" max="5094" width="69" style="797" customWidth="1"/>
    <col min="5095" max="5098" width="25.6328125" style="797" customWidth="1"/>
    <col min="5099" max="5099" width="8.90625" style="797"/>
    <col min="5100" max="5100" width="17.90625" style="797" customWidth="1"/>
    <col min="5101" max="5347" width="8.90625" style="797"/>
    <col min="5348" max="5348" width="9.54296875" style="797" bestFit="1" customWidth="1"/>
    <col min="5349" max="5349" width="11.6328125" style="797" customWidth="1"/>
    <col min="5350" max="5350" width="69" style="797" customWidth="1"/>
    <col min="5351" max="5354" width="25.6328125" style="797" customWidth="1"/>
    <col min="5355" max="5355" width="8.90625" style="797"/>
    <col min="5356" max="5356" width="17.90625" style="797" customWidth="1"/>
    <col min="5357" max="5603" width="8.90625" style="797"/>
    <col min="5604" max="5604" width="9.54296875" style="797" bestFit="1" customWidth="1"/>
    <col min="5605" max="5605" width="11.6328125" style="797" customWidth="1"/>
    <col min="5606" max="5606" width="69" style="797" customWidth="1"/>
    <col min="5607" max="5610" width="25.6328125" style="797" customWidth="1"/>
    <col min="5611" max="5611" width="8.90625" style="797"/>
    <col min="5612" max="5612" width="17.90625" style="797" customWidth="1"/>
    <col min="5613" max="5859" width="8.90625" style="797"/>
    <col min="5860" max="5860" width="9.54296875" style="797" bestFit="1" customWidth="1"/>
    <col min="5861" max="5861" width="11.6328125" style="797" customWidth="1"/>
    <col min="5862" max="5862" width="69" style="797" customWidth="1"/>
    <col min="5863" max="5866" width="25.6328125" style="797" customWidth="1"/>
    <col min="5867" max="5867" width="8.90625" style="797"/>
    <col min="5868" max="5868" width="17.90625" style="797" customWidth="1"/>
    <col min="5869" max="6115" width="8.90625" style="797"/>
    <col min="6116" max="6116" width="9.54296875" style="797" bestFit="1" customWidth="1"/>
    <col min="6117" max="6117" width="11.6328125" style="797" customWidth="1"/>
    <col min="6118" max="6118" width="69" style="797" customWidth="1"/>
    <col min="6119" max="6122" width="25.6328125" style="797" customWidth="1"/>
    <col min="6123" max="6123" width="8.90625" style="797"/>
    <col min="6124" max="6124" width="17.90625" style="797" customWidth="1"/>
    <col min="6125" max="6371" width="8.90625" style="797"/>
    <col min="6372" max="6372" width="9.54296875" style="797" bestFit="1" customWidth="1"/>
    <col min="6373" max="6373" width="11.6328125" style="797" customWidth="1"/>
    <col min="6374" max="6374" width="69" style="797" customWidth="1"/>
    <col min="6375" max="6378" width="25.6328125" style="797" customWidth="1"/>
    <col min="6379" max="6379" width="8.90625" style="797"/>
    <col min="6380" max="6380" width="17.90625" style="797" customWidth="1"/>
    <col min="6381" max="6627" width="8.90625" style="797"/>
    <col min="6628" max="6628" width="9.54296875" style="797" bestFit="1" customWidth="1"/>
    <col min="6629" max="6629" width="11.6328125" style="797" customWidth="1"/>
    <col min="6630" max="6630" width="69" style="797" customWidth="1"/>
    <col min="6631" max="6634" width="25.6328125" style="797" customWidth="1"/>
    <col min="6635" max="6635" width="8.90625" style="797"/>
    <col min="6636" max="6636" width="17.90625" style="797" customWidth="1"/>
    <col min="6637" max="6883" width="8.90625" style="797"/>
    <col min="6884" max="6884" width="9.54296875" style="797" bestFit="1" customWidth="1"/>
    <col min="6885" max="6885" width="11.6328125" style="797" customWidth="1"/>
    <col min="6886" max="6886" width="69" style="797" customWidth="1"/>
    <col min="6887" max="6890" width="25.6328125" style="797" customWidth="1"/>
    <col min="6891" max="6891" width="8.90625" style="797"/>
    <col min="6892" max="6892" width="17.90625" style="797" customWidth="1"/>
    <col min="6893" max="7139" width="8.90625" style="797"/>
    <col min="7140" max="7140" width="9.54296875" style="797" bestFit="1" customWidth="1"/>
    <col min="7141" max="7141" width="11.6328125" style="797" customWidth="1"/>
    <col min="7142" max="7142" width="69" style="797" customWidth="1"/>
    <col min="7143" max="7146" width="25.6328125" style="797" customWidth="1"/>
    <col min="7147" max="7147" width="8.90625" style="797"/>
    <col min="7148" max="7148" width="17.90625" style="797" customWidth="1"/>
    <col min="7149" max="7395" width="8.90625" style="797"/>
    <col min="7396" max="7396" width="9.54296875" style="797" bestFit="1" customWidth="1"/>
    <col min="7397" max="7397" width="11.6328125" style="797" customWidth="1"/>
    <col min="7398" max="7398" width="69" style="797" customWidth="1"/>
    <col min="7399" max="7402" width="25.6328125" style="797" customWidth="1"/>
    <col min="7403" max="7403" width="8.90625" style="797"/>
    <col min="7404" max="7404" width="17.90625" style="797" customWidth="1"/>
    <col min="7405" max="7651" width="8.90625" style="797"/>
    <col min="7652" max="7652" width="9.54296875" style="797" bestFit="1" customWidth="1"/>
    <col min="7653" max="7653" width="11.6328125" style="797" customWidth="1"/>
    <col min="7654" max="7654" width="69" style="797" customWidth="1"/>
    <col min="7655" max="7658" width="25.6328125" style="797" customWidth="1"/>
    <col min="7659" max="7659" width="8.90625" style="797"/>
    <col min="7660" max="7660" width="17.90625" style="797" customWidth="1"/>
    <col min="7661" max="7907" width="8.90625" style="797"/>
    <col min="7908" max="7908" width="9.54296875" style="797" bestFit="1" customWidth="1"/>
    <col min="7909" max="7909" width="11.6328125" style="797" customWidth="1"/>
    <col min="7910" max="7910" width="69" style="797" customWidth="1"/>
    <col min="7911" max="7914" width="25.6328125" style="797" customWidth="1"/>
    <col min="7915" max="7915" width="8.90625" style="797"/>
    <col min="7916" max="7916" width="17.90625" style="797" customWidth="1"/>
    <col min="7917" max="8163" width="8.90625" style="797"/>
    <col min="8164" max="8164" width="9.54296875" style="797" bestFit="1" customWidth="1"/>
    <col min="8165" max="8165" width="11.6328125" style="797" customWidth="1"/>
    <col min="8166" max="8166" width="69" style="797" customWidth="1"/>
    <col min="8167" max="8170" width="25.6328125" style="797" customWidth="1"/>
    <col min="8171" max="8171" width="8.90625" style="797"/>
    <col min="8172" max="8172" width="17.90625" style="797" customWidth="1"/>
    <col min="8173" max="8419" width="8.90625" style="797"/>
    <col min="8420" max="8420" width="9.54296875" style="797" bestFit="1" customWidth="1"/>
    <col min="8421" max="8421" width="11.6328125" style="797" customWidth="1"/>
    <col min="8422" max="8422" width="69" style="797" customWidth="1"/>
    <col min="8423" max="8426" width="25.6328125" style="797" customWidth="1"/>
    <col min="8427" max="8427" width="8.90625" style="797"/>
    <col min="8428" max="8428" width="17.90625" style="797" customWidth="1"/>
    <col min="8429" max="8675" width="8.90625" style="797"/>
    <col min="8676" max="8676" width="9.54296875" style="797" bestFit="1" customWidth="1"/>
    <col min="8677" max="8677" width="11.6328125" style="797" customWidth="1"/>
    <col min="8678" max="8678" width="69" style="797" customWidth="1"/>
    <col min="8679" max="8682" width="25.6328125" style="797" customWidth="1"/>
    <col min="8683" max="8683" width="8.90625" style="797"/>
    <col min="8684" max="8684" width="17.90625" style="797" customWidth="1"/>
    <col min="8685" max="8931" width="8.90625" style="797"/>
    <col min="8932" max="8932" width="9.54296875" style="797" bestFit="1" customWidth="1"/>
    <col min="8933" max="8933" width="11.6328125" style="797" customWidth="1"/>
    <col min="8934" max="8934" width="69" style="797" customWidth="1"/>
    <col min="8935" max="8938" width="25.6328125" style="797" customWidth="1"/>
    <col min="8939" max="8939" width="8.90625" style="797"/>
    <col min="8940" max="8940" width="17.90625" style="797" customWidth="1"/>
    <col min="8941" max="9187" width="8.90625" style="797"/>
    <col min="9188" max="9188" width="9.54296875" style="797" bestFit="1" customWidth="1"/>
    <col min="9189" max="9189" width="11.6328125" style="797" customWidth="1"/>
    <col min="9190" max="9190" width="69" style="797" customWidth="1"/>
    <col min="9191" max="9194" width="25.6328125" style="797" customWidth="1"/>
    <col min="9195" max="9195" width="8.90625" style="797"/>
    <col min="9196" max="9196" width="17.90625" style="797" customWidth="1"/>
    <col min="9197" max="9443" width="8.90625" style="797"/>
    <col min="9444" max="9444" width="9.54296875" style="797" bestFit="1" customWidth="1"/>
    <col min="9445" max="9445" width="11.6328125" style="797" customWidth="1"/>
    <col min="9446" max="9446" width="69" style="797" customWidth="1"/>
    <col min="9447" max="9450" width="25.6328125" style="797" customWidth="1"/>
    <col min="9451" max="9451" width="8.90625" style="797"/>
    <col min="9452" max="9452" width="17.90625" style="797" customWidth="1"/>
    <col min="9453" max="9699" width="8.90625" style="797"/>
    <col min="9700" max="9700" width="9.54296875" style="797" bestFit="1" customWidth="1"/>
    <col min="9701" max="9701" width="11.6328125" style="797" customWidth="1"/>
    <col min="9702" max="9702" width="69" style="797" customWidth="1"/>
    <col min="9703" max="9706" width="25.6328125" style="797" customWidth="1"/>
    <col min="9707" max="9707" width="8.90625" style="797"/>
    <col min="9708" max="9708" width="17.90625" style="797" customWidth="1"/>
    <col min="9709" max="9955" width="8.90625" style="797"/>
    <col min="9956" max="9956" width="9.54296875" style="797" bestFit="1" customWidth="1"/>
    <col min="9957" max="9957" width="11.6328125" style="797" customWidth="1"/>
    <col min="9958" max="9958" width="69" style="797" customWidth="1"/>
    <col min="9959" max="9962" width="25.6328125" style="797" customWidth="1"/>
    <col min="9963" max="9963" width="8.90625" style="797"/>
    <col min="9964" max="9964" width="17.90625" style="797" customWidth="1"/>
    <col min="9965" max="10211" width="8.90625" style="797"/>
    <col min="10212" max="10212" width="9.54296875" style="797" bestFit="1" customWidth="1"/>
    <col min="10213" max="10213" width="11.6328125" style="797" customWidth="1"/>
    <col min="10214" max="10214" width="69" style="797" customWidth="1"/>
    <col min="10215" max="10218" width="25.6328125" style="797" customWidth="1"/>
    <col min="10219" max="10219" width="8.90625" style="797"/>
    <col min="10220" max="10220" width="17.90625" style="797" customWidth="1"/>
    <col min="10221" max="10467" width="8.90625" style="797"/>
    <col min="10468" max="10468" width="9.54296875" style="797" bestFit="1" customWidth="1"/>
    <col min="10469" max="10469" width="11.6328125" style="797" customWidth="1"/>
    <col min="10470" max="10470" width="69" style="797" customWidth="1"/>
    <col min="10471" max="10474" width="25.6328125" style="797" customWidth="1"/>
    <col min="10475" max="10475" width="8.90625" style="797"/>
    <col min="10476" max="10476" width="17.90625" style="797" customWidth="1"/>
    <col min="10477" max="10723" width="8.90625" style="797"/>
    <col min="10724" max="10724" width="9.54296875" style="797" bestFit="1" customWidth="1"/>
    <col min="10725" max="10725" width="11.6328125" style="797" customWidth="1"/>
    <col min="10726" max="10726" width="69" style="797" customWidth="1"/>
    <col min="10727" max="10730" width="25.6328125" style="797" customWidth="1"/>
    <col min="10731" max="10731" width="8.90625" style="797"/>
    <col min="10732" max="10732" width="17.90625" style="797" customWidth="1"/>
    <col min="10733" max="10979" width="8.90625" style="797"/>
    <col min="10980" max="10980" width="9.54296875" style="797" bestFit="1" customWidth="1"/>
    <col min="10981" max="10981" width="11.6328125" style="797" customWidth="1"/>
    <col min="10982" max="10982" width="69" style="797" customWidth="1"/>
    <col min="10983" max="10986" width="25.6328125" style="797" customWidth="1"/>
    <col min="10987" max="10987" width="8.90625" style="797"/>
    <col min="10988" max="10988" width="17.90625" style="797" customWidth="1"/>
    <col min="10989" max="11235" width="8.90625" style="797"/>
    <col min="11236" max="11236" width="9.54296875" style="797" bestFit="1" customWidth="1"/>
    <col min="11237" max="11237" width="11.6328125" style="797" customWidth="1"/>
    <col min="11238" max="11238" width="69" style="797" customWidth="1"/>
    <col min="11239" max="11242" width="25.6328125" style="797" customWidth="1"/>
    <col min="11243" max="11243" width="8.90625" style="797"/>
    <col min="11244" max="11244" width="17.90625" style="797" customWidth="1"/>
    <col min="11245" max="11491" width="8.90625" style="797"/>
    <col min="11492" max="11492" width="9.54296875" style="797" bestFit="1" customWidth="1"/>
    <col min="11493" max="11493" width="11.6328125" style="797" customWidth="1"/>
    <col min="11494" max="11494" width="69" style="797" customWidth="1"/>
    <col min="11495" max="11498" width="25.6328125" style="797" customWidth="1"/>
    <col min="11499" max="11499" width="8.90625" style="797"/>
    <col min="11500" max="11500" width="17.90625" style="797" customWidth="1"/>
    <col min="11501" max="11747" width="8.90625" style="797"/>
    <col min="11748" max="11748" width="9.54296875" style="797" bestFit="1" customWidth="1"/>
    <col min="11749" max="11749" width="11.6328125" style="797" customWidth="1"/>
    <col min="11750" max="11750" width="69" style="797" customWidth="1"/>
    <col min="11751" max="11754" width="25.6328125" style="797" customWidth="1"/>
    <col min="11755" max="11755" width="8.90625" style="797"/>
    <col min="11756" max="11756" width="17.90625" style="797" customWidth="1"/>
    <col min="11757" max="12003" width="8.90625" style="797"/>
    <col min="12004" max="12004" width="9.54296875" style="797" bestFit="1" customWidth="1"/>
    <col min="12005" max="12005" width="11.6328125" style="797" customWidth="1"/>
    <col min="12006" max="12006" width="69" style="797" customWidth="1"/>
    <col min="12007" max="12010" width="25.6328125" style="797" customWidth="1"/>
    <col min="12011" max="12011" width="8.90625" style="797"/>
    <col min="12012" max="12012" width="17.90625" style="797" customWidth="1"/>
    <col min="12013" max="12259" width="8.90625" style="797"/>
    <col min="12260" max="12260" width="9.54296875" style="797" bestFit="1" customWidth="1"/>
    <col min="12261" max="12261" width="11.6328125" style="797" customWidth="1"/>
    <col min="12262" max="12262" width="69" style="797" customWidth="1"/>
    <col min="12263" max="12266" width="25.6328125" style="797" customWidth="1"/>
    <col min="12267" max="12267" width="8.90625" style="797"/>
    <col min="12268" max="12268" width="17.90625" style="797" customWidth="1"/>
    <col min="12269" max="12515" width="8.90625" style="797"/>
    <col min="12516" max="12516" width="9.54296875" style="797" bestFit="1" customWidth="1"/>
    <col min="12517" max="12517" width="11.6328125" style="797" customWidth="1"/>
    <col min="12518" max="12518" width="69" style="797" customWidth="1"/>
    <col min="12519" max="12522" width="25.6328125" style="797" customWidth="1"/>
    <col min="12523" max="12523" width="8.90625" style="797"/>
    <col min="12524" max="12524" width="17.90625" style="797" customWidth="1"/>
    <col min="12525" max="12771" width="8.90625" style="797"/>
    <col min="12772" max="12772" width="9.54296875" style="797" bestFit="1" customWidth="1"/>
    <col min="12773" max="12773" width="11.6328125" style="797" customWidth="1"/>
    <col min="12774" max="12774" width="69" style="797" customWidth="1"/>
    <col min="12775" max="12778" width="25.6328125" style="797" customWidth="1"/>
    <col min="12779" max="12779" width="8.90625" style="797"/>
    <col min="12780" max="12780" width="17.90625" style="797" customWidth="1"/>
    <col min="12781" max="13027" width="8.90625" style="797"/>
    <col min="13028" max="13028" width="9.54296875" style="797" bestFit="1" customWidth="1"/>
    <col min="13029" max="13029" width="11.6328125" style="797" customWidth="1"/>
    <col min="13030" max="13030" width="69" style="797" customWidth="1"/>
    <col min="13031" max="13034" width="25.6328125" style="797" customWidth="1"/>
    <col min="13035" max="13035" width="8.90625" style="797"/>
    <col min="13036" max="13036" width="17.90625" style="797" customWidth="1"/>
    <col min="13037" max="13283" width="8.90625" style="797"/>
    <col min="13284" max="13284" width="9.54296875" style="797" bestFit="1" customWidth="1"/>
    <col min="13285" max="13285" width="11.6328125" style="797" customWidth="1"/>
    <col min="13286" max="13286" width="69" style="797" customWidth="1"/>
    <col min="13287" max="13290" width="25.6328125" style="797" customWidth="1"/>
    <col min="13291" max="13291" width="8.90625" style="797"/>
    <col min="13292" max="13292" width="17.90625" style="797" customWidth="1"/>
    <col min="13293" max="13539" width="8.90625" style="797"/>
    <col min="13540" max="13540" width="9.54296875" style="797" bestFit="1" customWidth="1"/>
    <col min="13541" max="13541" width="11.6328125" style="797" customWidth="1"/>
    <col min="13542" max="13542" width="69" style="797" customWidth="1"/>
    <col min="13543" max="13546" width="25.6328125" style="797" customWidth="1"/>
    <col min="13547" max="13547" width="8.90625" style="797"/>
    <col min="13548" max="13548" width="17.90625" style="797" customWidth="1"/>
    <col min="13549" max="13795" width="8.90625" style="797"/>
    <col min="13796" max="13796" width="9.54296875" style="797" bestFit="1" customWidth="1"/>
    <col min="13797" max="13797" width="11.6328125" style="797" customWidth="1"/>
    <col min="13798" max="13798" width="69" style="797" customWidth="1"/>
    <col min="13799" max="13802" width="25.6328125" style="797" customWidth="1"/>
    <col min="13803" max="13803" width="8.90625" style="797"/>
    <col min="13804" max="13804" width="17.90625" style="797" customWidth="1"/>
    <col min="13805" max="14051" width="8.90625" style="797"/>
    <col min="14052" max="14052" width="9.54296875" style="797" bestFit="1" customWidth="1"/>
    <col min="14053" max="14053" width="11.6328125" style="797" customWidth="1"/>
    <col min="14054" max="14054" width="69" style="797" customWidth="1"/>
    <col min="14055" max="14058" width="25.6328125" style="797" customWidth="1"/>
    <col min="14059" max="14059" width="8.90625" style="797"/>
    <col min="14060" max="14060" width="17.90625" style="797" customWidth="1"/>
    <col min="14061" max="14307" width="8.90625" style="797"/>
    <col min="14308" max="14308" width="9.54296875" style="797" bestFit="1" customWidth="1"/>
    <col min="14309" max="14309" width="11.6328125" style="797" customWidth="1"/>
    <col min="14310" max="14310" width="69" style="797" customWidth="1"/>
    <col min="14311" max="14314" width="25.6328125" style="797" customWidth="1"/>
    <col min="14315" max="14315" width="8.90625" style="797"/>
    <col min="14316" max="14316" width="17.90625" style="797" customWidth="1"/>
    <col min="14317" max="14563" width="8.90625" style="797"/>
    <col min="14564" max="14564" width="9.54296875" style="797" bestFit="1" customWidth="1"/>
    <col min="14565" max="14565" width="11.6328125" style="797" customWidth="1"/>
    <col min="14566" max="14566" width="69" style="797" customWidth="1"/>
    <col min="14567" max="14570" width="25.6328125" style="797" customWidth="1"/>
    <col min="14571" max="14571" width="8.90625" style="797"/>
    <col min="14572" max="14572" width="17.90625" style="797" customWidth="1"/>
    <col min="14573" max="14819" width="8.90625" style="797"/>
    <col min="14820" max="14820" width="9.54296875" style="797" bestFit="1" customWidth="1"/>
    <col min="14821" max="14821" width="11.6328125" style="797" customWidth="1"/>
    <col min="14822" max="14822" width="69" style="797" customWidth="1"/>
    <col min="14823" max="14826" width="25.6328125" style="797" customWidth="1"/>
    <col min="14827" max="14827" width="8.90625" style="797"/>
    <col min="14828" max="14828" width="17.90625" style="797" customWidth="1"/>
    <col min="14829" max="15075" width="8.90625" style="797"/>
    <col min="15076" max="15076" width="9.54296875" style="797" bestFit="1" customWidth="1"/>
    <col min="15077" max="15077" width="11.6328125" style="797" customWidth="1"/>
    <col min="15078" max="15078" width="69" style="797" customWidth="1"/>
    <col min="15079" max="15082" width="25.6328125" style="797" customWidth="1"/>
    <col min="15083" max="15083" width="8.90625" style="797"/>
    <col min="15084" max="15084" width="17.90625" style="797" customWidth="1"/>
    <col min="15085" max="15331" width="8.90625" style="797"/>
    <col min="15332" max="15332" width="9.54296875" style="797" bestFit="1" customWidth="1"/>
    <col min="15333" max="15333" width="11.6328125" style="797" customWidth="1"/>
    <col min="15334" max="15334" width="69" style="797" customWidth="1"/>
    <col min="15335" max="15338" width="25.6328125" style="797" customWidth="1"/>
    <col min="15339" max="15339" width="8.90625" style="797"/>
    <col min="15340" max="15340" width="17.90625" style="797" customWidth="1"/>
    <col min="15341" max="15587" width="8.90625" style="797"/>
    <col min="15588" max="15588" width="9.54296875" style="797" bestFit="1" customWidth="1"/>
    <col min="15589" max="15589" width="11.6328125" style="797" customWidth="1"/>
    <col min="15590" max="15590" width="69" style="797" customWidth="1"/>
    <col min="15591" max="15594" width="25.6328125" style="797" customWidth="1"/>
    <col min="15595" max="15595" width="8.90625" style="797"/>
    <col min="15596" max="15596" width="17.90625" style="797" customWidth="1"/>
    <col min="15597" max="15843" width="8.90625" style="797"/>
    <col min="15844" max="15844" width="9.54296875" style="797" bestFit="1" customWidth="1"/>
    <col min="15845" max="15845" width="11.6328125" style="797" customWidth="1"/>
    <col min="15846" max="15846" width="69" style="797" customWidth="1"/>
    <col min="15847" max="15850" width="25.6328125" style="797" customWidth="1"/>
    <col min="15851" max="15851" width="8.90625" style="797"/>
    <col min="15852" max="15852" width="17.90625" style="797" customWidth="1"/>
    <col min="15853" max="16099" width="8.90625" style="797"/>
    <col min="16100" max="16100" width="9.54296875" style="797" bestFit="1" customWidth="1"/>
    <col min="16101" max="16101" width="11.6328125" style="797" customWidth="1"/>
    <col min="16102" max="16102" width="69" style="797" customWidth="1"/>
    <col min="16103" max="16106" width="25.6328125" style="797" customWidth="1"/>
    <col min="16107" max="16107" width="8.90625" style="797"/>
    <col min="16108" max="16108" width="17.90625" style="797" customWidth="1"/>
    <col min="16109" max="16384" width="8.90625" style="797"/>
  </cols>
  <sheetData>
    <row r="1" spans="2:8" ht="12.5" thickBot="1">
      <c r="B1" s="798"/>
      <c r="C1" s="799"/>
      <c r="D1" s="800"/>
      <c r="E1" s="801"/>
      <c r="F1" s="824"/>
      <c r="G1" s="825"/>
      <c r="H1" s="802"/>
    </row>
    <row r="2" spans="2:8">
      <c r="B2" s="900" t="s">
        <v>782</v>
      </c>
      <c r="C2" s="901"/>
      <c r="D2" s="902"/>
      <c r="E2" s="903"/>
      <c r="F2" s="875"/>
      <c r="G2" s="876"/>
      <c r="H2" s="802"/>
    </row>
    <row r="3" spans="2:8">
      <c r="B3" s="904" t="s">
        <v>482</v>
      </c>
      <c r="C3" s="799"/>
      <c r="D3" s="800"/>
      <c r="E3" s="801"/>
      <c r="F3" s="824"/>
      <c r="G3" s="905"/>
      <c r="H3" s="802"/>
    </row>
    <row r="4" spans="2:8">
      <c r="B4" s="906"/>
      <c r="C4" s="907"/>
      <c r="D4" s="803"/>
      <c r="E4" s="801"/>
      <c r="F4" s="908"/>
      <c r="G4" s="909" t="s">
        <v>741</v>
      </c>
      <c r="H4" s="802"/>
    </row>
    <row r="5" spans="2:8" s="4" customFormat="1" ht="30" customHeight="1">
      <c r="B5" s="910" t="s">
        <v>0</v>
      </c>
      <c r="C5" s="708" t="s">
        <v>2</v>
      </c>
      <c r="D5" s="708" t="s">
        <v>3</v>
      </c>
      <c r="E5" s="796" t="s">
        <v>4</v>
      </c>
      <c r="F5" s="826" t="s">
        <v>5</v>
      </c>
      <c r="G5" s="911" t="s">
        <v>6</v>
      </c>
    </row>
    <row r="6" spans="2:8">
      <c r="B6" s="912"/>
      <c r="C6" s="804"/>
      <c r="D6" s="805"/>
      <c r="E6" s="806"/>
      <c r="F6" s="827"/>
      <c r="G6" s="913"/>
      <c r="H6" s="802"/>
    </row>
    <row r="7" spans="2:8">
      <c r="B7" s="914">
        <v>1200</v>
      </c>
      <c r="C7" s="807" t="s">
        <v>143</v>
      </c>
      <c r="D7" s="808"/>
      <c r="E7" s="809"/>
      <c r="F7" s="828"/>
      <c r="G7" s="878"/>
      <c r="H7" s="802"/>
    </row>
    <row r="8" spans="2:8">
      <c r="B8" s="915"/>
      <c r="C8" s="811"/>
      <c r="D8" s="808"/>
      <c r="E8" s="812"/>
      <c r="F8" s="828"/>
      <c r="G8" s="878"/>
      <c r="H8" s="802"/>
    </row>
    <row r="9" spans="2:8">
      <c r="B9" s="914" t="s">
        <v>742</v>
      </c>
      <c r="C9" s="813" t="s">
        <v>743</v>
      </c>
      <c r="D9" s="814"/>
      <c r="E9" s="815"/>
      <c r="F9" s="828"/>
      <c r="G9" s="916"/>
      <c r="H9" s="802"/>
    </row>
    <row r="10" spans="2:8">
      <c r="B10" s="915"/>
      <c r="C10" s="813"/>
      <c r="D10" s="814"/>
      <c r="E10" s="815"/>
      <c r="F10" s="828"/>
      <c r="G10" s="916"/>
      <c r="H10" s="802"/>
    </row>
    <row r="11" spans="2:8">
      <c r="B11" s="915"/>
      <c r="C11" s="816" t="s">
        <v>744</v>
      </c>
      <c r="D11" s="814"/>
      <c r="E11" s="809"/>
      <c r="F11" s="828"/>
      <c r="G11" s="878"/>
      <c r="H11" s="802"/>
    </row>
    <row r="12" spans="2:8">
      <c r="B12" s="915"/>
      <c r="C12" s="816" t="s">
        <v>745</v>
      </c>
      <c r="D12" s="814"/>
      <c r="E12" s="809"/>
      <c r="F12" s="828"/>
      <c r="G12" s="878"/>
      <c r="H12" s="802"/>
    </row>
    <row r="13" spans="2:8">
      <c r="B13" s="915"/>
      <c r="C13" s="816"/>
      <c r="D13" s="814"/>
      <c r="E13" s="801"/>
      <c r="F13" s="828"/>
      <c r="G13" s="878"/>
      <c r="H13" s="802"/>
    </row>
    <row r="14" spans="2:8">
      <c r="B14" s="915"/>
      <c r="C14" s="816" t="s">
        <v>746</v>
      </c>
      <c r="D14" s="814" t="s">
        <v>747</v>
      </c>
      <c r="E14" s="1249">
        <v>1</v>
      </c>
      <c r="F14" s="829">
        <v>60000</v>
      </c>
      <c r="G14" s="878">
        <f>E14*F14</f>
        <v>60000</v>
      </c>
      <c r="H14" s="802"/>
    </row>
    <row r="15" spans="2:8">
      <c r="B15" s="915"/>
      <c r="C15" s="816"/>
      <c r="D15" s="814"/>
      <c r="E15" s="1249"/>
      <c r="F15" s="829"/>
      <c r="G15" s="878"/>
      <c r="H15" s="802"/>
    </row>
    <row r="16" spans="2:8">
      <c r="B16" s="915"/>
      <c r="C16" s="811"/>
      <c r="D16" s="808"/>
      <c r="E16" s="1248"/>
      <c r="F16" s="828"/>
      <c r="G16" s="878"/>
      <c r="H16" s="802"/>
    </row>
    <row r="17" spans="2:8">
      <c r="B17" s="914" t="s">
        <v>748</v>
      </c>
      <c r="C17" s="811" t="s">
        <v>749</v>
      </c>
      <c r="D17" s="808"/>
      <c r="E17" s="1248"/>
      <c r="F17" s="828"/>
      <c r="G17" s="878"/>
      <c r="H17" s="802"/>
    </row>
    <row r="18" spans="2:8">
      <c r="B18" s="914"/>
      <c r="C18" s="811"/>
      <c r="D18" s="808"/>
      <c r="E18" s="1248"/>
      <c r="F18" s="828"/>
      <c r="G18" s="878"/>
      <c r="H18" s="802"/>
    </row>
    <row r="19" spans="2:8" ht="23.5">
      <c r="B19" s="915"/>
      <c r="C19" s="823" t="s">
        <v>52</v>
      </c>
      <c r="D19" s="808"/>
      <c r="E19" s="1248"/>
      <c r="F19" s="828"/>
      <c r="G19" s="878"/>
      <c r="H19" s="802"/>
    </row>
    <row r="20" spans="2:8">
      <c r="B20" s="915"/>
      <c r="C20" s="816"/>
      <c r="D20" s="808"/>
      <c r="E20" s="1248"/>
      <c r="F20" s="828"/>
      <c r="G20" s="878"/>
      <c r="H20" s="802"/>
    </row>
    <row r="21" spans="2:8" ht="14">
      <c r="B21" s="915"/>
      <c r="C21" s="816" t="s">
        <v>750</v>
      </c>
      <c r="D21" s="814" t="s">
        <v>766</v>
      </c>
      <c r="E21" s="1249">
        <v>100</v>
      </c>
      <c r="F21" s="829">
        <v>0</v>
      </c>
      <c r="G21" s="878">
        <f>F21*E21</f>
        <v>0</v>
      </c>
      <c r="H21" s="802"/>
    </row>
    <row r="22" spans="2:8">
      <c r="B22" s="915"/>
      <c r="C22" s="816"/>
      <c r="D22" s="814"/>
      <c r="E22" s="1248"/>
      <c r="F22" s="829"/>
      <c r="G22" s="878"/>
      <c r="H22" s="802"/>
    </row>
    <row r="23" spans="2:8" ht="14">
      <c r="B23" s="915"/>
      <c r="C23" s="816" t="s">
        <v>767</v>
      </c>
      <c r="D23" s="814" t="s">
        <v>766</v>
      </c>
      <c r="E23" s="1249">
        <v>50</v>
      </c>
      <c r="F23" s="829">
        <v>0</v>
      </c>
      <c r="G23" s="878">
        <f>F23*E23</f>
        <v>0</v>
      </c>
      <c r="H23" s="802"/>
    </row>
    <row r="24" spans="2:8">
      <c r="B24" s="915"/>
      <c r="C24" s="816"/>
      <c r="D24" s="814"/>
      <c r="E24" s="1249"/>
      <c r="F24" s="829"/>
      <c r="G24" s="878"/>
      <c r="H24" s="802"/>
    </row>
    <row r="25" spans="2:8">
      <c r="B25" s="915"/>
      <c r="C25" s="811"/>
      <c r="D25" s="808"/>
      <c r="E25" s="1248"/>
      <c r="F25" s="828"/>
      <c r="G25" s="878"/>
      <c r="H25" s="802"/>
    </row>
    <row r="26" spans="2:8">
      <c r="B26" s="861" t="s">
        <v>751</v>
      </c>
      <c r="C26" s="811" t="s">
        <v>752</v>
      </c>
      <c r="D26" s="814"/>
      <c r="E26" s="1248"/>
      <c r="F26" s="828"/>
      <c r="G26" s="878"/>
      <c r="H26" s="802"/>
    </row>
    <row r="27" spans="2:8">
      <c r="B27" s="861"/>
      <c r="C27" s="811"/>
      <c r="D27" s="814"/>
      <c r="E27" s="1248"/>
      <c r="F27" s="828"/>
      <c r="G27" s="878"/>
      <c r="H27" s="802"/>
    </row>
    <row r="28" spans="2:8">
      <c r="B28" s="859"/>
      <c r="C28" s="816" t="s">
        <v>753</v>
      </c>
      <c r="D28" s="814" t="s">
        <v>754</v>
      </c>
      <c r="E28" s="1250">
        <v>1</v>
      </c>
      <c r="F28" s="828">
        <v>50000</v>
      </c>
      <c r="G28" s="878">
        <f>F28*E28</f>
        <v>50000</v>
      </c>
      <c r="H28" s="802"/>
    </row>
    <row r="29" spans="2:8">
      <c r="B29" s="859"/>
      <c r="C29" s="816"/>
      <c r="D29" s="814"/>
      <c r="E29" s="1250"/>
      <c r="F29" s="828"/>
      <c r="G29" s="878"/>
      <c r="H29" s="802"/>
    </row>
    <row r="30" spans="2:8">
      <c r="B30" s="859"/>
      <c r="C30" s="816" t="s">
        <v>768</v>
      </c>
      <c r="D30" s="814" t="s">
        <v>754</v>
      </c>
      <c r="E30" s="1250">
        <v>1</v>
      </c>
      <c r="F30" s="828">
        <v>200000</v>
      </c>
      <c r="G30" s="878">
        <f>F30*E30</f>
        <v>200000</v>
      </c>
      <c r="H30" s="802"/>
    </row>
    <row r="31" spans="2:8">
      <c r="B31" s="859"/>
      <c r="C31" s="816"/>
      <c r="D31" s="818"/>
      <c r="E31" s="1250"/>
      <c r="F31" s="828"/>
      <c r="G31" s="917"/>
      <c r="H31" s="802"/>
    </row>
    <row r="32" spans="2:8">
      <c r="B32" s="859"/>
      <c r="C32" s="816" t="s">
        <v>755</v>
      </c>
      <c r="D32" s="818" t="s">
        <v>9</v>
      </c>
      <c r="E32" s="1249">
        <f>SUM(G28:G30)</f>
        <v>250000</v>
      </c>
      <c r="F32" s="1306"/>
      <c r="G32" s="878">
        <f>SUM(E32*F32)</f>
        <v>0</v>
      </c>
      <c r="H32" s="802"/>
    </row>
    <row r="33" spans="2:8">
      <c r="B33" s="859"/>
      <c r="C33" s="811"/>
      <c r="D33" s="814"/>
      <c r="E33" s="1248"/>
      <c r="F33" s="828"/>
      <c r="G33" s="878"/>
      <c r="H33" s="802"/>
    </row>
    <row r="34" spans="2:8">
      <c r="B34" s="861" t="s">
        <v>756</v>
      </c>
      <c r="C34" s="811" t="s">
        <v>772</v>
      </c>
      <c r="D34" s="814"/>
      <c r="E34" s="1248"/>
      <c r="F34" s="828"/>
      <c r="G34" s="878"/>
      <c r="H34" s="802"/>
    </row>
    <row r="35" spans="2:8">
      <c r="B35" s="861"/>
      <c r="C35" s="811"/>
      <c r="D35" s="814"/>
      <c r="E35" s="1248"/>
      <c r="F35" s="828"/>
      <c r="G35" s="878"/>
      <c r="H35" s="802"/>
    </row>
    <row r="36" spans="2:8">
      <c r="B36" s="859"/>
      <c r="C36" s="816" t="s">
        <v>757</v>
      </c>
      <c r="D36" s="814" t="s">
        <v>754</v>
      </c>
      <c r="E36" s="1250">
        <v>1</v>
      </c>
      <c r="F36" s="1683">
        <v>66000</v>
      </c>
      <c r="G36" s="878">
        <f>F36*E36</f>
        <v>66000</v>
      </c>
      <c r="H36" s="802"/>
    </row>
    <row r="37" spans="2:8">
      <c r="B37" s="859"/>
      <c r="C37" s="816"/>
      <c r="D37" s="814"/>
      <c r="E37" s="1250"/>
      <c r="F37" s="1683"/>
      <c r="G37" s="1684"/>
      <c r="H37" s="802"/>
    </row>
    <row r="38" spans="2:8">
      <c r="B38" s="859"/>
      <c r="C38" s="816" t="s">
        <v>758</v>
      </c>
      <c r="D38" s="814" t="s">
        <v>754</v>
      </c>
      <c r="E38" s="1250">
        <v>1</v>
      </c>
      <c r="F38" s="1683">
        <v>50000</v>
      </c>
      <c r="G38" s="878">
        <f>SUM(E38*F38)</f>
        <v>50000</v>
      </c>
      <c r="H38" s="802"/>
    </row>
    <row r="39" spans="2:8">
      <c r="B39" s="859"/>
      <c r="C39" s="816"/>
      <c r="D39" s="814"/>
      <c r="E39" s="1250"/>
      <c r="F39" s="828"/>
      <c r="G39" s="917"/>
      <c r="H39" s="802"/>
    </row>
    <row r="40" spans="2:8">
      <c r="B40" s="859"/>
      <c r="C40" s="816" t="s">
        <v>769</v>
      </c>
      <c r="D40" s="814" t="s">
        <v>9</v>
      </c>
      <c r="E40" s="1248">
        <f>G36+G38</f>
        <v>116000</v>
      </c>
      <c r="F40" s="817">
        <v>0</v>
      </c>
      <c r="G40" s="878">
        <f>F40*E40</f>
        <v>0</v>
      </c>
      <c r="H40" s="802"/>
    </row>
    <row r="41" spans="2:8">
      <c r="B41" s="859"/>
      <c r="C41" s="816" t="s">
        <v>534</v>
      </c>
      <c r="D41" s="814"/>
      <c r="E41" s="1248"/>
      <c r="F41" s="830"/>
      <c r="G41" s="878"/>
      <c r="H41" s="802"/>
    </row>
    <row r="42" spans="2:8">
      <c r="B42" s="861" t="s">
        <v>759</v>
      </c>
      <c r="C42" s="811" t="s">
        <v>760</v>
      </c>
      <c r="D42" s="819"/>
      <c r="E42" s="1248"/>
      <c r="F42" s="828"/>
      <c r="G42" s="878"/>
      <c r="H42" s="802"/>
    </row>
    <row r="43" spans="2:8">
      <c r="B43" s="861"/>
      <c r="C43" s="811"/>
      <c r="D43" s="819"/>
      <c r="E43" s="1248"/>
      <c r="F43" s="828"/>
      <c r="G43" s="878"/>
      <c r="H43" s="802"/>
    </row>
    <row r="44" spans="2:8" ht="23.5">
      <c r="B44" s="859"/>
      <c r="C44" s="823" t="s">
        <v>770</v>
      </c>
      <c r="D44" s="814" t="s">
        <v>195</v>
      </c>
      <c r="E44" s="1248">
        <v>1</v>
      </c>
      <c r="F44" s="828">
        <v>100000</v>
      </c>
      <c r="G44" s="878">
        <f>SUM(E44*F44)</f>
        <v>100000</v>
      </c>
      <c r="H44" s="802"/>
    </row>
    <row r="45" spans="2:8">
      <c r="B45" s="859"/>
      <c r="C45" s="816"/>
      <c r="D45" s="814"/>
      <c r="E45" s="1248"/>
      <c r="F45" s="828"/>
      <c r="G45" s="917"/>
      <c r="H45" s="802"/>
    </row>
    <row r="46" spans="2:8">
      <c r="B46" s="859"/>
      <c r="C46" s="816" t="s">
        <v>771</v>
      </c>
      <c r="D46" s="814" t="s">
        <v>9</v>
      </c>
      <c r="E46" s="1248">
        <f>G44</f>
        <v>100000</v>
      </c>
      <c r="F46" s="817">
        <v>0</v>
      </c>
      <c r="G46" s="878">
        <f>F46*E46</f>
        <v>0</v>
      </c>
      <c r="H46" s="802"/>
    </row>
    <row r="47" spans="2:8">
      <c r="B47" s="859"/>
      <c r="C47" s="816" t="s">
        <v>534</v>
      </c>
      <c r="D47" s="814"/>
      <c r="E47" s="1248"/>
      <c r="F47" s="830"/>
      <c r="G47" s="879"/>
      <c r="H47" s="802"/>
    </row>
    <row r="48" spans="2:8">
      <c r="B48" s="861" t="s">
        <v>761</v>
      </c>
      <c r="C48" s="821" t="s">
        <v>762</v>
      </c>
      <c r="D48" s="809"/>
      <c r="E48" s="1249"/>
      <c r="F48" s="828"/>
      <c r="G48" s="878"/>
      <c r="H48" s="802"/>
    </row>
    <row r="49" spans="2:8">
      <c r="B49" s="861"/>
      <c r="C49" s="820" t="s">
        <v>763</v>
      </c>
      <c r="D49" s="809" t="s">
        <v>194</v>
      </c>
      <c r="E49" s="1249">
        <v>2</v>
      </c>
      <c r="F49" s="828">
        <v>0</v>
      </c>
      <c r="G49" s="878">
        <f>F49*E49</f>
        <v>0</v>
      </c>
      <c r="H49" s="802"/>
    </row>
    <row r="50" spans="2:8">
      <c r="B50" s="861"/>
      <c r="C50" s="820"/>
      <c r="D50" s="809"/>
      <c r="E50" s="1249"/>
      <c r="F50" s="828"/>
      <c r="G50" s="878"/>
      <c r="H50" s="802"/>
    </row>
    <row r="51" spans="2:8">
      <c r="B51" s="861" t="s">
        <v>761</v>
      </c>
      <c r="C51" s="821" t="s">
        <v>764</v>
      </c>
      <c r="D51" s="810" t="s">
        <v>194</v>
      </c>
      <c r="E51" s="1249">
        <v>11</v>
      </c>
      <c r="F51" s="828">
        <v>0</v>
      </c>
      <c r="G51" s="878">
        <f>F51*E51</f>
        <v>0</v>
      </c>
      <c r="H51" s="802"/>
    </row>
    <row r="52" spans="2:8">
      <c r="B52" s="861"/>
      <c r="C52" s="820"/>
      <c r="D52" s="810"/>
      <c r="E52" s="1249"/>
      <c r="F52" s="828"/>
      <c r="G52" s="878"/>
      <c r="H52" s="802"/>
    </row>
    <row r="53" spans="2:8">
      <c r="B53" s="861"/>
      <c r="C53" s="820"/>
      <c r="D53" s="810"/>
      <c r="E53" s="1249"/>
      <c r="F53" s="828"/>
      <c r="G53" s="878"/>
      <c r="H53" s="802"/>
    </row>
    <row r="54" spans="2:8">
      <c r="B54" s="861"/>
      <c r="C54" s="820"/>
      <c r="D54" s="810"/>
      <c r="E54" s="1249"/>
      <c r="F54" s="828"/>
      <c r="G54" s="878"/>
      <c r="H54" s="802"/>
    </row>
    <row r="55" spans="2:8">
      <c r="B55" s="861"/>
      <c r="C55" s="820"/>
      <c r="D55" s="810"/>
      <c r="E55" s="1249"/>
      <c r="F55" s="828"/>
      <c r="G55" s="878"/>
      <c r="H55" s="802"/>
    </row>
    <row r="56" spans="2:8">
      <c r="B56" s="861"/>
      <c r="C56" s="820"/>
      <c r="D56" s="810"/>
      <c r="E56" s="1249"/>
      <c r="F56" s="828"/>
      <c r="G56" s="878"/>
      <c r="H56" s="802"/>
    </row>
    <row r="57" spans="2:8">
      <c r="B57" s="861"/>
      <c r="C57" s="820"/>
      <c r="D57" s="810"/>
      <c r="E57" s="1249"/>
      <c r="F57" s="828"/>
      <c r="G57" s="878"/>
      <c r="H57" s="802"/>
    </row>
    <row r="58" spans="2:8">
      <c r="B58" s="861"/>
      <c r="C58" s="820"/>
      <c r="D58" s="810"/>
      <c r="E58" s="1249"/>
      <c r="F58" s="828"/>
      <c r="G58" s="878"/>
      <c r="H58" s="802"/>
    </row>
    <row r="59" spans="2:8">
      <c r="B59" s="861"/>
      <c r="C59" s="820"/>
      <c r="D59" s="810"/>
      <c r="E59" s="1249"/>
      <c r="F59" s="828"/>
      <c r="G59" s="878"/>
      <c r="H59" s="802"/>
    </row>
    <row r="60" spans="2:8">
      <c r="B60" s="861"/>
      <c r="C60" s="820"/>
      <c r="D60" s="810"/>
      <c r="E60" s="1249"/>
      <c r="F60" s="828"/>
      <c r="G60" s="878"/>
      <c r="H60" s="802"/>
    </row>
    <row r="61" spans="2:8">
      <c r="B61" s="861"/>
      <c r="C61" s="820"/>
      <c r="D61" s="822"/>
      <c r="E61" s="1249"/>
      <c r="F61" s="828"/>
      <c r="G61" s="878"/>
      <c r="H61" s="802"/>
    </row>
    <row r="62" spans="2:8">
      <c r="B62" s="861"/>
      <c r="C62" s="820"/>
      <c r="D62" s="822"/>
      <c r="E62" s="1249"/>
      <c r="F62" s="828"/>
      <c r="G62" s="878"/>
      <c r="H62" s="802"/>
    </row>
    <row r="63" spans="2:8">
      <c r="B63" s="861"/>
      <c r="C63" s="820"/>
      <c r="D63" s="822"/>
      <c r="E63" s="1249"/>
      <c r="F63" s="828"/>
      <c r="G63" s="878"/>
      <c r="H63" s="802"/>
    </row>
    <row r="64" spans="2:8">
      <c r="B64" s="861"/>
      <c r="C64" s="820"/>
      <c r="D64" s="822"/>
      <c r="E64" s="1249"/>
      <c r="F64" s="828"/>
      <c r="G64" s="878"/>
      <c r="H64" s="802"/>
    </row>
    <row r="65" spans="2:8">
      <c r="B65" s="861"/>
      <c r="C65" s="820"/>
      <c r="D65" s="822"/>
      <c r="E65" s="815"/>
      <c r="F65" s="828"/>
      <c r="G65" s="878"/>
      <c r="H65" s="802"/>
    </row>
    <row r="66" spans="2:8" ht="12.5" thickBot="1">
      <c r="B66" s="861"/>
      <c r="C66" s="820"/>
      <c r="D66" s="822"/>
      <c r="E66" s="815"/>
      <c r="F66" s="828"/>
      <c r="G66" s="878"/>
      <c r="H66" s="802"/>
    </row>
    <row r="67" spans="2:8" ht="12.5" thickBot="1">
      <c r="B67" s="895" t="s">
        <v>765</v>
      </c>
      <c r="C67" s="896"/>
      <c r="D67" s="897"/>
      <c r="E67" s="856"/>
      <c r="F67" s="898"/>
      <c r="G67" s="899">
        <v>0</v>
      </c>
      <c r="H67" s="802"/>
    </row>
  </sheetData>
  <pageMargins left="0.7" right="0.7" top="0.75" bottom="0.75" header="0.3" footer="0.3"/>
  <pageSetup scale="5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7A34D-6B16-4017-94F1-D9FAB2A8F36D}">
  <dimension ref="A1:CI1543"/>
  <sheetViews>
    <sheetView view="pageBreakPreview" zoomScale="86" zoomScaleNormal="85" zoomScaleSheetLayoutView="86" workbookViewId="0">
      <selection activeCell="F1" sqref="F1"/>
    </sheetView>
  </sheetViews>
  <sheetFormatPr defaultColWidth="8.90625" defaultRowHeight="12"/>
  <cols>
    <col min="1" max="1" width="1.54296875" style="773" customWidth="1"/>
    <col min="2" max="2" width="18.36328125" style="774" customWidth="1"/>
    <col min="3" max="3" width="90.6328125" style="773" customWidth="1"/>
    <col min="4" max="4" width="11.453125" style="771" customWidth="1"/>
    <col min="5" max="5" width="14" style="772" customWidth="1"/>
    <col min="6" max="6" width="16.54296875" style="795" customWidth="1"/>
    <col min="7" max="7" width="24.54296875" style="771" customWidth="1"/>
    <col min="8" max="8" width="8.453125" style="842" hidden="1" customWidth="1"/>
    <col min="9" max="9" width="14.453125" style="842" hidden="1" customWidth="1"/>
    <col min="10" max="10" width="14.54296875" style="843" hidden="1" customWidth="1"/>
    <col min="11" max="11" width="8.90625" style="839"/>
    <col min="12" max="12" width="13.54296875" style="839" customWidth="1"/>
    <col min="13" max="87" width="8.90625" style="839"/>
    <col min="88" max="16384" width="8.90625" style="842"/>
  </cols>
  <sheetData>
    <row r="1" spans="1:87" ht="12.5" thickBot="1">
      <c r="A1" s="928"/>
      <c r="B1" s="929"/>
      <c r="C1" s="930"/>
      <c r="D1" s="931"/>
      <c r="E1" s="932"/>
      <c r="F1" s="933"/>
      <c r="G1" s="934"/>
      <c r="H1" s="918"/>
    </row>
    <row r="2" spans="1:87" s="832" customFormat="1">
      <c r="A2" s="935"/>
      <c r="B2" s="900" t="s">
        <v>782</v>
      </c>
      <c r="C2" s="943"/>
      <c r="D2" s="944"/>
      <c r="E2" s="945"/>
      <c r="F2" s="946"/>
      <c r="G2" s="947"/>
      <c r="H2" s="919"/>
      <c r="J2" s="833"/>
      <c r="K2" s="834"/>
      <c r="L2" s="834"/>
      <c r="M2" s="834"/>
      <c r="N2" s="834"/>
      <c r="O2" s="834"/>
      <c r="P2" s="834"/>
      <c r="Q2" s="834"/>
      <c r="R2" s="834"/>
      <c r="S2" s="834"/>
      <c r="T2" s="834"/>
      <c r="U2" s="834"/>
      <c r="V2" s="834"/>
      <c r="W2" s="834"/>
      <c r="X2" s="834"/>
      <c r="Y2" s="834"/>
      <c r="Z2" s="834"/>
      <c r="AA2" s="834"/>
      <c r="AB2" s="834"/>
      <c r="AC2" s="834"/>
      <c r="AD2" s="834"/>
      <c r="AE2" s="834"/>
      <c r="AF2" s="834"/>
      <c r="AG2" s="834"/>
      <c r="AH2" s="834"/>
      <c r="AI2" s="834"/>
      <c r="AJ2" s="834"/>
      <c r="AK2" s="834"/>
      <c r="AL2" s="834"/>
      <c r="AM2" s="834"/>
      <c r="AN2" s="834"/>
      <c r="AO2" s="834"/>
      <c r="AP2" s="834"/>
      <c r="AQ2" s="834"/>
      <c r="AR2" s="834"/>
      <c r="AS2" s="834"/>
      <c r="AT2" s="834"/>
      <c r="AU2" s="834"/>
      <c r="AV2" s="834"/>
      <c r="AW2" s="834"/>
      <c r="AX2" s="834"/>
      <c r="AY2" s="834"/>
      <c r="AZ2" s="834"/>
      <c r="BA2" s="834"/>
      <c r="BB2" s="834"/>
      <c r="BC2" s="834"/>
      <c r="BD2" s="834"/>
      <c r="BE2" s="834"/>
      <c r="BF2" s="834"/>
      <c r="BG2" s="834"/>
      <c r="BH2" s="834"/>
      <c r="BI2" s="834"/>
      <c r="BJ2" s="834"/>
      <c r="BK2" s="834"/>
      <c r="BL2" s="834"/>
      <c r="BM2" s="834"/>
      <c r="BN2" s="834"/>
      <c r="BO2" s="834"/>
      <c r="BP2" s="834"/>
      <c r="BQ2" s="834"/>
      <c r="BR2" s="834"/>
      <c r="BS2" s="834"/>
      <c r="BT2" s="834"/>
      <c r="BU2" s="834"/>
      <c r="BV2" s="834"/>
      <c r="BW2" s="834"/>
      <c r="BX2" s="834"/>
      <c r="BY2" s="834"/>
      <c r="BZ2" s="834"/>
      <c r="CA2" s="834"/>
      <c r="CB2" s="834"/>
      <c r="CC2" s="834"/>
      <c r="CD2" s="834"/>
      <c r="CE2" s="834"/>
      <c r="CF2" s="834"/>
      <c r="CG2" s="834"/>
      <c r="CH2" s="834"/>
      <c r="CI2" s="834"/>
    </row>
    <row r="3" spans="1:87" s="832" customFormat="1">
      <c r="A3" s="935"/>
      <c r="B3" s="948" t="s">
        <v>482</v>
      </c>
      <c r="C3" s="939"/>
      <c r="D3" s="940"/>
      <c r="E3" s="941"/>
      <c r="F3" s="942"/>
      <c r="G3" s="949"/>
      <c r="H3" s="919"/>
      <c r="J3" s="833"/>
      <c r="K3" s="834"/>
      <c r="L3" s="834"/>
      <c r="M3" s="834"/>
      <c r="N3" s="834"/>
      <c r="O3" s="834"/>
      <c r="P3" s="834"/>
      <c r="Q3" s="834"/>
      <c r="R3" s="834"/>
      <c r="S3" s="834"/>
      <c r="T3" s="834"/>
      <c r="U3" s="834"/>
      <c r="V3" s="834"/>
      <c r="W3" s="834"/>
      <c r="X3" s="834"/>
      <c r="Y3" s="834"/>
      <c r="Z3" s="834"/>
      <c r="AA3" s="834"/>
      <c r="AB3" s="834"/>
      <c r="AC3" s="834"/>
      <c r="AD3" s="834"/>
      <c r="AE3" s="834"/>
      <c r="AF3" s="834"/>
      <c r="AG3" s="834"/>
      <c r="AH3" s="834"/>
      <c r="AI3" s="834"/>
      <c r="AJ3" s="834"/>
      <c r="AK3" s="834"/>
      <c r="AL3" s="834"/>
      <c r="AM3" s="834"/>
      <c r="AN3" s="834"/>
      <c r="AO3" s="834"/>
      <c r="AP3" s="834"/>
      <c r="AQ3" s="834"/>
      <c r="AR3" s="834"/>
      <c r="AS3" s="834"/>
      <c r="AT3" s="834"/>
      <c r="AU3" s="834"/>
      <c r="AV3" s="834"/>
      <c r="AW3" s="834"/>
      <c r="AX3" s="834"/>
      <c r="AY3" s="834"/>
      <c r="AZ3" s="834"/>
      <c r="BA3" s="834"/>
      <c r="BB3" s="834"/>
      <c r="BC3" s="834"/>
      <c r="BD3" s="834"/>
      <c r="BE3" s="834"/>
      <c r="BF3" s="834"/>
      <c r="BG3" s="834"/>
      <c r="BH3" s="834"/>
      <c r="BI3" s="834"/>
      <c r="BJ3" s="834"/>
      <c r="BK3" s="834"/>
      <c r="BL3" s="834"/>
      <c r="BM3" s="834"/>
      <c r="BN3" s="834"/>
      <c r="BO3" s="834"/>
      <c r="BP3" s="834"/>
      <c r="BQ3" s="834"/>
      <c r="BR3" s="834"/>
      <c r="BS3" s="834"/>
      <c r="BT3" s="834"/>
      <c r="BU3" s="834"/>
      <c r="BV3" s="834"/>
      <c r="BW3" s="834"/>
      <c r="BX3" s="834"/>
      <c r="BY3" s="834"/>
      <c r="BZ3" s="834"/>
      <c r="CA3" s="834"/>
      <c r="CB3" s="834"/>
      <c r="CC3" s="834"/>
      <c r="CD3" s="834"/>
      <c r="CE3" s="834"/>
      <c r="CF3" s="834"/>
      <c r="CG3" s="834"/>
      <c r="CH3" s="834"/>
      <c r="CI3" s="834"/>
    </row>
    <row r="4" spans="1:87" s="832" customFormat="1" ht="12.5" thickBot="1">
      <c r="A4" s="935"/>
      <c r="B4" s="1307"/>
      <c r="C4" s="1308"/>
      <c r="D4" s="1309"/>
      <c r="E4" s="1310"/>
      <c r="F4" s="1311"/>
      <c r="G4" s="1312" t="s">
        <v>684</v>
      </c>
      <c r="H4" s="919"/>
      <c r="J4" s="833"/>
      <c r="K4" s="834"/>
      <c r="L4" s="834"/>
      <c r="M4" s="834"/>
      <c r="N4" s="834"/>
      <c r="O4" s="834"/>
      <c r="P4" s="834"/>
      <c r="Q4" s="834"/>
      <c r="R4" s="834"/>
      <c r="S4" s="834"/>
      <c r="T4" s="834"/>
      <c r="U4" s="834"/>
      <c r="V4" s="834"/>
      <c r="W4" s="834"/>
      <c r="X4" s="834"/>
      <c r="Y4" s="834"/>
      <c r="Z4" s="834"/>
      <c r="AA4" s="834"/>
      <c r="AB4" s="834"/>
      <c r="AC4" s="834"/>
      <c r="AD4" s="834"/>
      <c r="AE4" s="834"/>
      <c r="AF4" s="834"/>
      <c r="AG4" s="834"/>
      <c r="AH4" s="834"/>
      <c r="AI4" s="834"/>
      <c r="AJ4" s="834"/>
      <c r="AK4" s="834"/>
      <c r="AL4" s="834"/>
      <c r="AM4" s="834"/>
      <c r="AN4" s="834"/>
      <c r="AO4" s="834"/>
      <c r="AP4" s="834"/>
      <c r="AQ4" s="834"/>
      <c r="AR4" s="834"/>
      <c r="AS4" s="834"/>
      <c r="AT4" s="834"/>
      <c r="AU4" s="834"/>
      <c r="AV4" s="834"/>
      <c r="AW4" s="834"/>
      <c r="AX4" s="834"/>
      <c r="AY4" s="834"/>
      <c r="AZ4" s="834"/>
      <c r="BA4" s="834"/>
      <c r="BB4" s="834"/>
      <c r="BC4" s="834"/>
      <c r="BD4" s="834"/>
      <c r="BE4" s="834"/>
      <c r="BF4" s="834"/>
      <c r="BG4" s="834"/>
      <c r="BH4" s="834"/>
      <c r="BI4" s="834"/>
      <c r="BJ4" s="834"/>
      <c r="BK4" s="834"/>
      <c r="BL4" s="834"/>
      <c r="BM4" s="834"/>
      <c r="BN4" s="834"/>
      <c r="BO4" s="834"/>
      <c r="BP4" s="834"/>
      <c r="BQ4" s="834"/>
      <c r="BR4" s="834"/>
      <c r="BS4" s="834"/>
      <c r="BT4" s="834"/>
      <c r="BU4" s="834"/>
      <c r="BV4" s="834"/>
      <c r="BW4" s="834"/>
      <c r="BX4" s="834"/>
      <c r="BY4" s="834"/>
      <c r="BZ4" s="834"/>
      <c r="CA4" s="834"/>
      <c r="CB4" s="834"/>
      <c r="CC4" s="834"/>
      <c r="CD4" s="834"/>
      <c r="CE4" s="834"/>
      <c r="CF4" s="834"/>
      <c r="CG4" s="834"/>
      <c r="CH4" s="834"/>
      <c r="CI4" s="834"/>
    </row>
    <row r="5" spans="1:87" s="767" customFormat="1" ht="30" customHeight="1">
      <c r="A5" s="936"/>
      <c r="B5" s="1313" t="s">
        <v>0</v>
      </c>
      <c r="C5" s="1322" t="s">
        <v>2</v>
      </c>
      <c r="D5" s="1333" t="s">
        <v>3</v>
      </c>
      <c r="E5" s="1339" t="s">
        <v>4</v>
      </c>
      <c r="F5" s="1352" t="s">
        <v>5</v>
      </c>
      <c r="G5" s="1347" t="s">
        <v>6</v>
      </c>
      <c r="H5" s="920" t="s">
        <v>217</v>
      </c>
      <c r="I5" s="757" t="s">
        <v>216</v>
      </c>
      <c r="J5" s="775" t="s">
        <v>218</v>
      </c>
      <c r="K5" s="760"/>
      <c r="L5" s="760"/>
      <c r="M5" s="760"/>
      <c r="N5" s="760"/>
      <c r="O5" s="760"/>
      <c r="P5" s="760"/>
      <c r="Q5" s="760"/>
      <c r="R5" s="760"/>
      <c r="S5" s="760"/>
      <c r="T5" s="760"/>
      <c r="U5" s="760"/>
      <c r="V5" s="760"/>
      <c r="W5" s="760"/>
      <c r="X5" s="760"/>
      <c r="Y5" s="760"/>
      <c r="Z5" s="760"/>
      <c r="AA5" s="760"/>
      <c r="AB5" s="760"/>
      <c r="AC5" s="760"/>
      <c r="AD5" s="760"/>
      <c r="AE5" s="760"/>
      <c r="AF5" s="760"/>
      <c r="AG5" s="760"/>
      <c r="AH5" s="760"/>
      <c r="AI5" s="760"/>
      <c r="AJ5" s="760"/>
      <c r="AK5" s="760"/>
      <c r="AL5" s="760"/>
      <c r="AM5" s="760"/>
      <c r="AN5" s="760"/>
      <c r="AO5" s="760"/>
      <c r="AP5" s="760"/>
      <c r="AQ5" s="760"/>
      <c r="AR5" s="760"/>
      <c r="AS5" s="760"/>
      <c r="AT5" s="760"/>
      <c r="AU5" s="760"/>
      <c r="AV5" s="760"/>
      <c r="AW5" s="760"/>
      <c r="AX5" s="760"/>
      <c r="AY5" s="760"/>
      <c r="AZ5" s="760"/>
      <c r="BA5" s="760"/>
      <c r="BB5" s="760"/>
      <c r="BC5" s="760"/>
      <c r="BD5" s="760"/>
      <c r="BE5" s="760"/>
      <c r="BF5" s="760"/>
      <c r="BG5" s="760"/>
      <c r="BH5" s="760"/>
      <c r="BI5" s="760"/>
      <c r="BJ5" s="760"/>
      <c r="BK5" s="760"/>
      <c r="BL5" s="760"/>
      <c r="BM5" s="760"/>
      <c r="BN5" s="760"/>
      <c r="BO5" s="760"/>
      <c r="BP5" s="760"/>
      <c r="BQ5" s="760"/>
      <c r="BR5" s="760"/>
      <c r="BS5" s="760"/>
      <c r="BT5" s="760"/>
      <c r="BU5" s="760"/>
      <c r="BV5" s="760"/>
      <c r="BW5" s="760"/>
      <c r="BX5" s="760"/>
      <c r="BY5" s="760"/>
      <c r="BZ5" s="760"/>
      <c r="CA5" s="760"/>
      <c r="CB5" s="760"/>
      <c r="CC5" s="760"/>
      <c r="CD5" s="760"/>
      <c r="CE5" s="760"/>
      <c r="CF5" s="760"/>
      <c r="CG5" s="760"/>
      <c r="CH5" s="760"/>
      <c r="CI5" s="760"/>
    </row>
    <row r="6" spans="1:87" s="768" customFormat="1" ht="11.5">
      <c r="A6" s="937"/>
      <c r="B6" s="1314"/>
      <c r="C6" s="1323"/>
      <c r="D6" s="1334"/>
      <c r="E6" s="1340"/>
      <c r="F6" s="1353"/>
      <c r="G6" s="1348"/>
      <c r="H6" s="921"/>
      <c r="I6" s="758"/>
      <c r="J6" s="776"/>
      <c r="K6" s="761"/>
      <c r="L6" s="761"/>
      <c r="M6" s="761"/>
      <c r="N6" s="761"/>
      <c r="O6" s="761"/>
      <c r="P6" s="761"/>
      <c r="Q6" s="761"/>
      <c r="R6" s="761"/>
      <c r="S6" s="761"/>
      <c r="T6" s="761"/>
      <c r="U6" s="761"/>
      <c r="V6" s="761"/>
      <c r="W6" s="761"/>
      <c r="X6" s="761"/>
      <c r="Y6" s="761"/>
      <c r="Z6" s="761"/>
      <c r="AA6" s="761"/>
      <c r="AB6" s="761"/>
      <c r="AC6" s="761"/>
      <c r="AD6" s="761"/>
      <c r="AE6" s="761"/>
      <c r="AF6" s="761"/>
      <c r="AG6" s="761"/>
      <c r="AH6" s="761"/>
      <c r="AI6" s="761"/>
      <c r="AJ6" s="761"/>
      <c r="AK6" s="761"/>
      <c r="AL6" s="761"/>
      <c r="AM6" s="761"/>
      <c r="AN6" s="761"/>
      <c r="AO6" s="761"/>
      <c r="AP6" s="761"/>
      <c r="AQ6" s="761"/>
      <c r="AR6" s="761"/>
      <c r="AS6" s="761"/>
      <c r="AT6" s="761"/>
      <c r="AU6" s="761"/>
      <c r="AV6" s="761"/>
      <c r="AW6" s="761"/>
      <c r="AX6" s="761"/>
      <c r="AY6" s="761"/>
      <c r="AZ6" s="761"/>
      <c r="BA6" s="761"/>
      <c r="BB6" s="761"/>
      <c r="BC6" s="761"/>
      <c r="BD6" s="761"/>
      <c r="BE6" s="761"/>
      <c r="BF6" s="761"/>
      <c r="BG6" s="761"/>
      <c r="BH6" s="761"/>
      <c r="BI6" s="761"/>
      <c r="BJ6" s="761"/>
      <c r="BK6" s="761"/>
      <c r="BL6" s="761"/>
      <c r="BM6" s="761"/>
      <c r="BN6" s="761"/>
      <c r="BO6" s="761"/>
      <c r="BP6" s="761"/>
      <c r="BQ6" s="761"/>
      <c r="BR6" s="761"/>
      <c r="BS6" s="761"/>
      <c r="BT6" s="761"/>
      <c r="BU6" s="761"/>
      <c r="BV6" s="761"/>
      <c r="BW6" s="761"/>
      <c r="BX6" s="761"/>
      <c r="BY6" s="761"/>
      <c r="BZ6" s="761"/>
      <c r="CA6" s="761"/>
      <c r="CB6" s="761"/>
      <c r="CC6" s="761"/>
      <c r="CD6" s="761"/>
      <c r="CE6" s="761"/>
      <c r="CF6" s="761"/>
      <c r="CG6" s="761"/>
      <c r="CH6" s="761"/>
      <c r="CI6" s="761"/>
    </row>
    <row r="7" spans="1:87" s="767" customFormat="1" ht="11.5">
      <c r="A7" s="936"/>
      <c r="B7" s="1315" t="s">
        <v>681</v>
      </c>
      <c r="C7" s="1324" t="s">
        <v>685</v>
      </c>
      <c r="D7" s="1335"/>
      <c r="E7" s="1341"/>
      <c r="F7" s="1354"/>
      <c r="G7" s="1349"/>
      <c r="H7" s="922"/>
      <c r="I7" s="769"/>
      <c r="J7" s="777"/>
      <c r="K7" s="760"/>
      <c r="L7" s="760"/>
      <c r="M7" s="760"/>
      <c r="N7" s="760"/>
      <c r="O7" s="760"/>
      <c r="P7" s="760"/>
      <c r="Q7" s="760"/>
      <c r="R7" s="760"/>
      <c r="S7" s="760"/>
      <c r="T7" s="760"/>
      <c r="U7" s="760"/>
      <c r="V7" s="760"/>
      <c r="W7" s="760"/>
      <c r="X7" s="760"/>
      <c r="Y7" s="760"/>
      <c r="Z7" s="760"/>
      <c r="AA7" s="760"/>
      <c r="AB7" s="760"/>
      <c r="AC7" s="760"/>
      <c r="AD7" s="760"/>
      <c r="AE7" s="760"/>
      <c r="AF7" s="760"/>
      <c r="AG7" s="760"/>
      <c r="AH7" s="760"/>
      <c r="AI7" s="760"/>
      <c r="AJ7" s="760"/>
      <c r="AK7" s="760"/>
      <c r="AL7" s="760"/>
      <c r="AM7" s="760"/>
      <c r="AN7" s="760"/>
      <c r="AO7" s="760"/>
      <c r="AP7" s="760"/>
      <c r="AQ7" s="760"/>
      <c r="AR7" s="760"/>
      <c r="AS7" s="760"/>
      <c r="AT7" s="760"/>
      <c r="AU7" s="760"/>
      <c r="AV7" s="760"/>
      <c r="AW7" s="760"/>
      <c r="AX7" s="760"/>
      <c r="AY7" s="760"/>
      <c r="AZ7" s="760"/>
      <c r="BA7" s="760"/>
      <c r="BB7" s="760"/>
      <c r="BC7" s="760"/>
      <c r="BD7" s="760"/>
      <c r="BE7" s="760"/>
      <c r="BF7" s="760"/>
      <c r="BG7" s="760"/>
      <c r="BH7" s="760"/>
      <c r="BI7" s="760"/>
      <c r="BJ7" s="760"/>
      <c r="BK7" s="760"/>
      <c r="BL7" s="760"/>
      <c r="BM7" s="760"/>
      <c r="BN7" s="760"/>
      <c r="BO7" s="760"/>
      <c r="BP7" s="760"/>
      <c r="BQ7" s="760"/>
      <c r="BR7" s="760"/>
      <c r="BS7" s="760"/>
      <c r="BT7" s="760"/>
      <c r="BU7" s="760"/>
      <c r="BV7" s="760"/>
      <c r="BW7" s="760"/>
      <c r="BX7" s="760"/>
      <c r="BY7" s="760"/>
      <c r="BZ7" s="760"/>
      <c r="CA7" s="760"/>
      <c r="CB7" s="760"/>
      <c r="CC7" s="760"/>
      <c r="CD7" s="760"/>
      <c r="CE7" s="760"/>
      <c r="CF7" s="760"/>
      <c r="CG7" s="760"/>
      <c r="CH7" s="760"/>
      <c r="CI7" s="760"/>
    </row>
    <row r="8" spans="1:87" s="767" customFormat="1" ht="11.5">
      <c r="A8" s="936"/>
      <c r="B8" s="1316"/>
      <c r="C8" s="1325"/>
      <c r="D8" s="1336"/>
      <c r="E8" s="1341"/>
      <c r="F8" s="1354"/>
      <c r="G8" s="1349"/>
      <c r="H8" s="923"/>
      <c r="I8" s="769"/>
      <c r="J8" s="777"/>
      <c r="K8" s="760"/>
      <c r="L8" s="760"/>
      <c r="M8" s="760"/>
      <c r="N8" s="760"/>
      <c r="O8" s="760"/>
      <c r="P8" s="760"/>
      <c r="Q8" s="760"/>
      <c r="R8" s="760"/>
      <c r="S8" s="760"/>
      <c r="T8" s="760"/>
      <c r="U8" s="760"/>
      <c r="V8" s="760"/>
      <c r="W8" s="760"/>
      <c r="X8" s="760"/>
      <c r="Y8" s="760"/>
      <c r="Z8" s="760"/>
      <c r="AA8" s="760"/>
      <c r="AB8" s="760"/>
      <c r="AC8" s="760"/>
      <c r="AD8" s="760"/>
      <c r="AE8" s="760"/>
      <c r="AF8" s="760"/>
      <c r="AG8" s="760"/>
      <c r="AH8" s="760"/>
      <c r="AI8" s="760"/>
      <c r="AJ8" s="760"/>
      <c r="AK8" s="760"/>
      <c r="AL8" s="760"/>
      <c r="AM8" s="760"/>
      <c r="AN8" s="760"/>
      <c r="AO8" s="760"/>
      <c r="AP8" s="760"/>
      <c r="AQ8" s="760"/>
      <c r="AR8" s="760"/>
      <c r="AS8" s="760"/>
      <c r="AT8" s="760"/>
      <c r="AU8" s="760"/>
      <c r="AV8" s="760"/>
      <c r="AW8" s="760"/>
      <c r="AX8" s="760"/>
      <c r="AY8" s="760"/>
      <c r="AZ8" s="760"/>
      <c r="BA8" s="760"/>
      <c r="BB8" s="760"/>
      <c r="BC8" s="760"/>
      <c r="BD8" s="760"/>
      <c r="BE8" s="760"/>
      <c r="BF8" s="760"/>
      <c r="BG8" s="760"/>
      <c r="BH8" s="760"/>
      <c r="BI8" s="760"/>
      <c r="BJ8" s="760"/>
      <c r="BK8" s="760"/>
      <c r="BL8" s="760"/>
      <c r="BM8" s="760"/>
      <c r="BN8" s="760"/>
      <c r="BO8" s="760"/>
      <c r="BP8" s="760"/>
      <c r="BQ8" s="760"/>
      <c r="BR8" s="760"/>
      <c r="BS8" s="760"/>
      <c r="BT8" s="760"/>
      <c r="BU8" s="760"/>
      <c r="BV8" s="760"/>
      <c r="BW8" s="760"/>
      <c r="BX8" s="760"/>
      <c r="BY8" s="760"/>
      <c r="BZ8" s="760"/>
      <c r="CA8" s="760"/>
      <c r="CB8" s="760"/>
      <c r="CC8" s="760"/>
      <c r="CD8" s="760"/>
      <c r="CE8" s="760"/>
      <c r="CF8" s="760"/>
      <c r="CG8" s="760"/>
      <c r="CH8" s="760"/>
      <c r="CI8" s="760"/>
    </row>
    <row r="9" spans="1:87" s="767" customFormat="1" ht="21.15" customHeight="1">
      <c r="A9" s="936"/>
      <c r="B9" s="1315" t="s">
        <v>686</v>
      </c>
      <c r="C9" s="1324" t="s">
        <v>687</v>
      </c>
      <c r="D9" s="1335"/>
      <c r="E9" s="1341"/>
      <c r="F9" s="1354"/>
      <c r="G9" s="1349"/>
      <c r="H9" s="922"/>
      <c r="I9" s="769"/>
      <c r="J9" s="777"/>
      <c r="K9" s="760"/>
      <c r="L9" s="760"/>
      <c r="M9" s="760"/>
      <c r="N9" s="760"/>
      <c r="O9" s="760"/>
      <c r="P9" s="760"/>
      <c r="Q9" s="760"/>
      <c r="R9" s="760"/>
      <c r="S9" s="760"/>
      <c r="T9" s="760"/>
      <c r="U9" s="760"/>
      <c r="V9" s="760"/>
      <c r="W9" s="760"/>
      <c r="X9" s="760"/>
      <c r="Y9" s="760"/>
      <c r="Z9" s="760"/>
      <c r="AA9" s="760"/>
      <c r="AB9" s="760"/>
      <c r="AC9" s="760"/>
      <c r="AD9" s="760"/>
      <c r="AE9" s="760"/>
      <c r="AF9" s="760"/>
      <c r="AG9" s="760"/>
      <c r="AH9" s="760"/>
      <c r="AI9" s="760"/>
      <c r="AJ9" s="760"/>
      <c r="AK9" s="760"/>
      <c r="AL9" s="760"/>
      <c r="AM9" s="760"/>
      <c r="AN9" s="760"/>
      <c r="AO9" s="760"/>
      <c r="AP9" s="760"/>
      <c r="AQ9" s="760"/>
      <c r="AR9" s="760"/>
      <c r="AS9" s="760"/>
      <c r="AT9" s="760"/>
      <c r="AU9" s="760"/>
      <c r="AV9" s="760"/>
      <c r="AW9" s="760"/>
      <c r="AX9" s="760"/>
      <c r="AY9" s="760"/>
      <c r="AZ9" s="760"/>
      <c r="BA9" s="760"/>
      <c r="BB9" s="760"/>
      <c r="BC9" s="760"/>
      <c r="BD9" s="760"/>
      <c r="BE9" s="760"/>
      <c r="BF9" s="760"/>
      <c r="BG9" s="760"/>
      <c r="BH9" s="760"/>
      <c r="BI9" s="760"/>
      <c r="BJ9" s="760"/>
      <c r="BK9" s="760"/>
      <c r="BL9" s="760"/>
      <c r="BM9" s="760"/>
      <c r="BN9" s="760"/>
      <c r="BO9" s="760"/>
      <c r="BP9" s="760"/>
      <c r="BQ9" s="760"/>
      <c r="BR9" s="760"/>
      <c r="BS9" s="760"/>
      <c r="BT9" s="760"/>
      <c r="BU9" s="760"/>
      <c r="BV9" s="760"/>
      <c r="BW9" s="760"/>
      <c r="BX9" s="760"/>
      <c r="BY9" s="760"/>
      <c r="BZ9" s="760"/>
      <c r="CA9" s="760"/>
      <c r="CB9" s="760"/>
      <c r="CC9" s="760"/>
      <c r="CD9" s="760"/>
      <c r="CE9" s="760"/>
      <c r="CF9" s="760"/>
      <c r="CG9" s="760"/>
      <c r="CH9" s="760"/>
      <c r="CI9" s="760"/>
    </row>
    <row r="10" spans="1:87" s="767" customFormat="1" ht="11.5">
      <c r="A10" s="936"/>
      <c r="B10" s="1316"/>
      <c r="C10" s="1325"/>
      <c r="D10" s="1336"/>
      <c r="E10" s="1341"/>
      <c r="F10" s="1355"/>
      <c r="G10" s="1349"/>
      <c r="H10" s="923"/>
      <c r="I10" s="769"/>
      <c r="J10" s="777"/>
      <c r="K10" s="760"/>
      <c r="L10" s="760"/>
      <c r="M10" s="760"/>
      <c r="N10" s="760"/>
      <c r="O10" s="760"/>
      <c r="P10" s="760"/>
      <c r="Q10" s="760"/>
      <c r="R10" s="760"/>
      <c r="S10" s="760"/>
      <c r="T10" s="760"/>
      <c r="U10" s="760"/>
      <c r="V10" s="760"/>
      <c r="W10" s="760"/>
      <c r="X10" s="760"/>
      <c r="Y10" s="760"/>
      <c r="Z10" s="760"/>
      <c r="AA10" s="760"/>
      <c r="AB10" s="760"/>
      <c r="AC10" s="760"/>
      <c r="AD10" s="760"/>
      <c r="AE10" s="760"/>
      <c r="AF10" s="760"/>
      <c r="AG10" s="760"/>
      <c r="AH10" s="760"/>
      <c r="AI10" s="760"/>
      <c r="AJ10" s="760"/>
      <c r="AK10" s="760"/>
      <c r="AL10" s="760"/>
      <c r="AM10" s="760"/>
      <c r="AN10" s="760"/>
      <c r="AO10" s="760"/>
      <c r="AP10" s="760"/>
      <c r="AQ10" s="760"/>
      <c r="AR10" s="760"/>
      <c r="AS10" s="760"/>
      <c r="AT10" s="760"/>
      <c r="AU10" s="760"/>
      <c r="AV10" s="760"/>
      <c r="AW10" s="760"/>
      <c r="AX10" s="760"/>
      <c r="AY10" s="760"/>
      <c r="AZ10" s="760"/>
      <c r="BA10" s="760"/>
      <c r="BB10" s="760"/>
      <c r="BC10" s="760"/>
      <c r="BD10" s="760"/>
      <c r="BE10" s="760"/>
      <c r="BF10" s="760"/>
      <c r="BG10" s="760"/>
      <c r="BH10" s="760"/>
      <c r="BI10" s="760"/>
      <c r="BJ10" s="760"/>
      <c r="BK10" s="760"/>
      <c r="BL10" s="760"/>
      <c r="BM10" s="760"/>
      <c r="BN10" s="760"/>
      <c r="BO10" s="760"/>
      <c r="BP10" s="760"/>
      <c r="BQ10" s="760"/>
      <c r="BR10" s="760"/>
      <c r="BS10" s="760"/>
      <c r="BT10" s="760"/>
      <c r="BU10" s="760"/>
      <c r="BV10" s="760"/>
      <c r="BW10" s="760"/>
      <c r="BX10" s="760"/>
      <c r="BY10" s="760"/>
      <c r="BZ10" s="760"/>
      <c r="CA10" s="760"/>
      <c r="CB10" s="760"/>
      <c r="CC10" s="760"/>
      <c r="CD10" s="760"/>
      <c r="CE10" s="760"/>
      <c r="CF10" s="760"/>
      <c r="CG10" s="760"/>
      <c r="CH10" s="760"/>
      <c r="CI10" s="760"/>
    </row>
    <row r="11" spans="1:87" s="767" customFormat="1" ht="21.15" customHeight="1">
      <c r="A11" s="936"/>
      <c r="B11" s="1317"/>
      <c r="C11" s="1326" t="s">
        <v>688</v>
      </c>
      <c r="D11" s="1335" t="s">
        <v>689</v>
      </c>
      <c r="E11" s="1342">
        <v>1</v>
      </c>
      <c r="F11" s="1355">
        <v>0</v>
      </c>
      <c r="G11" s="1349">
        <f>F11*E11</f>
        <v>0</v>
      </c>
      <c r="H11" s="924">
        <v>1</v>
      </c>
      <c r="I11" s="770">
        <f>F11*H11</f>
        <v>0</v>
      </c>
      <c r="J11" s="778">
        <f>G11-I11</f>
        <v>0</v>
      </c>
      <c r="K11" s="760"/>
      <c r="L11" s="760"/>
      <c r="M11" s="760"/>
      <c r="N11" s="760"/>
      <c r="O11" s="760"/>
      <c r="P11" s="760"/>
      <c r="Q11" s="760"/>
      <c r="R11" s="760"/>
      <c r="S11" s="760"/>
      <c r="T11" s="760"/>
      <c r="U11" s="760"/>
      <c r="V11" s="760"/>
      <c r="W11" s="760"/>
      <c r="X11" s="760"/>
      <c r="Y11" s="760"/>
      <c r="Z11" s="760"/>
      <c r="AA11" s="760"/>
      <c r="AB11" s="760"/>
      <c r="AC11" s="760"/>
      <c r="AD11" s="760"/>
      <c r="AE11" s="760"/>
      <c r="AF11" s="760"/>
      <c r="AG11" s="760"/>
      <c r="AH11" s="760"/>
      <c r="AI11" s="760"/>
      <c r="AJ11" s="760"/>
      <c r="AK11" s="760"/>
      <c r="AL11" s="760"/>
      <c r="AM11" s="760"/>
      <c r="AN11" s="760"/>
      <c r="AO11" s="760"/>
      <c r="AP11" s="760"/>
      <c r="AQ11" s="760"/>
      <c r="AR11" s="760"/>
      <c r="AS11" s="760"/>
      <c r="AT11" s="760"/>
      <c r="AU11" s="760"/>
      <c r="AV11" s="760"/>
      <c r="AW11" s="760"/>
      <c r="AX11" s="760"/>
      <c r="AY11" s="760"/>
      <c r="AZ11" s="760"/>
      <c r="BA11" s="760"/>
      <c r="BB11" s="760"/>
      <c r="BC11" s="760"/>
      <c r="BD11" s="760"/>
      <c r="BE11" s="760"/>
      <c r="BF11" s="760"/>
      <c r="BG11" s="760"/>
      <c r="BH11" s="760"/>
      <c r="BI11" s="760"/>
      <c r="BJ11" s="760"/>
      <c r="BK11" s="760"/>
      <c r="BL11" s="760"/>
      <c r="BM11" s="760"/>
      <c r="BN11" s="760"/>
      <c r="BO11" s="760"/>
      <c r="BP11" s="760"/>
      <c r="BQ11" s="760"/>
      <c r="BR11" s="760"/>
      <c r="BS11" s="760"/>
      <c r="BT11" s="760"/>
      <c r="BU11" s="760"/>
      <c r="BV11" s="760"/>
      <c r="BW11" s="760"/>
      <c r="BX11" s="760"/>
      <c r="BY11" s="760"/>
      <c r="BZ11" s="760"/>
      <c r="CA11" s="760"/>
      <c r="CB11" s="760"/>
      <c r="CC11" s="760"/>
      <c r="CD11" s="760"/>
      <c r="CE11" s="760"/>
      <c r="CF11" s="760"/>
      <c r="CG11" s="760"/>
      <c r="CH11" s="760"/>
      <c r="CI11" s="760"/>
    </row>
    <row r="12" spans="1:87" s="767" customFormat="1" ht="21.15" customHeight="1">
      <c r="A12" s="936"/>
      <c r="B12" s="1317"/>
      <c r="C12" s="1326" t="s">
        <v>690</v>
      </c>
      <c r="D12" s="1335" t="s">
        <v>689</v>
      </c>
      <c r="E12" s="1342">
        <v>1</v>
      </c>
      <c r="F12" s="1355">
        <v>0</v>
      </c>
      <c r="G12" s="1349">
        <f>F12*E12</f>
        <v>0</v>
      </c>
      <c r="H12" s="924">
        <v>1</v>
      </c>
      <c r="I12" s="770">
        <f>F12*H12</f>
        <v>0</v>
      </c>
      <c r="J12" s="778">
        <f>G12-I12</f>
        <v>0</v>
      </c>
      <c r="K12" s="760"/>
      <c r="L12" s="760"/>
      <c r="M12" s="760"/>
      <c r="N12" s="760"/>
      <c r="O12" s="760"/>
      <c r="P12" s="760"/>
      <c r="Q12" s="760"/>
      <c r="R12" s="760"/>
      <c r="S12" s="760"/>
      <c r="T12" s="760"/>
      <c r="U12" s="760"/>
      <c r="V12" s="760"/>
      <c r="W12" s="760"/>
      <c r="X12" s="760"/>
      <c r="Y12" s="760"/>
      <c r="Z12" s="760"/>
      <c r="AA12" s="760"/>
      <c r="AB12" s="760"/>
      <c r="AC12" s="760"/>
      <c r="AD12" s="760"/>
      <c r="AE12" s="760"/>
      <c r="AF12" s="760"/>
      <c r="AG12" s="760"/>
      <c r="AH12" s="760"/>
      <c r="AI12" s="760"/>
      <c r="AJ12" s="760"/>
      <c r="AK12" s="760"/>
      <c r="AL12" s="760"/>
      <c r="AM12" s="760"/>
      <c r="AN12" s="760"/>
      <c r="AO12" s="760"/>
      <c r="AP12" s="760"/>
      <c r="AQ12" s="760"/>
      <c r="AR12" s="760"/>
      <c r="AS12" s="760"/>
      <c r="AT12" s="760"/>
      <c r="AU12" s="760"/>
      <c r="AV12" s="760"/>
      <c r="AW12" s="760"/>
      <c r="AX12" s="760"/>
      <c r="AY12" s="760"/>
      <c r="AZ12" s="760"/>
      <c r="BA12" s="760"/>
      <c r="BB12" s="760"/>
      <c r="BC12" s="760"/>
      <c r="BD12" s="760"/>
      <c r="BE12" s="760"/>
      <c r="BF12" s="760"/>
      <c r="BG12" s="760"/>
      <c r="BH12" s="760"/>
      <c r="BI12" s="760"/>
      <c r="BJ12" s="760"/>
      <c r="BK12" s="760"/>
      <c r="BL12" s="760"/>
      <c r="BM12" s="760"/>
      <c r="BN12" s="760"/>
      <c r="BO12" s="760"/>
      <c r="BP12" s="760"/>
      <c r="BQ12" s="760"/>
      <c r="BR12" s="760"/>
      <c r="BS12" s="760"/>
      <c r="BT12" s="760"/>
      <c r="BU12" s="760"/>
      <c r="BV12" s="760"/>
      <c r="BW12" s="760"/>
      <c r="BX12" s="760"/>
      <c r="BY12" s="760"/>
      <c r="BZ12" s="760"/>
      <c r="CA12" s="760"/>
      <c r="CB12" s="760"/>
      <c r="CC12" s="760"/>
      <c r="CD12" s="760"/>
      <c r="CE12" s="760"/>
      <c r="CF12" s="760"/>
      <c r="CG12" s="760"/>
      <c r="CH12" s="760"/>
      <c r="CI12" s="760"/>
    </row>
    <row r="13" spans="1:87" s="767" customFormat="1" ht="21.15" customHeight="1">
      <c r="A13" s="936"/>
      <c r="B13" s="1317"/>
      <c r="C13" s="1326" t="s">
        <v>691</v>
      </c>
      <c r="D13" s="1335" t="s">
        <v>692</v>
      </c>
      <c r="E13" s="1342">
        <v>11</v>
      </c>
      <c r="F13" s="1355">
        <v>0</v>
      </c>
      <c r="G13" s="1349">
        <f t="shared" ref="G13" si="0">F13*E13</f>
        <v>0</v>
      </c>
      <c r="H13" s="924">
        <v>10</v>
      </c>
      <c r="I13" s="770">
        <f>F13*H13</f>
        <v>0</v>
      </c>
      <c r="J13" s="778">
        <f>G13-I13</f>
        <v>0</v>
      </c>
      <c r="K13" s="760"/>
      <c r="L13" s="760"/>
      <c r="M13" s="760"/>
      <c r="N13" s="760"/>
      <c r="O13" s="760"/>
      <c r="P13" s="760"/>
      <c r="Q13" s="760"/>
      <c r="R13" s="760"/>
      <c r="S13" s="760"/>
      <c r="T13" s="760"/>
      <c r="U13" s="760"/>
      <c r="V13" s="760"/>
      <c r="W13" s="760"/>
      <c r="X13" s="760"/>
      <c r="Y13" s="760"/>
      <c r="Z13" s="760"/>
      <c r="AA13" s="760"/>
      <c r="AB13" s="760"/>
      <c r="AC13" s="760"/>
      <c r="AD13" s="760"/>
      <c r="AE13" s="760"/>
      <c r="AF13" s="760"/>
      <c r="AG13" s="760"/>
      <c r="AH13" s="760"/>
      <c r="AI13" s="760"/>
      <c r="AJ13" s="760"/>
      <c r="AK13" s="760"/>
      <c r="AL13" s="760"/>
      <c r="AM13" s="760"/>
      <c r="AN13" s="760"/>
      <c r="AO13" s="760"/>
      <c r="AP13" s="760"/>
      <c r="AQ13" s="760"/>
      <c r="AR13" s="760"/>
      <c r="AS13" s="760"/>
      <c r="AT13" s="760"/>
      <c r="AU13" s="760"/>
      <c r="AV13" s="760"/>
      <c r="AW13" s="760"/>
      <c r="AX13" s="760"/>
      <c r="AY13" s="760"/>
      <c r="AZ13" s="760"/>
      <c r="BA13" s="760"/>
      <c r="BB13" s="760"/>
      <c r="BC13" s="760"/>
      <c r="BD13" s="760"/>
      <c r="BE13" s="760"/>
      <c r="BF13" s="760"/>
      <c r="BG13" s="760"/>
      <c r="BH13" s="760"/>
      <c r="BI13" s="760"/>
      <c r="BJ13" s="760"/>
      <c r="BK13" s="760"/>
      <c r="BL13" s="760"/>
      <c r="BM13" s="760"/>
      <c r="BN13" s="760"/>
      <c r="BO13" s="760"/>
      <c r="BP13" s="760"/>
      <c r="BQ13" s="760"/>
      <c r="BR13" s="760"/>
      <c r="BS13" s="760"/>
      <c r="BT13" s="760"/>
      <c r="BU13" s="760"/>
      <c r="BV13" s="760"/>
      <c r="BW13" s="760"/>
      <c r="BX13" s="760"/>
      <c r="BY13" s="760"/>
      <c r="BZ13" s="760"/>
      <c r="CA13" s="760"/>
      <c r="CB13" s="760"/>
      <c r="CC13" s="760"/>
      <c r="CD13" s="760"/>
      <c r="CE13" s="760"/>
      <c r="CF13" s="760"/>
      <c r="CG13" s="760"/>
      <c r="CH13" s="760"/>
      <c r="CI13" s="760"/>
    </row>
    <row r="14" spans="1:87" s="767" customFormat="1" ht="10.25" customHeight="1">
      <c r="A14" s="936"/>
      <c r="B14" s="1317"/>
      <c r="C14" s="1326"/>
      <c r="D14" s="1335"/>
      <c r="E14" s="1342"/>
      <c r="F14" s="1355"/>
      <c r="G14" s="1349"/>
      <c r="H14" s="924"/>
      <c r="I14" s="770"/>
      <c r="J14" s="778"/>
      <c r="K14" s="760"/>
      <c r="L14" s="835" t="e">
        <f>(G11+G13)/SUMMARY!G37</f>
        <v>#DIV/0!</v>
      </c>
      <c r="M14" s="760"/>
      <c r="N14" s="760"/>
      <c r="O14" s="760"/>
      <c r="P14" s="760"/>
      <c r="Q14" s="760"/>
      <c r="R14" s="760"/>
      <c r="S14" s="760"/>
      <c r="T14" s="760"/>
      <c r="U14" s="760"/>
      <c r="V14" s="760"/>
      <c r="W14" s="760"/>
      <c r="X14" s="760"/>
      <c r="Y14" s="760"/>
      <c r="Z14" s="760"/>
      <c r="AA14" s="760"/>
      <c r="AB14" s="760"/>
      <c r="AC14" s="760"/>
      <c r="AD14" s="760"/>
      <c r="AE14" s="760"/>
      <c r="AF14" s="760"/>
      <c r="AG14" s="760"/>
      <c r="AH14" s="760"/>
      <c r="AI14" s="760"/>
      <c r="AJ14" s="760"/>
      <c r="AK14" s="760"/>
      <c r="AL14" s="760"/>
      <c r="AM14" s="760"/>
      <c r="AN14" s="760"/>
      <c r="AO14" s="760"/>
      <c r="AP14" s="760"/>
      <c r="AQ14" s="760"/>
      <c r="AR14" s="760"/>
      <c r="AS14" s="760"/>
      <c r="AT14" s="760"/>
      <c r="AU14" s="760"/>
      <c r="AV14" s="760"/>
      <c r="AW14" s="760"/>
      <c r="AX14" s="760"/>
      <c r="AY14" s="760"/>
      <c r="AZ14" s="760"/>
      <c r="BA14" s="760"/>
      <c r="BB14" s="760"/>
      <c r="BC14" s="760"/>
      <c r="BD14" s="760"/>
      <c r="BE14" s="760"/>
      <c r="BF14" s="760"/>
      <c r="BG14" s="760"/>
      <c r="BH14" s="760"/>
      <c r="BI14" s="760"/>
      <c r="BJ14" s="760"/>
      <c r="BK14" s="760"/>
      <c r="BL14" s="760"/>
      <c r="BM14" s="760"/>
      <c r="BN14" s="760"/>
      <c r="BO14" s="760"/>
      <c r="BP14" s="760"/>
      <c r="BQ14" s="760"/>
      <c r="BR14" s="760"/>
      <c r="BS14" s="760"/>
      <c r="BT14" s="760"/>
      <c r="BU14" s="760"/>
      <c r="BV14" s="760"/>
      <c r="BW14" s="760"/>
      <c r="BX14" s="760"/>
      <c r="BY14" s="760"/>
      <c r="BZ14" s="760"/>
      <c r="CA14" s="760"/>
      <c r="CB14" s="760"/>
      <c r="CC14" s="760"/>
      <c r="CD14" s="760"/>
      <c r="CE14" s="760"/>
      <c r="CF14" s="760"/>
      <c r="CG14" s="760"/>
      <c r="CH14" s="760"/>
      <c r="CI14" s="760"/>
    </row>
    <row r="15" spans="1:87" s="767" customFormat="1" ht="11.5">
      <c r="A15" s="936"/>
      <c r="B15" s="1317"/>
      <c r="C15" s="1327" t="s">
        <v>693</v>
      </c>
      <c r="D15" s="1335" t="s">
        <v>9</v>
      </c>
      <c r="E15" s="1343"/>
      <c r="F15" s="1355"/>
      <c r="G15" s="1349"/>
      <c r="H15" s="924"/>
      <c r="I15" s="770"/>
      <c r="J15" s="778"/>
      <c r="K15" s="760"/>
      <c r="L15" s="760"/>
      <c r="M15" s="760"/>
      <c r="N15" s="760"/>
      <c r="O15" s="760"/>
      <c r="P15" s="760"/>
      <c r="Q15" s="760"/>
      <c r="R15" s="760"/>
      <c r="S15" s="760"/>
      <c r="T15" s="760"/>
      <c r="U15" s="760"/>
      <c r="V15" s="760"/>
      <c r="W15" s="760"/>
      <c r="X15" s="760"/>
      <c r="Y15" s="760"/>
      <c r="Z15" s="760"/>
      <c r="AA15" s="760"/>
      <c r="AB15" s="760"/>
      <c r="AC15" s="760"/>
      <c r="AD15" s="760"/>
      <c r="AE15" s="760"/>
      <c r="AF15" s="760"/>
      <c r="AG15" s="760"/>
      <c r="AH15" s="760"/>
      <c r="AI15" s="760"/>
      <c r="AJ15" s="760"/>
      <c r="AK15" s="760"/>
      <c r="AL15" s="760"/>
      <c r="AM15" s="760"/>
      <c r="AN15" s="760"/>
      <c r="AO15" s="760"/>
      <c r="AP15" s="760"/>
      <c r="AQ15" s="760"/>
      <c r="AR15" s="760"/>
      <c r="AS15" s="760"/>
      <c r="AT15" s="760"/>
      <c r="AU15" s="760"/>
      <c r="AV15" s="760"/>
      <c r="AW15" s="760"/>
      <c r="AX15" s="760"/>
      <c r="AY15" s="760"/>
      <c r="AZ15" s="760"/>
      <c r="BA15" s="760"/>
      <c r="BB15" s="760"/>
      <c r="BC15" s="760"/>
      <c r="BD15" s="760"/>
      <c r="BE15" s="760"/>
      <c r="BF15" s="760"/>
      <c r="BG15" s="760"/>
      <c r="BH15" s="760"/>
      <c r="BI15" s="760"/>
      <c r="BJ15" s="760"/>
      <c r="BK15" s="760"/>
      <c r="BL15" s="760"/>
      <c r="BM15" s="760"/>
      <c r="BN15" s="760"/>
      <c r="BO15" s="760"/>
      <c r="BP15" s="760"/>
      <c r="BQ15" s="760"/>
      <c r="BR15" s="760"/>
      <c r="BS15" s="760"/>
      <c r="BT15" s="760"/>
      <c r="BU15" s="760"/>
      <c r="BV15" s="760"/>
      <c r="BW15" s="760"/>
      <c r="BX15" s="760"/>
      <c r="BY15" s="760"/>
      <c r="BZ15" s="760"/>
      <c r="CA15" s="760"/>
      <c r="CB15" s="760"/>
      <c r="CC15" s="760"/>
      <c r="CD15" s="760"/>
      <c r="CE15" s="760"/>
      <c r="CF15" s="760"/>
      <c r="CG15" s="760"/>
      <c r="CH15" s="760"/>
      <c r="CI15" s="760"/>
    </row>
    <row r="16" spans="1:87" s="767" customFormat="1" ht="11.5">
      <c r="A16" s="936"/>
      <c r="B16" s="1317"/>
      <c r="C16" s="1327"/>
      <c r="D16" s="1335"/>
      <c r="E16" s="1342"/>
      <c r="F16" s="1355"/>
      <c r="G16" s="1349"/>
      <c r="H16" s="924"/>
      <c r="I16" s="770"/>
      <c r="J16" s="778"/>
      <c r="K16" s="760"/>
      <c r="L16" s="760"/>
      <c r="M16" s="760"/>
      <c r="N16" s="760"/>
      <c r="O16" s="760"/>
      <c r="P16" s="760"/>
      <c r="Q16" s="760"/>
      <c r="R16" s="760"/>
      <c r="S16" s="760"/>
      <c r="T16" s="760"/>
      <c r="U16" s="760"/>
      <c r="V16" s="760"/>
      <c r="W16" s="760"/>
      <c r="X16" s="760"/>
      <c r="Y16" s="760"/>
      <c r="Z16" s="760"/>
      <c r="AA16" s="760"/>
      <c r="AB16" s="760"/>
      <c r="AC16" s="760"/>
      <c r="AD16" s="760"/>
      <c r="AE16" s="760"/>
      <c r="AF16" s="760"/>
      <c r="AG16" s="760"/>
      <c r="AH16" s="760"/>
      <c r="AI16" s="760"/>
      <c r="AJ16" s="760"/>
      <c r="AK16" s="760"/>
      <c r="AL16" s="760"/>
      <c r="AM16" s="760"/>
      <c r="AN16" s="760"/>
      <c r="AO16" s="760"/>
      <c r="AP16" s="760"/>
      <c r="AQ16" s="760"/>
      <c r="AR16" s="760"/>
      <c r="AS16" s="760"/>
      <c r="AT16" s="760"/>
      <c r="AU16" s="760"/>
      <c r="AV16" s="760"/>
      <c r="AW16" s="760"/>
      <c r="AX16" s="760"/>
      <c r="AY16" s="760"/>
      <c r="AZ16" s="760"/>
      <c r="BA16" s="760"/>
      <c r="BB16" s="760"/>
      <c r="BC16" s="760"/>
      <c r="BD16" s="760"/>
      <c r="BE16" s="760"/>
      <c r="BF16" s="760"/>
      <c r="BG16" s="760"/>
      <c r="BH16" s="760"/>
      <c r="BI16" s="760"/>
      <c r="BJ16" s="760"/>
      <c r="BK16" s="760"/>
      <c r="BL16" s="760"/>
      <c r="BM16" s="760"/>
      <c r="BN16" s="760"/>
      <c r="BO16" s="760"/>
      <c r="BP16" s="760"/>
      <c r="BQ16" s="760"/>
      <c r="BR16" s="760"/>
      <c r="BS16" s="760"/>
      <c r="BT16" s="760"/>
      <c r="BU16" s="760"/>
      <c r="BV16" s="760"/>
      <c r="BW16" s="760"/>
      <c r="BX16" s="760"/>
      <c r="BY16" s="760"/>
      <c r="BZ16" s="760"/>
      <c r="CA16" s="760"/>
      <c r="CB16" s="760"/>
      <c r="CC16" s="760"/>
      <c r="CD16" s="760"/>
      <c r="CE16" s="760"/>
      <c r="CF16" s="760"/>
      <c r="CG16" s="760"/>
      <c r="CH16" s="760"/>
      <c r="CI16" s="760"/>
    </row>
    <row r="17" spans="1:87" s="767" customFormat="1" ht="23">
      <c r="A17" s="936"/>
      <c r="B17" s="1317"/>
      <c r="C17" s="1327" t="s">
        <v>703</v>
      </c>
      <c r="D17" s="1335"/>
      <c r="E17" s="1342"/>
      <c r="F17" s="1355"/>
      <c r="G17" s="1349"/>
      <c r="H17" s="924"/>
      <c r="I17" s="769"/>
      <c r="J17" s="777"/>
      <c r="K17" s="760"/>
      <c r="L17" s="760"/>
      <c r="M17" s="760"/>
      <c r="N17" s="760"/>
      <c r="O17" s="760"/>
      <c r="P17" s="760"/>
      <c r="Q17" s="760"/>
      <c r="R17" s="760"/>
      <c r="S17" s="760"/>
      <c r="T17" s="760"/>
      <c r="U17" s="760"/>
      <c r="V17" s="760"/>
      <c r="W17" s="760"/>
      <c r="X17" s="760"/>
      <c r="Y17" s="760"/>
      <c r="Z17" s="760"/>
      <c r="AA17" s="760"/>
      <c r="AB17" s="760"/>
      <c r="AC17" s="760"/>
      <c r="AD17" s="760"/>
      <c r="AE17" s="760"/>
      <c r="AF17" s="760"/>
      <c r="AG17" s="760"/>
      <c r="AH17" s="760"/>
      <c r="AI17" s="760"/>
      <c r="AJ17" s="760"/>
      <c r="AK17" s="760"/>
      <c r="AL17" s="760"/>
      <c r="AM17" s="760"/>
      <c r="AN17" s="760"/>
      <c r="AO17" s="760"/>
      <c r="AP17" s="760"/>
      <c r="AQ17" s="760"/>
      <c r="AR17" s="760"/>
      <c r="AS17" s="760"/>
      <c r="AT17" s="760"/>
      <c r="AU17" s="760"/>
      <c r="AV17" s="760"/>
      <c r="AW17" s="760"/>
      <c r="AX17" s="760"/>
      <c r="AY17" s="760"/>
      <c r="AZ17" s="760"/>
      <c r="BA17" s="760"/>
      <c r="BB17" s="760"/>
      <c r="BC17" s="760"/>
      <c r="BD17" s="760"/>
      <c r="BE17" s="760"/>
      <c r="BF17" s="760"/>
      <c r="BG17" s="760"/>
      <c r="BH17" s="760"/>
      <c r="BI17" s="760"/>
      <c r="BJ17" s="760"/>
      <c r="BK17" s="760"/>
      <c r="BL17" s="760"/>
      <c r="BM17" s="760"/>
      <c r="BN17" s="760"/>
      <c r="BO17" s="760"/>
      <c r="BP17" s="760"/>
      <c r="BQ17" s="760"/>
      <c r="BR17" s="760"/>
      <c r="BS17" s="760"/>
      <c r="BT17" s="760"/>
      <c r="BU17" s="760"/>
      <c r="BV17" s="760"/>
      <c r="BW17" s="760"/>
      <c r="BX17" s="760"/>
      <c r="BY17" s="760"/>
      <c r="BZ17" s="760"/>
      <c r="CA17" s="760"/>
      <c r="CB17" s="760"/>
      <c r="CC17" s="760"/>
      <c r="CD17" s="760"/>
      <c r="CE17" s="760"/>
      <c r="CF17" s="760"/>
      <c r="CG17" s="760"/>
      <c r="CH17" s="760"/>
      <c r="CI17" s="760"/>
    </row>
    <row r="18" spans="1:87" s="767" customFormat="1" ht="11.5">
      <c r="A18" s="936"/>
      <c r="B18" s="1317"/>
      <c r="C18" s="1326"/>
      <c r="D18" s="1335"/>
      <c r="E18" s="1342"/>
      <c r="F18" s="1355"/>
      <c r="G18" s="1349"/>
      <c r="H18" s="924"/>
      <c r="I18" s="769"/>
      <c r="J18" s="777"/>
      <c r="K18" s="760"/>
      <c r="L18" s="760"/>
      <c r="M18" s="760"/>
      <c r="N18" s="760"/>
      <c r="O18" s="760"/>
      <c r="P18" s="760"/>
      <c r="Q18" s="760"/>
      <c r="R18" s="760"/>
      <c r="S18" s="760"/>
      <c r="T18" s="760"/>
      <c r="U18" s="760"/>
      <c r="V18" s="760"/>
      <c r="W18" s="760"/>
      <c r="X18" s="760"/>
      <c r="Y18" s="760"/>
      <c r="Z18" s="760"/>
      <c r="AA18" s="760"/>
      <c r="AB18" s="760"/>
      <c r="AC18" s="760"/>
      <c r="AD18" s="760"/>
      <c r="AE18" s="760"/>
      <c r="AF18" s="760"/>
      <c r="AG18" s="760"/>
      <c r="AH18" s="760"/>
      <c r="AI18" s="760"/>
      <c r="AJ18" s="760"/>
      <c r="AK18" s="760"/>
      <c r="AL18" s="760"/>
      <c r="AM18" s="760"/>
      <c r="AN18" s="760"/>
      <c r="AO18" s="760"/>
      <c r="AP18" s="760"/>
      <c r="AQ18" s="760"/>
      <c r="AR18" s="760"/>
      <c r="AS18" s="760"/>
      <c r="AT18" s="760"/>
      <c r="AU18" s="760"/>
      <c r="AV18" s="760"/>
      <c r="AW18" s="760"/>
      <c r="AX18" s="760"/>
      <c r="AY18" s="760"/>
      <c r="AZ18" s="760"/>
      <c r="BA18" s="760"/>
      <c r="BB18" s="760"/>
      <c r="BC18" s="760"/>
      <c r="BD18" s="760"/>
      <c r="BE18" s="760"/>
      <c r="BF18" s="760"/>
      <c r="BG18" s="760"/>
      <c r="BH18" s="760"/>
      <c r="BI18" s="760"/>
      <c r="BJ18" s="760"/>
      <c r="BK18" s="760"/>
      <c r="BL18" s="760"/>
      <c r="BM18" s="760"/>
      <c r="BN18" s="760"/>
      <c r="BO18" s="760"/>
      <c r="BP18" s="760"/>
      <c r="BQ18" s="760"/>
      <c r="BR18" s="760"/>
      <c r="BS18" s="760"/>
      <c r="BT18" s="760"/>
      <c r="BU18" s="760"/>
      <c r="BV18" s="760"/>
      <c r="BW18" s="760"/>
      <c r="BX18" s="760"/>
      <c r="BY18" s="760"/>
      <c r="BZ18" s="760"/>
      <c r="CA18" s="760"/>
      <c r="CB18" s="760"/>
      <c r="CC18" s="760"/>
      <c r="CD18" s="760"/>
      <c r="CE18" s="760"/>
      <c r="CF18" s="760"/>
      <c r="CG18" s="760"/>
      <c r="CH18" s="760"/>
      <c r="CI18" s="760"/>
    </row>
    <row r="19" spans="1:87" s="767" customFormat="1" ht="21.65" customHeight="1">
      <c r="A19" s="936"/>
      <c r="B19" s="1318" t="s">
        <v>694</v>
      </c>
      <c r="C19" s="1328" t="s">
        <v>695</v>
      </c>
      <c r="D19" s="1337"/>
      <c r="E19" s="1344"/>
      <c r="F19" s="1355"/>
      <c r="G19" s="1349"/>
      <c r="H19" s="925"/>
      <c r="I19" s="769"/>
      <c r="J19" s="777"/>
      <c r="K19" s="760"/>
      <c r="L19" s="760"/>
      <c r="M19" s="760"/>
      <c r="N19" s="760"/>
      <c r="O19" s="760"/>
      <c r="P19" s="760"/>
      <c r="Q19" s="760"/>
      <c r="R19" s="760"/>
      <c r="S19" s="760"/>
      <c r="T19" s="760"/>
      <c r="U19" s="760"/>
      <c r="V19" s="760"/>
      <c r="W19" s="760"/>
      <c r="X19" s="760"/>
      <c r="Y19" s="760"/>
      <c r="Z19" s="760"/>
      <c r="AA19" s="760"/>
      <c r="AB19" s="760"/>
      <c r="AC19" s="760"/>
      <c r="AD19" s="760"/>
      <c r="AE19" s="760"/>
      <c r="AF19" s="760"/>
      <c r="AG19" s="760"/>
      <c r="AH19" s="760"/>
      <c r="AI19" s="760"/>
      <c r="AJ19" s="760"/>
      <c r="AK19" s="760"/>
      <c r="AL19" s="760"/>
      <c r="AM19" s="760"/>
      <c r="AN19" s="760"/>
      <c r="AO19" s="760"/>
      <c r="AP19" s="760"/>
      <c r="AQ19" s="760"/>
      <c r="AR19" s="760"/>
      <c r="AS19" s="760"/>
      <c r="AT19" s="760"/>
      <c r="AU19" s="760"/>
      <c r="AV19" s="760"/>
      <c r="AW19" s="760"/>
      <c r="AX19" s="760"/>
      <c r="AY19" s="760"/>
      <c r="AZ19" s="760"/>
      <c r="BA19" s="760"/>
      <c r="BB19" s="760"/>
      <c r="BC19" s="760"/>
      <c r="BD19" s="760"/>
      <c r="BE19" s="760"/>
      <c r="BF19" s="760"/>
      <c r="BG19" s="760"/>
      <c r="BH19" s="760"/>
      <c r="BI19" s="760"/>
      <c r="BJ19" s="760"/>
      <c r="BK19" s="760"/>
      <c r="BL19" s="760"/>
      <c r="BM19" s="760"/>
      <c r="BN19" s="760"/>
      <c r="BO19" s="760"/>
      <c r="BP19" s="760"/>
      <c r="BQ19" s="760"/>
      <c r="BR19" s="760"/>
      <c r="BS19" s="760"/>
      <c r="BT19" s="760"/>
      <c r="BU19" s="760"/>
      <c r="BV19" s="760"/>
      <c r="BW19" s="760"/>
      <c r="BX19" s="760"/>
      <c r="BY19" s="760"/>
      <c r="BZ19" s="760"/>
      <c r="CA19" s="760"/>
      <c r="CB19" s="760"/>
      <c r="CC19" s="760"/>
      <c r="CD19" s="760"/>
      <c r="CE19" s="760"/>
      <c r="CF19" s="760"/>
      <c r="CG19" s="760"/>
      <c r="CH19" s="760"/>
      <c r="CI19" s="760"/>
    </row>
    <row r="20" spans="1:87" s="767" customFormat="1" ht="21.15" customHeight="1">
      <c r="A20" s="936"/>
      <c r="B20" s="1316"/>
      <c r="C20" s="1329"/>
      <c r="D20" s="1336"/>
      <c r="E20" s="1342"/>
      <c r="F20" s="1355"/>
      <c r="G20" s="1349"/>
      <c r="H20" s="923"/>
      <c r="I20" s="769"/>
      <c r="J20" s="777"/>
      <c r="K20" s="760"/>
      <c r="L20" s="760"/>
      <c r="M20" s="760"/>
      <c r="N20" s="760"/>
      <c r="O20" s="760"/>
      <c r="P20" s="760"/>
      <c r="Q20" s="760"/>
      <c r="R20" s="760"/>
      <c r="S20" s="760"/>
      <c r="T20" s="760"/>
      <c r="U20" s="760"/>
      <c r="V20" s="760"/>
      <c r="W20" s="760"/>
      <c r="X20" s="760"/>
      <c r="Y20" s="760"/>
      <c r="Z20" s="760"/>
      <c r="AA20" s="760"/>
      <c r="AB20" s="760"/>
      <c r="AC20" s="760"/>
      <c r="AD20" s="760"/>
      <c r="AE20" s="760"/>
      <c r="AF20" s="760"/>
      <c r="AG20" s="760"/>
      <c r="AH20" s="760"/>
      <c r="AI20" s="760"/>
      <c r="AJ20" s="760"/>
      <c r="AK20" s="760"/>
      <c r="AL20" s="760"/>
      <c r="AM20" s="760"/>
      <c r="AN20" s="760"/>
      <c r="AO20" s="760"/>
      <c r="AP20" s="760"/>
      <c r="AQ20" s="760"/>
      <c r="AR20" s="760"/>
      <c r="AS20" s="760"/>
      <c r="AT20" s="760"/>
      <c r="AU20" s="760"/>
      <c r="AV20" s="760"/>
      <c r="AW20" s="760"/>
      <c r="AX20" s="760"/>
      <c r="AY20" s="760"/>
      <c r="AZ20" s="760"/>
      <c r="BA20" s="760"/>
      <c r="BB20" s="760"/>
      <c r="BC20" s="760"/>
      <c r="BD20" s="760"/>
      <c r="BE20" s="760"/>
      <c r="BF20" s="760"/>
      <c r="BG20" s="760"/>
      <c r="BH20" s="760"/>
      <c r="BI20" s="760"/>
      <c r="BJ20" s="760"/>
      <c r="BK20" s="760"/>
      <c r="BL20" s="760"/>
      <c r="BM20" s="760"/>
      <c r="BN20" s="760"/>
      <c r="BO20" s="760"/>
      <c r="BP20" s="760"/>
      <c r="BQ20" s="760"/>
      <c r="BR20" s="760"/>
      <c r="BS20" s="760"/>
      <c r="BT20" s="760"/>
      <c r="BU20" s="760"/>
      <c r="BV20" s="760"/>
      <c r="BW20" s="760"/>
      <c r="BX20" s="760"/>
      <c r="BY20" s="760"/>
      <c r="BZ20" s="760"/>
      <c r="CA20" s="760"/>
      <c r="CB20" s="760"/>
      <c r="CC20" s="760"/>
      <c r="CD20" s="760"/>
      <c r="CE20" s="760"/>
      <c r="CF20" s="760"/>
      <c r="CG20" s="760"/>
      <c r="CH20" s="760"/>
      <c r="CI20" s="760"/>
    </row>
    <row r="21" spans="1:87" s="767" customFormat="1" ht="21.15" customHeight="1">
      <c r="A21" s="936"/>
      <c r="B21" s="1317"/>
      <c r="C21" s="1330" t="s">
        <v>696</v>
      </c>
      <c r="D21" s="1335" t="s">
        <v>697</v>
      </c>
      <c r="E21" s="1342">
        <v>11</v>
      </c>
      <c r="F21" s="1355">
        <v>0</v>
      </c>
      <c r="G21" s="1349">
        <f>E21*F21</f>
        <v>0</v>
      </c>
      <c r="H21" s="926">
        <v>10</v>
      </c>
      <c r="I21" s="770">
        <f>F21*H21</f>
        <v>0</v>
      </c>
      <c r="J21" s="778">
        <f>G21-I21</f>
        <v>0</v>
      </c>
      <c r="K21" s="760"/>
      <c r="L21" s="760"/>
      <c r="M21" s="760"/>
      <c r="N21" s="760"/>
      <c r="O21" s="760"/>
      <c r="P21" s="760"/>
      <c r="Q21" s="760"/>
      <c r="R21" s="760"/>
      <c r="S21" s="760"/>
      <c r="T21" s="760"/>
      <c r="U21" s="760"/>
      <c r="V21" s="760"/>
      <c r="W21" s="760"/>
      <c r="X21" s="760"/>
      <c r="Y21" s="760"/>
      <c r="Z21" s="760"/>
      <c r="AA21" s="760"/>
      <c r="AB21" s="760"/>
      <c r="AC21" s="760"/>
      <c r="AD21" s="760"/>
      <c r="AE21" s="760"/>
      <c r="AF21" s="760"/>
      <c r="AG21" s="760"/>
      <c r="AH21" s="760"/>
      <c r="AI21" s="760"/>
      <c r="AJ21" s="760"/>
      <c r="AK21" s="760"/>
      <c r="AL21" s="760"/>
      <c r="AM21" s="760"/>
      <c r="AN21" s="760"/>
      <c r="AO21" s="760"/>
      <c r="AP21" s="760"/>
      <c r="AQ21" s="760"/>
      <c r="AR21" s="760"/>
      <c r="AS21" s="760"/>
      <c r="AT21" s="760"/>
      <c r="AU21" s="760"/>
      <c r="AV21" s="760"/>
      <c r="AW21" s="760"/>
      <c r="AX21" s="760"/>
      <c r="AY21" s="760"/>
      <c r="AZ21" s="760"/>
      <c r="BA21" s="760"/>
      <c r="BB21" s="760"/>
      <c r="BC21" s="760"/>
      <c r="BD21" s="760"/>
      <c r="BE21" s="760"/>
      <c r="BF21" s="760"/>
      <c r="BG21" s="760"/>
      <c r="BH21" s="760"/>
      <c r="BI21" s="760"/>
      <c r="BJ21" s="760"/>
      <c r="BK21" s="760"/>
      <c r="BL21" s="760"/>
      <c r="BM21" s="760"/>
      <c r="BN21" s="760"/>
      <c r="BO21" s="760"/>
      <c r="BP21" s="760"/>
      <c r="BQ21" s="760"/>
      <c r="BR21" s="760"/>
      <c r="BS21" s="760"/>
      <c r="BT21" s="760"/>
      <c r="BU21" s="760"/>
      <c r="BV21" s="760"/>
      <c r="BW21" s="760"/>
      <c r="BX21" s="760"/>
      <c r="BY21" s="760"/>
      <c r="BZ21" s="760"/>
      <c r="CA21" s="760"/>
      <c r="CB21" s="760"/>
      <c r="CC21" s="760"/>
      <c r="CD21" s="760"/>
      <c r="CE21" s="760"/>
      <c r="CF21" s="760"/>
      <c r="CG21" s="760"/>
      <c r="CH21" s="760"/>
      <c r="CI21" s="760"/>
    </row>
    <row r="22" spans="1:87" s="767" customFormat="1" ht="21.15" customHeight="1">
      <c r="A22" s="936"/>
      <c r="B22" s="1316"/>
      <c r="C22" s="1331"/>
      <c r="D22" s="1335"/>
      <c r="E22" s="1342"/>
      <c r="F22" s="1355"/>
      <c r="G22" s="1349"/>
      <c r="H22" s="926"/>
      <c r="I22" s="769"/>
      <c r="J22" s="777"/>
      <c r="K22" s="760"/>
      <c r="L22" s="760"/>
      <c r="M22" s="760"/>
      <c r="N22" s="760"/>
      <c r="O22" s="760"/>
      <c r="P22" s="760"/>
      <c r="Q22" s="760"/>
      <c r="R22" s="760"/>
      <c r="S22" s="760"/>
      <c r="T22" s="760"/>
      <c r="U22" s="760"/>
      <c r="V22" s="760"/>
      <c r="W22" s="760"/>
      <c r="X22" s="760"/>
      <c r="Y22" s="760"/>
      <c r="Z22" s="760"/>
      <c r="AA22" s="760"/>
      <c r="AB22" s="760"/>
      <c r="AC22" s="760"/>
      <c r="AD22" s="760"/>
      <c r="AE22" s="760"/>
      <c r="AF22" s="760"/>
      <c r="AG22" s="760"/>
      <c r="AH22" s="760"/>
      <c r="AI22" s="760"/>
      <c r="AJ22" s="760"/>
      <c r="AK22" s="760"/>
      <c r="AL22" s="760"/>
      <c r="AM22" s="760"/>
      <c r="AN22" s="760"/>
      <c r="AO22" s="760"/>
      <c r="AP22" s="760"/>
      <c r="AQ22" s="760"/>
      <c r="AR22" s="760"/>
      <c r="AS22" s="760"/>
      <c r="AT22" s="760"/>
      <c r="AU22" s="760"/>
      <c r="AV22" s="760"/>
      <c r="AW22" s="760"/>
      <c r="AX22" s="760"/>
      <c r="AY22" s="760"/>
      <c r="AZ22" s="760"/>
      <c r="BA22" s="760"/>
      <c r="BB22" s="760"/>
      <c r="BC22" s="760"/>
      <c r="BD22" s="760"/>
      <c r="BE22" s="760"/>
      <c r="BF22" s="760"/>
      <c r="BG22" s="760"/>
      <c r="BH22" s="760"/>
      <c r="BI22" s="760"/>
      <c r="BJ22" s="760"/>
      <c r="BK22" s="760"/>
      <c r="BL22" s="760"/>
      <c r="BM22" s="760"/>
      <c r="BN22" s="760"/>
      <c r="BO22" s="760"/>
      <c r="BP22" s="760"/>
      <c r="BQ22" s="760"/>
      <c r="BR22" s="760"/>
      <c r="BS22" s="760"/>
      <c r="BT22" s="760"/>
      <c r="BU22" s="760"/>
      <c r="BV22" s="760"/>
      <c r="BW22" s="760"/>
      <c r="BX22" s="760"/>
      <c r="BY22" s="760"/>
      <c r="BZ22" s="760"/>
      <c r="CA22" s="760"/>
      <c r="CB22" s="760"/>
      <c r="CC22" s="760"/>
      <c r="CD22" s="760"/>
      <c r="CE22" s="760"/>
      <c r="CF22" s="760"/>
      <c r="CG22" s="760"/>
      <c r="CH22" s="760"/>
      <c r="CI22" s="760"/>
    </row>
    <row r="23" spans="1:87" s="767" customFormat="1" ht="21.15" customHeight="1">
      <c r="A23" s="936"/>
      <c r="B23" s="1316"/>
      <c r="C23" s="1326" t="s">
        <v>698</v>
      </c>
      <c r="D23" s="1335" t="s">
        <v>697</v>
      </c>
      <c r="E23" s="1342">
        <v>11</v>
      </c>
      <c r="F23" s="1355">
        <v>0</v>
      </c>
      <c r="G23" s="1349">
        <f t="shared" ref="G23:G29" si="1">E23*F23</f>
        <v>0</v>
      </c>
      <c r="H23" s="926"/>
      <c r="I23" s="769"/>
      <c r="J23" s="777"/>
      <c r="K23" s="760"/>
      <c r="L23" s="760"/>
      <c r="M23" s="760"/>
      <c r="N23" s="760"/>
      <c r="O23" s="760"/>
      <c r="P23" s="760"/>
      <c r="Q23" s="760"/>
      <c r="R23" s="760"/>
      <c r="S23" s="760"/>
      <c r="T23" s="760"/>
      <c r="U23" s="760"/>
      <c r="V23" s="760"/>
      <c r="W23" s="760"/>
      <c r="X23" s="760"/>
      <c r="Y23" s="760"/>
      <c r="Z23" s="760"/>
      <c r="AA23" s="760"/>
      <c r="AB23" s="760"/>
      <c r="AC23" s="760"/>
      <c r="AD23" s="760"/>
      <c r="AE23" s="760"/>
      <c r="AF23" s="760"/>
      <c r="AG23" s="760"/>
      <c r="AH23" s="760"/>
      <c r="AI23" s="760"/>
      <c r="AJ23" s="760"/>
      <c r="AK23" s="760"/>
      <c r="AL23" s="760"/>
      <c r="AM23" s="760"/>
      <c r="AN23" s="760"/>
      <c r="AO23" s="760"/>
      <c r="AP23" s="760"/>
      <c r="AQ23" s="760"/>
      <c r="AR23" s="760"/>
      <c r="AS23" s="760"/>
      <c r="AT23" s="760"/>
      <c r="AU23" s="760"/>
      <c r="AV23" s="760"/>
      <c r="AW23" s="760"/>
      <c r="AX23" s="760"/>
      <c r="AY23" s="760"/>
      <c r="AZ23" s="760"/>
      <c r="BA23" s="760"/>
      <c r="BB23" s="760"/>
      <c r="BC23" s="760"/>
      <c r="BD23" s="760"/>
      <c r="BE23" s="760"/>
      <c r="BF23" s="760"/>
      <c r="BG23" s="760"/>
      <c r="BH23" s="760"/>
      <c r="BI23" s="760"/>
      <c r="BJ23" s="760"/>
      <c r="BK23" s="760"/>
      <c r="BL23" s="760"/>
      <c r="BM23" s="760"/>
      <c r="BN23" s="760"/>
      <c r="BO23" s="760"/>
      <c r="BP23" s="760"/>
      <c r="BQ23" s="760"/>
      <c r="BR23" s="760"/>
      <c r="BS23" s="760"/>
      <c r="BT23" s="760"/>
      <c r="BU23" s="760"/>
      <c r="BV23" s="760"/>
      <c r="BW23" s="760"/>
      <c r="BX23" s="760"/>
      <c r="BY23" s="760"/>
      <c r="BZ23" s="760"/>
      <c r="CA23" s="760"/>
      <c r="CB23" s="760"/>
      <c r="CC23" s="760"/>
      <c r="CD23" s="760"/>
      <c r="CE23" s="760"/>
      <c r="CF23" s="760"/>
      <c r="CG23" s="760"/>
      <c r="CH23" s="760"/>
      <c r="CI23" s="760"/>
    </row>
    <row r="24" spans="1:87" s="767" customFormat="1" ht="21.15" customHeight="1">
      <c r="A24" s="936"/>
      <c r="B24" s="1316"/>
      <c r="C24" s="1326"/>
      <c r="D24" s="1335"/>
      <c r="E24" s="1342"/>
      <c r="F24" s="1355"/>
      <c r="G24" s="1349"/>
      <c r="H24" s="926"/>
      <c r="I24" s="769"/>
      <c r="J24" s="777"/>
      <c r="K24" s="760"/>
      <c r="L24" s="760"/>
      <c r="M24" s="760"/>
      <c r="N24" s="760"/>
      <c r="O24" s="760"/>
      <c r="P24" s="760"/>
      <c r="Q24" s="760"/>
      <c r="R24" s="760"/>
      <c r="S24" s="760"/>
      <c r="T24" s="760"/>
      <c r="U24" s="760"/>
      <c r="V24" s="760"/>
      <c r="W24" s="760"/>
      <c r="X24" s="760"/>
      <c r="Y24" s="760"/>
      <c r="Z24" s="760"/>
      <c r="AA24" s="760"/>
      <c r="AB24" s="760"/>
      <c r="AC24" s="760"/>
      <c r="AD24" s="760"/>
      <c r="AE24" s="760"/>
      <c r="AF24" s="760"/>
      <c r="AG24" s="760"/>
      <c r="AH24" s="760"/>
      <c r="AI24" s="760"/>
      <c r="AJ24" s="760"/>
      <c r="AK24" s="760"/>
      <c r="AL24" s="760"/>
      <c r="AM24" s="760"/>
      <c r="AN24" s="760"/>
      <c r="AO24" s="760"/>
      <c r="AP24" s="760"/>
      <c r="AQ24" s="760"/>
      <c r="AR24" s="760"/>
      <c r="AS24" s="760"/>
      <c r="AT24" s="760"/>
      <c r="AU24" s="760"/>
      <c r="AV24" s="760"/>
      <c r="AW24" s="760"/>
      <c r="AX24" s="760"/>
      <c r="AY24" s="760"/>
      <c r="AZ24" s="760"/>
      <c r="BA24" s="760"/>
      <c r="BB24" s="760"/>
      <c r="BC24" s="760"/>
      <c r="BD24" s="760"/>
      <c r="BE24" s="760"/>
      <c r="BF24" s="760"/>
      <c r="BG24" s="760"/>
      <c r="BH24" s="760"/>
      <c r="BI24" s="760"/>
      <c r="BJ24" s="760"/>
      <c r="BK24" s="760"/>
      <c r="BL24" s="760"/>
      <c r="BM24" s="760"/>
      <c r="BN24" s="760"/>
      <c r="BO24" s="760"/>
      <c r="BP24" s="760"/>
      <c r="BQ24" s="760"/>
      <c r="BR24" s="760"/>
      <c r="BS24" s="760"/>
      <c r="BT24" s="760"/>
      <c r="BU24" s="760"/>
      <c r="BV24" s="760"/>
      <c r="BW24" s="760"/>
      <c r="BX24" s="760"/>
      <c r="BY24" s="760"/>
      <c r="BZ24" s="760"/>
      <c r="CA24" s="760"/>
      <c r="CB24" s="760"/>
      <c r="CC24" s="760"/>
      <c r="CD24" s="760"/>
      <c r="CE24" s="760"/>
      <c r="CF24" s="760"/>
      <c r="CG24" s="760"/>
      <c r="CH24" s="760"/>
      <c r="CI24" s="760"/>
    </row>
    <row r="25" spans="1:87" s="767" customFormat="1" ht="21.15" customHeight="1">
      <c r="A25" s="936"/>
      <c r="B25" s="1316"/>
      <c r="C25" s="1326" t="s">
        <v>699</v>
      </c>
      <c r="D25" s="1335" t="s">
        <v>697</v>
      </c>
      <c r="E25" s="1342">
        <v>11</v>
      </c>
      <c r="F25" s="1355">
        <v>0</v>
      </c>
      <c r="G25" s="1349">
        <f t="shared" si="1"/>
        <v>0</v>
      </c>
      <c r="H25" s="926"/>
      <c r="I25" s="769"/>
      <c r="J25" s="777"/>
      <c r="K25" s="760"/>
      <c r="L25" s="760"/>
      <c r="M25" s="760"/>
      <c r="N25" s="760"/>
      <c r="O25" s="760"/>
      <c r="P25" s="760"/>
      <c r="Q25" s="760"/>
      <c r="R25" s="760"/>
      <c r="S25" s="760"/>
      <c r="T25" s="760"/>
      <c r="U25" s="760"/>
      <c r="V25" s="760"/>
      <c r="W25" s="760"/>
      <c r="X25" s="760"/>
      <c r="Y25" s="760"/>
      <c r="Z25" s="760"/>
      <c r="AA25" s="760"/>
      <c r="AB25" s="760"/>
      <c r="AC25" s="760"/>
      <c r="AD25" s="760"/>
      <c r="AE25" s="760"/>
      <c r="AF25" s="760"/>
      <c r="AG25" s="760"/>
      <c r="AH25" s="760"/>
      <c r="AI25" s="760"/>
      <c r="AJ25" s="760"/>
      <c r="AK25" s="760"/>
      <c r="AL25" s="760"/>
      <c r="AM25" s="760"/>
      <c r="AN25" s="760"/>
      <c r="AO25" s="760"/>
      <c r="AP25" s="760"/>
      <c r="AQ25" s="760"/>
      <c r="AR25" s="760"/>
      <c r="AS25" s="760"/>
      <c r="AT25" s="760"/>
      <c r="AU25" s="760"/>
      <c r="AV25" s="760"/>
      <c r="AW25" s="760"/>
      <c r="AX25" s="760"/>
      <c r="AY25" s="760"/>
      <c r="AZ25" s="760"/>
      <c r="BA25" s="760"/>
      <c r="BB25" s="760"/>
      <c r="BC25" s="760"/>
      <c r="BD25" s="760"/>
      <c r="BE25" s="760"/>
      <c r="BF25" s="760"/>
      <c r="BG25" s="760"/>
      <c r="BH25" s="760"/>
      <c r="BI25" s="760"/>
      <c r="BJ25" s="760"/>
      <c r="BK25" s="760"/>
      <c r="BL25" s="760"/>
      <c r="BM25" s="760"/>
      <c r="BN25" s="760"/>
      <c r="BO25" s="760"/>
      <c r="BP25" s="760"/>
      <c r="BQ25" s="760"/>
      <c r="BR25" s="760"/>
      <c r="BS25" s="760"/>
      <c r="BT25" s="760"/>
      <c r="BU25" s="760"/>
      <c r="BV25" s="760"/>
      <c r="BW25" s="760"/>
      <c r="BX25" s="760"/>
      <c r="BY25" s="760"/>
      <c r="BZ25" s="760"/>
      <c r="CA25" s="760"/>
      <c r="CB25" s="760"/>
      <c r="CC25" s="760"/>
      <c r="CD25" s="760"/>
      <c r="CE25" s="760"/>
      <c r="CF25" s="760"/>
      <c r="CG25" s="760"/>
      <c r="CH25" s="760"/>
      <c r="CI25" s="760"/>
    </row>
    <row r="26" spans="1:87" s="767" customFormat="1" ht="21.15" customHeight="1">
      <c r="A26" s="936"/>
      <c r="B26" s="1316"/>
      <c r="C26" s="1326"/>
      <c r="D26" s="1335"/>
      <c r="E26" s="1342"/>
      <c r="F26" s="1355"/>
      <c r="G26" s="1349"/>
      <c r="H26" s="926"/>
      <c r="I26" s="769"/>
      <c r="J26" s="777"/>
      <c r="K26" s="760"/>
      <c r="L26" s="760"/>
      <c r="M26" s="760"/>
      <c r="N26" s="760"/>
      <c r="O26" s="760"/>
      <c r="P26" s="760"/>
      <c r="Q26" s="760"/>
      <c r="R26" s="760"/>
      <c r="S26" s="760"/>
      <c r="T26" s="760"/>
      <c r="U26" s="760"/>
      <c r="V26" s="760"/>
      <c r="W26" s="760"/>
      <c r="X26" s="760"/>
      <c r="Y26" s="760"/>
      <c r="Z26" s="760"/>
      <c r="AA26" s="760"/>
      <c r="AB26" s="760"/>
      <c r="AC26" s="760"/>
      <c r="AD26" s="760"/>
      <c r="AE26" s="760"/>
      <c r="AF26" s="760"/>
      <c r="AG26" s="760"/>
      <c r="AH26" s="760"/>
      <c r="AI26" s="760"/>
      <c r="AJ26" s="760"/>
      <c r="AK26" s="760"/>
      <c r="AL26" s="760"/>
      <c r="AM26" s="760"/>
      <c r="AN26" s="760"/>
      <c r="AO26" s="760"/>
      <c r="AP26" s="760"/>
      <c r="AQ26" s="760"/>
      <c r="AR26" s="760"/>
      <c r="AS26" s="760"/>
      <c r="AT26" s="760"/>
      <c r="AU26" s="760"/>
      <c r="AV26" s="760"/>
      <c r="AW26" s="760"/>
      <c r="AX26" s="760"/>
      <c r="AY26" s="760"/>
      <c r="AZ26" s="760"/>
      <c r="BA26" s="760"/>
      <c r="BB26" s="760"/>
      <c r="BC26" s="760"/>
      <c r="BD26" s="760"/>
      <c r="BE26" s="760"/>
      <c r="BF26" s="760"/>
      <c r="BG26" s="760"/>
      <c r="BH26" s="760"/>
      <c r="BI26" s="760"/>
      <c r="BJ26" s="760"/>
      <c r="BK26" s="760"/>
      <c r="BL26" s="760"/>
      <c r="BM26" s="760"/>
      <c r="BN26" s="760"/>
      <c r="BO26" s="760"/>
      <c r="BP26" s="760"/>
      <c r="BQ26" s="760"/>
      <c r="BR26" s="760"/>
      <c r="BS26" s="760"/>
      <c r="BT26" s="760"/>
      <c r="BU26" s="760"/>
      <c r="BV26" s="760"/>
      <c r="BW26" s="760"/>
      <c r="BX26" s="760"/>
      <c r="BY26" s="760"/>
      <c r="BZ26" s="760"/>
      <c r="CA26" s="760"/>
      <c r="CB26" s="760"/>
      <c r="CC26" s="760"/>
      <c r="CD26" s="760"/>
      <c r="CE26" s="760"/>
      <c r="CF26" s="760"/>
      <c r="CG26" s="760"/>
      <c r="CH26" s="760"/>
      <c r="CI26" s="760"/>
    </row>
    <row r="27" spans="1:87" s="767" customFormat="1" ht="21.15" customHeight="1">
      <c r="A27" s="936"/>
      <c r="B27" s="1316"/>
      <c r="C27" s="1326" t="s">
        <v>700</v>
      </c>
      <c r="D27" s="1335" t="s">
        <v>697</v>
      </c>
      <c r="E27" s="1342">
        <v>11</v>
      </c>
      <c r="F27" s="1355">
        <v>0</v>
      </c>
      <c r="G27" s="1349">
        <f t="shared" si="1"/>
        <v>0</v>
      </c>
      <c r="H27" s="926"/>
      <c r="I27" s="769"/>
      <c r="J27" s="777"/>
      <c r="K27" s="760"/>
      <c r="L27" s="760"/>
      <c r="M27" s="760"/>
      <c r="N27" s="760"/>
      <c r="O27" s="760"/>
      <c r="P27" s="760"/>
      <c r="Q27" s="760"/>
      <c r="R27" s="760"/>
      <c r="S27" s="760"/>
      <c r="T27" s="760"/>
      <c r="U27" s="760"/>
      <c r="V27" s="760"/>
      <c r="W27" s="760"/>
      <c r="X27" s="760"/>
      <c r="Y27" s="760"/>
      <c r="Z27" s="760"/>
      <c r="AA27" s="760"/>
      <c r="AB27" s="760"/>
      <c r="AC27" s="760"/>
      <c r="AD27" s="760"/>
      <c r="AE27" s="760"/>
      <c r="AF27" s="760"/>
      <c r="AG27" s="760"/>
      <c r="AH27" s="760"/>
      <c r="AI27" s="760"/>
      <c r="AJ27" s="760"/>
      <c r="AK27" s="760"/>
      <c r="AL27" s="760"/>
      <c r="AM27" s="760"/>
      <c r="AN27" s="760"/>
      <c r="AO27" s="760"/>
      <c r="AP27" s="760"/>
      <c r="AQ27" s="760"/>
      <c r="AR27" s="760"/>
      <c r="AS27" s="760"/>
      <c r="AT27" s="760"/>
      <c r="AU27" s="760"/>
      <c r="AV27" s="760"/>
      <c r="AW27" s="760"/>
      <c r="AX27" s="760"/>
      <c r="AY27" s="760"/>
      <c r="AZ27" s="760"/>
      <c r="BA27" s="760"/>
      <c r="BB27" s="760"/>
      <c r="BC27" s="760"/>
      <c r="BD27" s="760"/>
      <c r="BE27" s="760"/>
      <c r="BF27" s="760"/>
      <c r="BG27" s="760"/>
      <c r="BH27" s="760"/>
      <c r="BI27" s="760"/>
      <c r="BJ27" s="760"/>
      <c r="BK27" s="760"/>
      <c r="BL27" s="760"/>
      <c r="BM27" s="760"/>
      <c r="BN27" s="760"/>
      <c r="BO27" s="760"/>
      <c r="BP27" s="760"/>
      <c r="BQ27" s="760"/>
      <c r="BR27" s="760"/>
      <c r="BS27" s="760"/>
      <c r="BT27" s="760"/>
      <c r="BU27" s="760"/>
      <c r="BV27" s="760"/>
      <c r="BW27" s="760"/>
      <c r="BX27" s="760"/>
      <c r="BY27" s="760"/>
      <c r="BZ27" s="760"/>
      <c r="CA27" s="760"/>
      <c r="CB27" s="760"/>
      <c r="CC27" s="760"/>
      <c r="CD27" s="760"/>
      <c r="CE27" s="760"/>
      <c r="CF27" s="760"/>
      <c r="CG27" s="760"/>
      <c r="CH27" s="760"/>
      <c r="CI27" s="760"/>
    </row>
    <row r="28" spans="1:87" s="767" customFormat="1" ht="21.15" customHeight="1">
      <c r="A28" s="936"/>
      <c r="B28" s="1316"/>
      <c r="C28" s="1326"/>
      <c r="D28" s="1335"/>
      <c r="E28" s="1342"/>
      <c r="F28" s="1355"/>
      <c r="G28" s="1349"/>
      <c r="H28" s="926"/>
      <c r="I28" s="769"/>
      <c r="J28" s="777"/>
      <c r="K28" s="760"/>
      <c r="L28" s="760"/>
      <c r="M28" s="760"/>
      <c r="N28" s="760"/>
      <c r="O28" s="760"/>
      <c r="P28" s="760"/>
      <c r="Q28" s="760"/>
      <c r="R28" s="760"/>
      <c r="S28" s="760"/>
      <c r="T28" s="760"/>
      <c r="U28" s="760"/>
      <c r="V28" s="760"/>
      <c r="W28" s="760"/>
      <c r="X28" s="760"/>
      <c r="Y28" s="760"/>
      <c r="Z28" s="760"/>
      <c r="AA28" s="760"/>
      <c r="AB28" s="760"/>
      <c r="AC28" s="760"/>
      <c r="AD28" s="760"/>
      <c r="AE28" s="760"/>
      <c r="AF28" s="760"/>
      <c r="AG28" s="760"/>
      <c r="AH28" s="760"/>
      <c r="AI28" s="760"/>
      <c r="AJ28" s="760"/>
      <c r="AK28" s="760"/>
      <c r="AL28" s="760"/>
      <c r="AM28" s="760"/>
      <c r="AN28" s="760"/>
      <c r="AO28" s="760"/>
      <c r="AP28" s="760"/>
      <c r="AQ28" s="760"/>
      <c r="AR28" s="760"/>
      <c r="AS28" s="760"/>
      <c r="AT28" s="760"/>
      <c r="AU28" s="760"/>
      <c r="AV28" s="760"/>
      <c r="AW28" s="760"/>
      <c r="AX28" s="760"/>
      <c r="AY28" s="760"/>
      <c r="AZ28" s="760"/>
      <c r="BA28" s="760"/>
      <c r="BB28" s="760"/>
      <c r="BC28" s="760"/>
      <c r="BD28" s="760"/>
      <c r="BE28" s="760"/>
      <c r="BF28" s="760"/>
      <c r="BG28" s="760"/>
      <c r="BH28" s="760"/>
      <c r="BI28" s="760"/>
      <c r="BJ28" s="760"/>
      <c r="BK28" s="760"/>
      <c r="BL28" s="760"/>
      <c r="BM28" s="760"/>
      <c r="BN28" s="760"/>
      <c r="BO28" s="760"/>
      <c r="BP28" s="760"/>
      <c r="BQ28" s="760"/>
      <c r="BR28" s="760"/>
      <c r="BS28" s="760"/>
      <c r="BT28" s="760"/>
      <c r="BU28" s="760"/>
      <c r="BV28" s="760"/>
      <c r="BW28" s="760"/>
      <c r="BX28" s="760"/>
      <c r="BY28" s="760"/>
      <c r="BZ28" s="760"/>
      <c r="CA28" s="760"/>
      <c r="CB28" s="760"/>
      <c r="CC28" s="760"/>
      <c r="CD28" s="760"/>
      <c r="CE28" s="760"/>
      <c r="CF28" s="760"/>
      <c r="CG28" s="760"/>
      <c r="CH28" s="760"/>
      <c r="CI28" s="760"/>
    </row>
    <row r="29" spans="1:87" s="767" customFormat="1" ht="21.15" customHeight="1">
      <c r="A29" s="936"/>
      <c r="B29" s="1316"/>
      <c r="C29" s="1326" t="s">
        <v>701</v>
      </c>
      <c r="D29" s="1335" t="s">
        <v>697</v>
      </c>
      <c r="E29" s="1342">
        <v>11</v>
      </c>
      <c r="F29" s="1355">
        <v>0</v>
      </c>
      <c r="G29" s="1349">
        <f t="shared" si="1"/>
        <v>0</v>
      </c>
      <c r="H29" s="926"/>
      <c r="I29" s="769"/>
      <c r="J29" s="777"/>
      <c r="K29" s="760"/>
      <c r="L29" s="760"/>
      <c r="M29" s="760"/>
      <c r="N29" s="760"/>
      <c r="O29" s="760"/>
      <c r="P29" s="760"/>
      <c r="Q29" s="760"/>
      <c r="R29" s="760"/>
      <c r="S29" s="760"/>
      <c r="T29" s="760"/>
      <c r="U29" s="760"/>
      <c r="V29" s="760"/>
      <c r="W29" s="760"/>
      <c r="X29" s="760"/>
      <c r="Y29" s="760"/>
      <c r="Z29" s="760"/>
      <c r="AA29" s="760"/>
      <c r="AB29" s="760"/>
      <c r="AC29" s="760"/>
      <c r="AD29" s="760"/>
      <c r="AE29" s="760"/>
      <c r="AF29" s="760"/>
      <c r="AG29" s="760"/>
      <c r="AH29" s="760"/>
      <c r="AI29" s="760"/>
      <c r="AJ29" s="760"/>
      <c r="AK29" s="760"/>
      <c r="AL29" s="760"/>
      <c r="AM29" s="760"/>
      <c r="AN29" s="760"/>
      <c r="AO29" s="760"/>
      <c r="AP29" s="760"/>
      <c r="AQ29" s="760"/>
      <c r="AR29" s="760"/>
      <c r="AS29" s="760"/>
      <c r="AT29" s="760"/>
      <c r="AU29" s="760"/>
      <c r="AV29" s="760"/>
      <c r="AW29" s="760"/>
      <c r="AX29" s="760"/>
      <c r="AY29" s="760"/>
      <c r="AZ29" s="760"/>
      <c r="BA29" s="760"/>
      <c r="BB29" s="760"/>
      <c r="BC29" s="760"/>
      <c r="BD29" s="760"/>
      <c r="BE29" s="760"/>
      <c r="BF29" s="760"/>
      <c r="BG29" s="760"/>
      <c r="BH29" s="760"/>
      <c r="BI29" s="760"/>
      <c r="BJ29" s="760"/>
      <c r="BK29" s="760"/>
      <c r="BL29" s="760"/>
      <c r="BM29" s="760"/>
      <c r="BN29" s="760"/>
      <c r="BO29" s="760"/>
      <c r="BP29" s="760"/>
      <c r="BQ29" s="760"/>
      <c r="BR29" s="760"/>
      <c r="BS29" s="760"/>
      <c r="BT29" s="760"/>
      <c r="BU29" s="760"/>
      <c r="BV29" s="760"/>
      <c r="BW29" s="760"/>
      <c r="BX29" s="760"/>
      <c r="BY29" s="760"/>
      <c r="BZ29" s="760"/>
      <c r="CA29" s="760"/>
      <c r="CB29" s="760"/>
      <c r="CC29" s="760"/>
      <c r="CD29" s="760"/>
      <c r="CE29" s="760"/>
      <c r="CF29" s="760"/>
      <c r="CG29" s="760"/>
      <c r="CH29" s="760"/>
      <c r="CI29" s="760"/>
    </row>
    <row r="30" spans="1:87" s="767" customFormat="1" ht="21.15" customHeight="1">
      <c r="A30" s="936"/>
      <c r="B30" s="1316"/>
      <c r="C30" s="1326"/>
      <c r="D30" s="1335"/>
      <c r="E30" s="1345"/>
      <c r="F30" s="1355"/>
      <c r="G30" s="1349"/>
      <c r="H30" s="926"/>
      <c r="I30" s="769"/>
      <c r="J30" s="777"/>
      <c r="K30" s="760"/>
      <c r="L30" s="760"/>
      <c r="M30" s="760"/>
      <c r="N30" s="760"/>
      <c r="O30" s="760"/>
      <c r="P30" s="760"/>
      <c r="Q30" s="760"/>
      <c r="R30" s="760"/>
      <c r="S30" s="760"/>
      <c r="T30" s="760"/>
      <c r="U30" s="760"/>
      <c r="V30" s="760"/>
      <c r="W30" s="760"/>
      <c r="X30" s="760"/>
      <c r="Y30" s="760"/>
      <c r="Z30" s="760"/>
      <c r="AA30" s="760"/>
      <c r="AB30" s="760"/>
      <c r="AC30" s="760"/>
      <c r="AD30" s="760"/>
      <c r="AE30" s="760"/>
      <c r="AF30" s="760"/>
      <c r="AG30" s="760"/>
      <c r="AH30" s="760"/>
      <c r="AI30" s="760"/>
      <c r="AJ30" s="760"/>
      <c r="AK30" s="760"/>
      <c r="AL30" s="760"/>
      <c r="AM30" s="760"/>
      <c r="AN30" s="760"/>
      <c r="AO30" s="760"/>
      <c r="AP30" s="760"/>
      <c r="AQ30" s="760"/>
      <c r="AR30" s="760"/>
      <c r="AS30" s="760"/>
      <c r="AT30" s="760"/>
      <c r="AU30" s="760"/>
      <c r="AV30" s="760"/>
      <c r="AW30" s="760"/>
      <c r="AX30" s="760"/>
      <c r="AY30" s="760"/>
      <c r="AZ30" s="760"/>
      <c r="BA30" s="760"/>
      <c r="BB30" s="760"/>
      <c r="BC30" s="760"/>
      <c r="BD30" s="760"/>
      <c r="BE30" s="760"/>
      <c r="BF30" s="760"/>
      <c r="BG30" s="760"/>
      <c r="BH30" s="760"/>
      <c r="BI30" s="760"/>
      <c r="BJ30" s="760"/>
      <c r="BK30" s="760"/>
      <c r="BL30" s="760"/>
      <c r="BM30" s="760"/>
      <c r="BN30" s="760"/>
      <c r="BO30" s="760"/>
      <c r="BP30" s="760"/>
      <c r="BQ30" s="760"/>
      <c r="BR30" s="760"/>
      <c r="BS30" s="760"/>
      <c r="BT30" s="760"/>
      <c r="BU30" s="760"/>
      <c r="BV30" s="760"/>
      <c r="BW30" s="760"/>
      <c r="BX30" s="760"/>
      <c r="BY30" s="760"/>
      <c r="BZ30" s="760"/>
      <c r="CA30" s="760"/>
      <c r="CB30" s="760"/>
      <c r="CC30" s="760"/>
      <c r="CD30" s="760"/>
      <c r="CE30" s="760"/>
      <c r="CF30" s="760"/>
      <c r="CG30" s="760"/>
      <c r="CH30" s="760"/>
      <c r="CI30" s="760"/>
    </row>
    <row r="31" spans="1:87" s="767" customFormat="1" ht="21.15" customHeight="1">
      <c r="A31" s="936"/>
      <c r="B31" s="1319"/>
      <c r="C31" s="1326"/>
      <c r="D31" s="1326"/>
      <c r="E31" s="1326"/>
      <c r="F31" s="1356"/>
      <c r="G31" s="1350"/>
      <c r="H31" s="926"/>
      <c r="I31" s="770"/>
      <c r="J31" s="778"/>
      <c r="K31" s="760"/>
      <c r="L31" s="760"/>
      <c r="M31" s="760"/>
      <c r="N31" s="760"/>
      <c r="O31" s="760"/>
      <c r="P31" s="760"/>
      <c r="Q31" s="760"/>
      <c r="R31" s="760"/>
      <c r="S31" s="760"/>
      <c r="T31" s="760"/>
      <c r="U31" s="760"/>
      <c r="V31" s="760"/>
      <c r="W31" s="760"/>
      <c r="X31" s="760"/>
      <c r="Y31" s="760"/>
      <c r="Z31" s="760"/>
      <c r="AA31" s="760"/>
      <c r="AB31" s="760"/>
      <c r="AC31" s="760"/>
      <c r="AD31" s="760"/>
      <c r="AE31" s="760"/>
      <c r="AF31" s="760"/>
      <c r="AG31" s="760"/>
      <c r="AH31" s="760"/>
      <c r="AI31" s="760"/>
      <c r="AJ31" s="760"/>
      <c r="AK31" s="760"/>
      <c r="AL31" s="760"/>
      <c r="AM31" s="760"/>
      <c r="AN31" s="760"/>
      <c r="AO31" s="760"/>
      <c r="AP31" s="760"/>
      <c r="AQ31" s="760"/>
      <c r="AR31" s="760"/>
      <c r="AS31" s="760"/>
      <c r="AT31" s="760"/>
      <c r="AU31" s="760"/>
      <c r="AV31" s="760"/>
      <c r="AW31" s="760"/>
      <c r="AX31" s="760"/>
      <c r="AY31" s="760"/>
      <c r="AZ31" s="760"/>
      <c r="BA31" s="760"/>
      <c r="BB31" s="760"/>
      <c r="BC31" s="760"/>
      <c r="BD31" s="760"/>
      <c r="BE31" s="760"/>
      <c r="BF31" s="760"/>
      <c r="BG31" s="760"/>
      <c r="BH31" s="760"/>
      <c r="BI31" s="760"/>
      <c r="BJ31" s="760"/>
      <c r="BK31" s="760"/>
      <c r="BL31" s="760"/>
      <c r="BM31" s="760"/>
      <c r="BN31" s="760"/>
      <c r="BO31" s="760"/>
      <c r="BP31" s="760"/>
      <c r="BQ31" s="760"/>
      <c r="BR31" s="760"/>
      <c r="BS31" s="760"/>
      <c r="BT31" s="760"/>
      <c r="BU31" s="760"/>
      <c r="BV31" s="760"/>
      <c r="BW31" s="760"/>
      <c r="BX31" s="760"/>
      <c r="BY31" s="760"/>
      <c r="BZ31" s="760"/>
      <c r="CA31" s="760"/>
      <c r="CB31" s="760"/>
      <c r="CC31" s="760"/>
      <c r="CD31" s="760"/>
      <c r="CE31" s="760"/>
      <c r="CF31" s="760"/>
      <c r="CG31" s="760"/>
      <c r="CH31" s="760"/>
      <c r="CI31" s="760"/>
    </row>
    <row r="32" spans="1:87" s="767" customFormat="1" ht="21.15" customHeight="1">
      <c r="A32" s="936"/>
      <c r="B32" s="1320"/>
      <c r="C32" s="1326"/>
      <c r="D32" s="1335"/>
      <c r="E32" s="1345"/>
      <c r="F32" s="1355"/>
      <c r="G32" s="1349"/>
      <c r="H32" s="926"/>
      <c r="I32" s="770"/>
      <c r="J32" s="778"/>
      <c r="K32" s="760"/>
      <c r="L32" s="760"/>
      <c r="M32" s="760"/>
      <c r="N32" s="760"/>
      <c r="O32" s="760"/>
      <c r="P32" s="760"/>
      <c r="Q32" s="760"/>
      <c r="R32" s="760"/>
      <c r="S32" s="760"/>
      <c r="T32" s="760"/>
      <c r="U32" s="760"/>
      <c r="V32" s="760"/>
      <c r="W32" s="760"/>
      <c r="X32" s="760"/>
      <c r="Y32" s="760"/>
      <c r="Z32" s="760"/>
      <c r="AA32" s="760"/>
      <c r="AB32" s="760"/>
      <c r="AC32" s="760"/>
      <c r="AD32" s="760"/>
      <c r="AE32" s="760"/>
      <c r="AF32" s="760"/>
      <c r="AG32" s="760"/>
      <c r="AH32" s="760"/>
      <c r="AI32" s="760"/>
      <c r="AJ32" s="760"/>
      <c r="AK32" s="760"/>
      <c r="AL32" s="760"/>
      <c r="AM32" s="760"/>
      <c r="AN32" s="760"/>
      <c r="AO32" s="760"/>
      <c r="AP32" s="760"/>
      <c r="AQ32" s="760"/>
      <c r="AR32" s="760"/>
      <c r="AS32" s="760"/>
      <c r="AT32" s="760"/>
      <c r="AU32" s="760"/>
      <c r="AV32" s="760"/>
      <c r="AW32" s="760"/>
      <c r="AX32" s="760"/>
      <c r="AY32" s="760"/>
      <c r="AZ32" s="760"/>
      <c r="BA32" s="760"/>
      <c r="BB32" s="760"/>
      <c r="BC32" s="760"/>
      <c r="BD32" s="760"/>
      <c r="BE32" s="760"/>
      <c r="BF32" s="760"/>
      <c r="BG32" s="760"/>
      <c r="BH32" s="760"/>
      <c r="BI32" s="760"/>
      <c r="BJ32" s="760"/>
      <c r="BK32" s="760"/>
      <c r="BL32" s="760"/>
      <c r="BM32" s="760"/>
      <c r="BN32" s="760"/>
      <c r="BO32" s="760"/>
      <c r="BP32" s="760"/>
      <c r="BQ32" s="760"/>
      <c r="BR32" s="760"/>
      <c r="BS32" s="760"/>
      <c r="BT32" s="760"/>
      <c r="BU32" s="760"/>
      <c r="BV32" s="760"/>
      <c r="BW32" s="760"/>
      <c r="BX32" s="760"/>
      <c r="BY32" s="760"/>
      <c r="BZ32" s="760"/>
      <c r="CA32" s="760"/>
      <c r="CB32" s="760"/>
      <c r="CC32" s="760"/>
      <c r="CD32" s="760"/>
      <c r="CE32" s="760"/>
      <c r="CF32" s="760"/>
      <c r="CG32" s="760"/>
      <c r="CH32" s="760"/>
      <c r="CI32" s="760"/>
    </row>
    <row r="33" spans="1:87" s="767" customFormat="1" ht="21.15" customHeight="1">
      <c r="A33" s="936"/>
      <c r="B33" s="1320"/>
      <c r="C33" s="1326"/>
      <c r="D33" s="1335"/>
      <c r="E33" s="1345"/>
      <c r="F33" s="1355"/>
      <c r="G33" s="1349"/>
      <c r="H33" s="926"/>
      <c r="I33" s="770"/>
      <c r="J33" s="778"/>
      <c r="K33" s="760"/>
      <c r="L33" s="760"/>
      <c r="M33" s="760"/>
      <c r="N33" s="760"/>
      <c r="O33" s="760"/>
      <c r="P33" s="760"/>
      <c r="Q33" s="760"/>
      <c r="R33" s="760"/>
      <c r="S33" s="760"/>
      <c r="T33" s="760"/>
      <c r="U33" s="760"/>
      <c r="V33" s="760"/>
      <c r="W33" s="760"/>
      <c r="X33" s="760"/>
      <c r="Y33" s="760"/>
      <c r="Z33" s="760"/>
      <c r="AA33" s="760"/>
      <c r="AB33" s="760"/>
      <c r="AC33" s="760"/>
      <c r="AD33" s="760"/>
      <c r="AE33" s="760"/>
      <c r="AF33" s="760"/>
      <c r="AG33" s="760"/>
      <c r="AH33" s="760"/>
      <c r="AI33" s="760"/>
      <c r="AJ33" s="760"/>
      <c r="AK33" s="760"/>
      <c r="AL33" s="760"/>
      <c r="AM33" s="760"/>
      <c r="AN33" s="760"/>
      <c r="AO33" s="760"/>
      <c r="AP33" s="760"/>
      <c r="AQ33" s="760"/>
      <c r="AR33" s="760"/>
      <c r="AS33" s="760"/>
      <c r="AT33" s="760"/>
      <c r="AU33" s="760"/>
      <c r="AV33" s="760"/>
      <c r="AW33" s="760"/>
      <c r="AX33" s="760"/>
      <c r="AY33" s="760"/>
      <c r="AZ33" s="760"/>
      <c r="BA33" s="760"/>
      <c r="BB33" s="760"/>
      <c r="BC33" s="760"/>
      <c r="BD33" s="760"/>
      <c r="BE33" s="760"/>
      <c r="BF33" s="760"/>
      <c r="BG33" s="760"/>
      <c r="BH33" s="760"/>
      <c r="BI33" s="760"/>
      <c r="BJ33" s="760"/>
      <c r="BK33" s="760"/>
      <c r="BL33" s="760"/>
      <c r="BM33" s="760"/>
      <c r="BN33" s="760"/>
      <c r="BO33" s="760"/>
      <c r="BP33" s="760"/>
      <c r="BQ33" s="760"/>
      <c r="BR33" s="760"/>
      <c r="BS33" s="760"/>
      <c r="BT33" s="760"/>
      <c r="BU33" s="760"/>
      <c r="BV33" s="760"/>
      <c r="BW33" s="760"/>
      <c r="BX33" s="760"/>
      <c r="BY33" s="760"/>
      <c r="BZ33" s="760"/>
      <c r="CA33" s="760"/>
      <c r="CB33" s="760"/>
      <c r="CC33" s="760"/>
      <c r="CD33" s="760"/>
      <c r="CE33" s="760"/>
      <c r="CF33" s="760"/>
      <c r="CG33" s="760"/>
      <c r="CH33" s="760"/>
      <c r="CI33" s="760"/>
    </row>
    <row r="34" spans="1:87" s="767" customFormat="1" ht="21.15" customHeight="1">
      <c r="A34" s="936"/>
      <c r="B34" s="1320"/>
      <c r="C34" s="1326"/>
      <c r="D34" s="1335"/>
      <c r="E34" s="1345"/>
      <c r="F34" s="1355"/>
      <c r="G34" s="1349"/>
      <c r="H34" s="926"/>
      <c r="I34" s="770"/>
      <c r="J34" s="778"/>
      <c r="K34" s="760"/>
      <c r="L34" s="760"/>
      <c r="M34" s="760"/>
      <c r="N34" s="760"/>
      <c r="O34" s="760"/>
      <c r="P34" s="760"/>
      <c r="Q34" s="760"/>
      <c r="R34" s="760"/>
      <c r="S34" s="760"/>
      <c r="T34" s="760"/>
      <c r="U34" s="760"/>
      <c r="V34" s="760"/>
      <c r="W34" s="760"/>
      <c r="X34" s="760"/>
      <c r="Y34" s="760"/>
      <c r="Z34" s="760"/>
      <c r="AA34" s="760"/>
      <c r="AB34" s="760"/>
      <c r="AC34" s="760"/>
      <c r="AD34" s="760"/>
      <c r="AE34" s="760"/>
      <c r="AF34" s="760"/>
      <c r="AG34" s="760"/>
      <c r="AH34" s="760"/>
      <c r="AI34" s="760"/>
      <c r="AJ34" s="760"/>
      <c r="AK34" s="760"/>
      <c r="AL34" s="760"/>
      <c r="AM34" s="760"/>
      <c r="AN34" s="760"/>
      <c r="AO34" s="760"/>
      <c r="AP34" s="760"/>
      <c r="AQ34" s="760"/>
      <c r="AR34" s="760"/>
      <c r="AS34" s="760"/>
      <c r="AT34" s="760"/>
      <c r="AU34" s="760"/>
      <c r="AV34" s="760"/>
      <c r="AW34" s="760"/>
      <c r="AX34" s="760"/>
      <c r="AY34" s="760"/>
      <c r="AZ34" s="760"/>
      <c r="BA34" s="760"/>
      <c r="BB34" s="760"/>
      <c r="BC34" s="760"/>
      <c r="BD34" s="760"/>
      <c r="BE34" s="760"/>
      <c r="BF34" s="760"/>
      <c r="BG34" s="760"/>
      <c r="BH34" s="760"/>
      <c r="BI34" s="760"/>
      <c r="BJ34" s="760"/>
      <c r="BK34" s="760"/>
      <c r="BL34" s="760"/>
      <c r="BM34" s="760"/>
      <c r="BN34" s="760"/>
      <c r="BO34" s="760"/>
      <c r="BP34" s="760"/>
      <c r="BQ34" s="760"/>
      <c r="BR34" s="760"/>
      <c r="BS34" s="760"/>
      <c r="BT34" s="760"/>
      <c r="BU34" s="760"/>
      <c r="BV34" s="760"/>
      <c r="BW34" s="760"/>
      <c r="BX34" s="760"/>
      <c r="BY34" s="760"/>
      <c r="BZ34" s="760"/>
      <c r="CA34" s="760"/>
      <c r="CB34" s="760"/>
      <c r="CC34" s="760"/>
      <c r="CD34" s="760"/>
      <c r="CE34" s="760"/>
      <c r="CF34" s="760"/>
      <c r="CG34" s="760"/>
      <c r="CH34" s="760"/>
      <c r="CI34" s="760"/>
    </row>
    <row r="35" spans="1:87" s="767" customFormat="1" ht="21.15" customHeight="1">
      <c r="A35" s="936"/>
      <c r="B35" s="1320"/>
      <c r="C35" s="1326"/>
      <c r="D35" s="1335"/>
      <c r="E35" s="1345"/>
      <c r="F35" s="1355"/>
      <c r="G35" s="1349"/>
      <c r="H35" s="926"/>
      <c r="I35" s="770"/>
      <c r="J35" s="778"/>
      <c r="K35" s="760"/>
      <c r="L35" s="760"/>
      <c r="M35" s="760"/>
      <c r="N35" s="760"/>
      <c r="O35" s="760"/>
      <c r="P35" s="760"/>
      <c r="Q35" s="760"/>
      <c r="R35" s="760"/>
      <c r="S35" s="760"/>
      <c r="T35" s="760"/>
      <c r="U35" s="760"/>
      <c r="V35" s="760"/>
      <c r="W35" s="760"/>
      <c r="X35" s="760"/>
      <c r="Y35" s="760"/>
      <c r="Z35" s="760"/>
      <c r="AA35" s="760"/>
      <c r="AB35" s="760"/>
      <c r="AC35" s="760"/>
      <c r="AD35" s="760"/>
      <c r="AE35" s="760"/>
      <c r="AF35" s="760"/>
      <c r="AG35" s="760"/>
      <c r="AH35" s="760"/>
      <c r="AI35" s="760"/>
      <c r="AJ35" s="760"/>
      <c r="AK35" s="760"/>
      <c r="AL35" s="760"/>
      <c r="AM35" s="760"/>
      <c r="AN35" s="760"/>
      <c r="AO35" s="760"/>
      <c r="AP35" s="760"/>
      <c r="AQ35" s="760"/>
      <c r="AR35" s="760"/>
      <c r="AS35" s="760"/>
      <c r="AT35" s="760"/>
      <c r="AU35" s="760"/>
      <c r="AV35" s="760"/>
      <c r="AW35" s="760"/>
      <c r="AX35" s="760"/>
      <c r="AY35" s="760"/>
      <c r="AZ35" s="760"/>
      <c r="BA35" s="760"/>
      <c r="BB35" s="760"/>
      <c r="BC35" s="760"/>
      <c r="BD35" s="760"/>
      <c r="BE35" s="760"/>
      <c r="BF35" s="760"/>
      <c r="BG35" s="760"/>
      <c r="BH35" s="760"/>
      <c r="BI35" s="760"/>
      <c r="BJ35" s="760"/>
      <c r="BK35" s="760"/>
      <c r="BL35" s="760"/>
      <c r="BM35" s="760"/>
      <c r="BN35" s="760"/>
      <c r="BO35" s="760"/>
      <c r="BP35" s="760"/>
      <c r="BQ35" s="760"/>
      <c r="BR35" s="760"/>
      <c r="BS35" s="760"/>
      <c r="BT35" s="760"/>
      <c r="BU35" s="760"/>
      <c r="BV35" s="760"/>
      <c r="BW35" s="760"/>
      <c r="BX35" s="760"/>
      <c r="BY35" s="760"/>
      <c r="BZ35" s="760"/>
      <c r="CA35" s="760"/>
      <c r="CB35" s="760"/>
      <c r="CC35" s="760"/>
      <c r="CD35" s="760"/>
      <c r="CE35" s="760"/>
      <c r="CF35" s="760"/>
      <c r="CG35" s="760"/>
      <c r="CH35" s="760"/>
      <c r="CI35" s="760"/>
    </row>
    <row r="36" spans="1:87" s="767" customFormat="1" ht="21.15" customHeight="1">
      <c r="A36" s="936"/>
      <c r="B36" s="1320"/>
      <c r="C36" s="1326"/>
      <c r="D36" s="1335"/>
      <c r="E36" s="1345"/>
      <c r="F36" s="1355"/>
      <c r="G36" s="1349"/>
      <c r="H36" s="926"/>
      <c r="I36" s="770"/>
      <c r="J36" s="778"/>
      <c r="K36" s="760"/>
      <c r="L36" s="760"/>
      <c r="M36" s="760"/>
      <c r="N36" s="760"/>
      <c r="O36" s="760"/>
      <c r="P36" s="760"/>
      <c r="Q36" s="760"/>
      <c r="R36" s="760"/>
      <c r="S36" s="760"/>
      <c r="T36" s="760"/>
      <c r="U36" s="760"/>
      <c r="V36" s="760"/>
      <c r="W36" s="760"/>
      <c r="X36" s="760"/>
      <c r="Y36" s="760"/>
      <c r="Z36" s="760"/>
      <c r="AA36" s="760"/>
      <c r="AB36" s="760"/>
      <c r="AC36" s="760"/>
      <c r="AD36" s="760"/>
      <c r="AE36" s="760"/>
      <c r="AF36" s="760"/>
      <c r="AG36" s="760"/>
      <c r="AH36" s="760"/>
      <c r="AI36" s="760"/>
      <c r="AJ36" s="760"/>
      <c r="AK36" s="760"/>
      <c r="AL36" s="760"/>
      <c r="AM36" s="760"/>
      <c r="AN36" s="760"/>
      <c r="AO36" s="760"/>
      <c r="AP36" s="760"/>
      <c r="AQ36" s="760"/>
      <c r="AR36" s="760"/>
      <c r="AS36" s="760"/>
      <c r="AT36" s="760"/>
      <c r="AU36" s="760"/>
      <c r="AV36" s="760"/>
      <c r="AW36" s="760"/>
      <c r="AX36" s="760"/>
      <c r="AY36" s="760"/>
      <c r="AZ36" s="760"/>
      <c r="BA36" s="760"/>
      <c r="BB36" s="760"/>
      <c r="BC36" s="760"/>
      <c r="BD36" s="760"/>
      <c r="BE36" s="760"/>
      <c r="BF36" s="760"/>
      <c r="BG36" s="760"/>
      <c r="BH36" s="760"/>
      <c r="BI36" s="760"/>
      <c r="BJ36" s="760"/>
      <c r="BK36" s="760"/>
      <c r="BL36" s="760"/>
      <c r="BM36" s="760"/>
      <c r="BN36" s="760"/>
      <c r="BO36" s="760"/>
      <c r="BP36" s="760"/>
      <c r="BQ36" s="760"/>
      <c r="BR36" s="760"/>
      <c r="BS36" s="760"/>
      <c r="BT36" s="760"/>
      <c r="BU36" s="760"/>
      <c r="BV36" s="760"/>
      <c r="BW36" s="760"/>
      <c r="BX36" s="760"/>
      <c r="BY36" s="760"/>
      <c r="BZ36" s="760"/>
      <c r="CA36" s="760"/>
      <c r="CB36" s="760"/>
      <c r="CC36" s="760"/>
      <c r="CD36" s="760"/>
      <c r="CE36" s="760"/>
      <c r="CF36" s="760"/>
      <c r="CG36" s="760"/>
      <c r="CH36" s="760"/>
      <c r="CI36" s="760"/>
    </row>
    <row r="37" spans="1:87" s="767" customFormat="1" ht="21.15" customHeight="1" thickBot="1">
      <c r="A37" s="936"/>
      <c r="B37" s="1321"/>
      <c r="C37" s="1332"/>
      <c r="D37" s="1338"/>
      <c r="E37" s="1346"/>
      <c r="F37" s="1357"/>
      <c r="G37" s="1351"/>
      <c r="H37" s="926"/>
      <c r="I37" s="770"/>
      <c r="J37" s="778"/>
      <c r="K37" s="760"/>
      <c r="L37" s="760"/>
      <c r="M37" s="760"/>
      <c r="N37" s="760"/>
      <c r="O37" s="760"/>
      <c r="P37" s="760"/>
      <c r="Q37" s="760"/>
      <c r="R37" s="760"/>
      <c r="S37" s="760"/>
      <c r="T37" s="760"/>
      <c r="U37" s="760"/>
      <c r="V37" s="760"/>
      <c r="W37" s="760"/>
      <c r="X37" s="760"/>
      <c r="Y37" s="760"/>
      <c r="Z37" s="760"/>
      <c r="AA37" s="760"/>
      <c r="AB37" s="760"/>
      <c r="AC37" s="760"/>
      <c r="AD37" s="760"/>
      <c r="AE37" s="760"/>
      <c r="AF37" s="760"/>
      <c r="AG37" s="760"/>
      <c r="AH37" s="760"/>
      <c r="AI37" s="760"/>
      <c r="AJ37" s="760"/>
      <c r="AK37" s="760"/>
      <c r="AL37" s="760"/>
      <c r="AM37" s="760"/>
      <c r="AN37" s="760"/>
      <c r="AO37" s="760"/>
      <c r="AP37" s="760"/>
      <c r="AQ37" s="760"/>
      <c r="AR37" s="760"/>
      <c r="AS37" s="760"/>
      <c r="AT37" s="760"/>
      <c r="AU37" s="760"/>
      <c r="AV37" s="760"/>
      <c r="AW37" s="760"/>
      <c r="AX37" s="760"/>
      <c r="AY37" s="760"/>
      <c r="AZ37" s="760"/>
      <c r="BA37" s="760"/>
      <c r="BB37" s="760"/>
      <c r="BC37" s="760"/>
      <c r="BD37" s="760"/>
      <c r="BE37" s="760"/>
      <c r="BF37" s="760"/>
      <c r="BG37" s="760"/>
      <c r="BH37" s="760"/>
      <c r="BI37" s="760"/>
      <c r="BJ37" s="760"/>
      <c r="BK37" s="760"/>
      <c r="BL37" s="760"/>
      <c r="BM37" s="760"/>
      <c r="BN37" s="760"/>
      <c r="BO37" s="760"/>
      <c r="BP37" s="760"/>
      <c r="BQ37" s="760"/>
      <c r="BR37" s="760"/>
      <c r="BS37" s="760"/>
      <c r="BT37" s="760"/>
      <c r="BU37" s="760"/>
      <c r="BV37" s="760"/>
      <c r="BW37" s="760"/>
      <c r="BX37" s="760"/>
      <c r="BY37" s="760"/>
      <c r="BZ37" s="760"/>
      <c r="CA37" s="760"/>
      <c r="CB37" s="760"/>
      <c r="CC37" s="760"/>
      <c r="CD37" s="760"/>
      <c r="CE37" s="760"/>
      <c r="CF37" s="760"/>
      <c r="CG37" s="760"/>
      <c r="CH37" s="760"/>
      <c r="CI37" s="760"/>
    </row>
    <row r="38" spans="1:87" s="836" customFormat="1" ht="21.15" customHeight="1" thickBot="1">
      <c r="A38" s="938"/>
      <c r="B38" s="950" t="s">
        <v>702</v>
      </c>
      <c r="C38" s="951"/>
      <c r="D38" s="952"/>
      <c r="E38" s="953"/>
      <c r="F38" s="954"/>
      <c r="G38" s="955">
        <f>SUM(G6:G37)</f>
        <v>0</v>
      </c>
      <c r="H38" s="927"/>
      <c r="I38" s="837">
        <f>SUM(I11:I37)</f>
        <v>0</v>
      </c>
      <c r="J38" s="838">
        <f>SUM(J11:J37)</f>
        <v>0</v>
      </c>
      <c r="K38" s="761"/>
      <c r="L38" s="761"/>
      <c r="M38" s="761"/>
      <c r="N38" s="761"/>
      <c r="O38" s="761"/>
      <c r="P38" s="761"/>
      <c r="Q38" s="761"/>
      <c r="R38" s="761"/>
      <c r="S38" s="761"/>
      <c r="T38" s="761"/>
      <c r="U38" s="761"/>
      <c r="V38" s="761"/>
      <c r="W38" s="761"/>
      <c r="X38" s="761"/>
      <c r="Y38" s="761"/>
      <c r="Z38" s="761"/>
      <c r="AA38" s="761"/>
      <c r="AB38" s="761"/>
      <c r="AC38" s="761"/>
      <c r="AD38" s="761"/>
      <c r="AE38" s="761"/>
      <c r="AF38" s="761"/>
      <c r="AG38" s="761"/>
      <c r="AH38" s="761"/>
      <c r="AI38" s="761"/>
      <c r="AJ38" s="761"/>
      <c r="AK38" s="761"/>
      <c r="AL38" s="761"/>
      <c r="AM38" s="761"/>
      <c r="AN38" s="761"/>
      <c r="AO38" s="761"/>
      <c r="AP38" s="761"/>
      <c r="AQ38" s="761"/>
      <c r="AR38" s="761"/>
      <c r="AS38" s="761"/>
      <c r="AT38" s="761"/>
      <c r="AU38" s="761"/>
      <c r="AV38" s="761"/>
      <c r="AW38" s="761"/>
      <c r="AX38" s="761"/>
      <c r="AY38" s="761"/>
      <c r="AZ38" s="761"/>
      <c r="BA38" s="761"/>
      <c r="BB38" s="761"/>
      <c r="BC38" s="761"/>
      <c r="BD38" s="761"/>
      <c r="BE38" s="761"/>
      <c r="BF38" s="761"/>
      <c r="BG38" s="761"/>
      <c r="BH38" s="761"/>
      <c r="BI38" s="761"/>
      <c r="BJ38" s="761"/>
      <c r="BK38" s="761"/>
      <c r="BL38" s="761"/>
      <c r="BM38" s="761"/>
      <c r="BN38" s="761"/>
      <c r="BO38" s="761"/>
      <c r="BP38" s="761"/>
      <c r="BQ38" s="761"/>
      <c r="BR38" s="761"/>
      <c r="BS38" s="761"/>
      <c r="BT38" s="761"/>
      <c r="BU38" s="761"/>
      <c r="BV38" s="761"/>
      <c r="BW38" s="761"/>
      <c r="BX38" s="761"/>
      <c r="BY38" s="761"/>
      <c r="BZ38" s="761"/>
      <c r="CA38" s="761"/>
      <c r="CB38" s="761"/>
      <c r="CC38" s="761"/>
      <c r="CD38" s="761"/>
      <c r="CE38" s="761"/>
      <c r="CF38" s="761"/>
      <c r="CG38" s="761"/>
      <c r="CH38" s="761"/>
      <c r="CI38" s="761"/>
    </row>
    <row r="39" spans="1:87" s="834" customFormat="1">
      <c r="A39" s="759"/>
      <c r="B39" s="762"/>
      <c r="C39" s="762"/>
      <c r="D39" s="763"/>
      <c r="E39" s="764"/>
      <c r="F39" s="793"/>
      <c r="G39" s="763"/>
      <c r="I39" s="763"/>
      <c r="J39" s="763"/>
    </row>
    <row r="40" spans="1:87" s="839" customFormat="1">
      <c r="A40" s="765"/>
      <c r="B40" s="766"/>
      <c r="C40" s="765"/>
      <c r="D40" s="763"/>
      <c r="E40" s="764"/>
      <c r="F40" s="793"/>
      <c r="G40" s="763"/>
    </row>
    <row r="41" spans="1:87" s="839" customFormat="1">
      <c r="A41" s="765"/>
      <c r="B41" s="766"/>
      <c r="C41" s="765"/>
      <c r="D41" s="763"/>
      <c r="E41" s="764"/>
      <c r="F41" s="793"/>
      <c r="G41" s="763"/>
    </row>
    <row r="42" spans="1:87" s="839" customFormat="1">
      <c r="A42" s="765"/>
      <c r="B42" s="1673"/>
      <c r="C42" s="1673"/>
      <c r="D42" s="763"/>
      <c r="E42" s="764"/>
      <c r="F42" s="793"/>
      <c r="G42" s="763"/>
    </row>
    <row r="43" spans="1:87" s="839" customFormat="1">
      <c r="A43" s="765"/>
      <c r="B43" s="1673"/>
      <c r="C43" s="1673"/>
      <c r="D43" s="763"/>
      <c r="E43" s="764"/>
      <c r="F43" s="793"/>
      <c r="G43" s="763"/>
    </row>
    <row r="44" spans="1:87" s="839" customFormat="1">
      <c r="A44" s="765"/>
      <c r="B44" s="1673"/>
      <c r="C44" s="1673"/>
      <c r="D44" s="763"/>
      <c r="E44" s="764"/>
      <c r="F44" s="793"/>
      <c r="G44" s="763"/>
    </row>
    <row r="45" spans="1:87" s="839" customFormat="1">
      <c r="A45" s="765"/>
      <c r="B45" s="1673"/>
      <c r="C45" s="1673"/>
      <c r="D45" s="763"/>
      <c r="E45" s="764"/>
      <c r="F45" s="793"/>
      <c r="G45" s="763"/>
    </row>
    <row r="46" spans="1:87" s="839" customFormat="1">
      <c r="A46" s="765"/>
      <c r="B46" s="1673"/>
      <c r="C46" s="1673"/>
      <c r="D46" s="763"/>
      <c r="E46" s="764"/>
      <c r="F46" s="793"/>
      <c r="G46" s="763"/>
    </row>
    <row r="47" spans="1:87" s="839" customFormat="1">
      <c r="A47" s="765"/>
      <c r="B47" s="1673"/>
      <c r="C47" s="1673"/>
      <c r="D47" s="763"/>
      <c r="E47" s="764"/>
      <c r="F47" s="793"/>
      <c r="G47" s="763"/>
    </row>
    <row r="48" spans="1:87" s="839" customFormat="1">
      <c r="A48" s="765"/>
      <c r="B48" s="1673"/>
      <c r="C48" s="1673"/>
      <c r="D48" s="763"/>
      <c r="E48" s="764"/>
      <c r="F48" s="793"/>
      <c r="G48" s="763"/>
    </row>
    <row r="49" spans="1:7" s="839" customFormat="1">
      <c r="A49" s="765"/>
      <c r="B49" s="1673"/>
      <c r="C49" s="1673"/>
      <c r="D49" s="763"/>
      <c r="E49" s="764"/>
      <c r="F49" s="793"/>
      <c r="G49" s="763"/>
    </row>
    <row r="50" spans="1:7" s="839" customFormat="1">
      <c r="A50" s="765"/>
      <c r="B50" s="1673"/>
      <c r="C50" s="1673"/>
      <c r="D50" s="763"/>
      <c r="E50" s="764"/>
      <c r="F50" s="793"/>
      <c r="G50" s="763"/>
    </row>
    <row r="51" spans="1:7" s="839" customFormat="1">
      <c r="A51" s="765"/>
      <c r="B51" s="1673"/>
      <c r="C51" s="1673"/>
      <c r="D51" s="763"/>
      <c r="E51" s="764"/>
      <c r="F51" s="793"/>
      <c r="G51" s="763"/>
    </row>
    <row r="52" spans="1:7" s="839" customFormat="1">
      <c r="A52" s="765"/>
      <c r="B52" s="766"/>
      <c r="C52" s="765"/>
      <c r="D52" s="763"/>
      <c r="E52" s="764"/>
      <c r="F52" s="793"/>
      <c r="G52" s="763"/>
    </row>
    <row r="53" spans="1:7" s="839" customFormat="1">
      <c r="A53" s="765"/>
      <c r="B53" s="766"/>
      <c r="C53" s="765"/>
      <c r="D53" s="763"/>
      <c r="E53" s="764"/>
      <c r="F53" s="793"/>
      <c r="G53" s="763"/>
    </row>
    <row r="54" spans="1:7" s="839" customFormat="1">
      <c r="A54" s="765"/>
      <c r="B54" s="766"/>
      <c r="C54" s="765"/>
      <c r="D54" s="763"/>
      <c r="E54" s="764"/>
      <c r="F54" s="793"/>
      <c r="G54" s="763"/>
    </row>
    <row r="55" spans="1:7" s="839" customFormat="1">
      <c r="A55" s="765"/>
      <c r="B55" s="766"/>
      <c r="C55" s="765"/>
      <c r="D55" s="763"/>
      <c r="E55" s="764"/>
      <c r="F55" s="793"/>
      <c r="G55" s="763"/>
    </row>
    <row r="56" spans="1:7" s="839" customFormat="1">
      <c r="A56" s="765"/>
      <c r="B56" s="766"/>
      <c r="C56" s="765"/>
      <c r="D56" s="763"/>
      <c r="E56" s="764"/>
      <c r="F56" s="793"/>
      <c r="G56" s="763"/>
    </row>
    <row r="57" spans="1:7" s="839" customFormat="1">
      <c r="A57" s="765"/>
      <c r="B57" s="766"/>
      <c r="C57" s="765"/>
      <c r="D57" s="763"/>
      <c r="E57" s="764"/>
      <c r="F57" s="793"/>
      <c r="G57" s="763"/>
    </row>
    <row r="58" spans="1:7" s="839" customFormat="1">
      <c r="A58" s="765"/>
      <c r="B58" s="766"/>
      <c r="C58" s="765"/>
      <c r="D58" s="763"/>
      <c r="E58" s="764"/>
      <c r="F58" s="793"/>
      <c r="G58" s="763"/>
    </row>
    <row r="59" spans="1:7" s="839" customFormat="1">
      <c r="A59" s="765"/>
      <c r="B59" s="766"/>
      <c r="C59" s="765"/>
      <c r="D59" s="763"/>
      <c r="E59" s="764"/>
      <c r="F59" s="793"/>
      <c r="G59" s="763"/>
    </row>
    <row r="60" spans="1:7" s="839" customFormat="1">
      <c r="A60" s="765"/>
      <c r="B60" s="766"/>
      <c r="C60" s="765"/>
      <c r="D60" s="763"/>
      <c r="E60" s="764"/>
      <c r="F60" s="793"/>
      <c r="G60" s="763"/>
    </row>
    <row r="61" spans="1:7" s="839" customFormat="1">
      <c r="A61" s="765"/>
      <c r="B61" s="766"/>
      <c r="C61" s="765"/>
      <c r="D61" s="763"/>
      <c r="E61" s="764"/>
      <c r="F61" s="793"/>
      <c r="G61" s="763"/>
    </row>
    <row r="62" spans="1:7" s="839" customFormat="1">
      <c r="A62" s="765"/>
      <c r="B62" s="766"/>
      <c r="C62" s="765"/>
      <c r="D62" s="763"/>
      <c r="E62" s="764"/>
      <c r="F62" s="793"/>
      <c r="G62" s="763"/>
    </row>
    <row r="63" spans="1:7" s="839" customFormat="1">
      <c r="A63" s="765"/>
      <c r="B63" s="766"/>
      <c r="C63" s="765"/>
      <c r="D63" s="763"/>
      <c r="E63" s="764"/>
      <c r="F63" s="793"/>
      <c r="G63" s="763"/>
    </row>
    <row r="64" spans="1:7" s="839" customFormat="1">
      <c r="A64" s="765"/>
      <c r="B64" s="766"/>
      <c r="C64" s="765"/>
      <c r="D64" s="763"/>
      <c r="E64" s="764"/>
      <c r="F64" s="793"/>
      <c r="G64" s="763"/>
    </row>
    <row r="65" spans="1:7" s="839" customFormat="1">
      <c r="A65" s="765"/>
      <c r="B65" s="766"/>
      <c r="C65" s="765"/>
      <c r="D65" s="763"/>
      <c r="E65" s="764"/>
      <c r="F65" s="793"/>
      <c r="G65" s="763"/>
    </row>
    <row r="66" spans="1:7" s="839" customFormat="1">
      <c r="A66" s="765"/>
      <c r="B66" s="766"/>
      <c r="C66" s="765"/>
      <c r="D66" s="763"/>
      <c r="E66" s="764"/>
      <c r="F66" s="793"/>
      <c r="G66" s="763"/>
    </row>
    <row r="67" spans="1:7" s="839" customFormat="1">
      <c r="A67" s="765"/>
      <c r="B67" s="766"/>
      <c r="C67" s="765"/>
      <c r="D67" s="763"/>
      <c r="E67" s="764"/>
      <c r="F67" s="793"/>
      <c r="G67" s="763"/>
    </row>
    <row r="68" spans="1:7" s="839" customFormat="1">
      <c r="A68" s="765"/>
      <c r="B68" s="766"/>
      <c r="C68" s="765"/>
      <c r="D68" s="763"/>
      <c r="E68" s="764"/>
      <c r="F68" s="793"/>
      <c r="G68" s="763"/>
    </row>
    <row r="69" spans="1:7" s="839" customFormat="1">
      <c r="A69" s="765"/>
      <c r="B69" s="766"/>
      <c r="C69" s="765"/>
      <c r="D69" s="763"/>
      <c r="E69" s="764"/>
      <c r="F69" s="793"/>
      <c r="G69" s="763"/>
    </row>
    <row r="70" spans="1:7" s="839" customFormat="1">
      <c r="A70" s="765"/>
      <c r="B70" s="766"/>
      <c r="C70" s="765"/>
      <c r="D70" s="763"/>
      <c r="E70" s="764"/>
      <c r="F70" s="793"/>
      <c r="G70" s="763"/>
    </row>
    <row r="71" spans="1:7" s="839" customFormat="1">
      <c r="A71" s="765"/>
      <c r="B71" s="766"/>
      <c r="C71" s="765"/>
      <c r="D71" s="763"/>
      <c r="E71" s="764"/>
      <c r="F71" s="793"/>
      <c r="G71" s="763"/>
    </row>
    <row r="72" spans="1:7" s="839" customFormat="1">
      <c r="A72" s="765"/>
      <c r="B72" s="766"/>
      <c r="C72" s="765"/>
      <c r="D72" s="763"/>
      <c r="E72" s="764"/>
      <c r="F72" s="793"/>
      <c r="G72" s="763"/>
    </row>
    <row r="73" spans="1:7" s="839" customFormat="1">
      <c r="A73" s="765"/>
      <c r="B73" s="766"/>
      <c r="C73" s="765"/>
      <c r="D73" s="763"/>
      <c r="E73" s="764"/>
      <c r="F73" s="793"/>
      <c r="G73" s="763"/>
    </row>
    <row r="74" spans="1:7" s="839" customFormat="1">
      <c r="A74" s="765"/>
      <c r="B74" s="766"/>
      <c r="C74" s="765"/>
      <c r="D74" s="763"/>
      <c r="E74" s="764"/>
      <c r="F74" s="793"/>
      <c r="G74" s="763"/>
    </row>
    <row r="75" spans="1:7" s="839" customFormat="1">
      <c r="A75" s="765"/>
      <c r="B75" s="766"/>
      <c r="C75" s="765"/>
      <c r="D75" s="763"/>
      <c r="E75" s="764"/>
      <c r="F75" s="793"/>
      <c r="G75" s="763"/>
    </row>
    <row r="76" spans="1:7" s="839" customFormat="1">
      <c r="A76" s="765"/>
      <c r="B76" s="766"/>
      <c r="C76" s="765"/>
      <c r="D76" s="763"/>
      <c r="E76" s="764"/>
      <c r="F76" s="793"/>
      <c r="G76" s="763"/>
    </row>
    <row r="77" spans="1:7" s="839" customFormat="1">
      <c r="A77" s="765"/>
      <c r="B77" s="766"/>
      <c r="C77" s="765"/>
      <c r="D77" s="763"/>
      <c r="E77" s="764"/>
      <c r="F77" s="793"/>
      <c r="G77" s="763"/>
    </row>
    <row r="78" spans="1:7" s="839" customFormat="1">
      <c r="A78" s="765"/>
      <c r="B78" s="766"/>
      <c r="C78" s="765"/>
      <c r="D78" s="763"/>
      <c r="E78" s="764"/>
      <c r="F78" s="793"/>
      <c r="G78" s="763"/>
    </row>
    <row r="79" spans="1:7" s="839" customFormat="1">
      <c r="A79" s="765"/>
      <c r="B79" s="766"/>
      <c r="C79" s="765"/>
      <c r="D79" s="763"/>
      <c r="E79" s="764"/>
      <c r="F79" s="793"/>
      <c r="G79" s="763"/>
    </row>
    <row r="80" spans="1:7" s="839" customFormat="1">
      <c r="A80" s="765"/>
      <c r="B80" s="766"/>
      <c r="C80" s="765"/>
      <c r="D80" s="763"/>
      <c r="E80" s="764"/>
      <c r="F80" s="793"/>
      <c r="G80" s="763"/>
    </row>
    <row r="81" spans="1:7" s="839" customFormat="1">
      <c r="A81" s="765"/>
      <c r="B81" s="766"/>
      <c r="C81" s="765"/>
      <c r="D81" s="763"/>
      <c r="E81" s="764"/>
      <c r="F81" s="793"/>
      <c r="G81" s="763"/>
    </row>
    <row r="82" spans="1:7" s="839" customFormat="1">
      <c r="A82" s="765"/>
      <c r="B82" s="766"/>
      <c r="C82" s="765"/>
      <c r="D82" s="763"/>
      <c r="E82" s="764"/>
      <c r="F82" s="793"/>
      <c r="G82" s="763"/>
    </row>
    <row r="83" spans="1:7" s="839" customFormat="1">
      <c r="A83" s="765"/>
      <c r="B83" s="766"/>
      <c r="C83" s="765"/>
      <c r="D83" s="763"/>
      <c r="E83" s="764"/>
      <c r="F83" s="793"/>
      <c r="G83" s="763"/>
    </row>
    <row r="84" spans="1:7" s="839" customFormat="1">
      <c r="A84" s="765"/>
      <c r="B84" s="766"/>
      <c r="C84" s="765"/>
      <c r="D84" s="763"/>
      <c r="E84" s="764"/>
      <c r="F84" s="793"/>
      <c r="G84" s="763"/>
    </row>
    <row r="85" spans="1:7" s="839" customFormat="1">
      <c r="A85" s="765"/>
      <c r="B85" s="766"/>
      <c r="C85" s="765"/>
      <c r="D85" s="763"/>
      <c r="E85" s="764"/>
      <c r="F85" s="793"/>
      <c r="G85" s="763"/>
    </row>
    <row r="86" spans="1:7" s="839" customFormat="1">
      <c r="A86" s="765"/>
      <c r="B86" s="766"/>
      <c r="C86" s="765"/>
      <c r="D86" s="763"/>
      <c r="E86" s="764"/>
      <c r="F86" s="793"/>
      <c r="G86" s="763"/>
    </row>
    <row r="87" spans="1:7" s="839" customFormat="1">
      <c r="A87" s="765"/>
      <c r="B87" s="766"/>
      <c r="C87" s="765"/>
      <c r="D87" s="763"/>
      <c r="E87" s="764"/>
      <c r="F87" s="793"/>
      <c r="G87" s="763"/>
    </row>
    <row r="88" spans="1:7" s="839" customFormat="1">
      <c r="A88" s="765"/>
      <c r="B88" s="766"/>
      <c r="C88" s="765"/>
      <c r="D88" s="763"/>
      <c r="E88" s="764"/>
      <c r="F88" s="793"/>
      <c r="G88" s="763"/>
    </row>
    <row r="89" spans="1:7" s="839" customFormat="1">
      <c r="A89" s="765"/>
      <c r="B89" s="766"/>
      <c r="C89" s="765"/>
      <c r="D89" s="763"/>
      <c r="E89" s="764"/>
      <c r="F89" s="793"/>
      <c r="G89" s="763"/>
    </row>
    <row r="90" spans="1:7" s="839" customFormat="1">
      <c r="A90" s="765"/>
      <c r="B90" s="766"/>
      <c r="C90" s="765"/>
      <c r="D90" s="763"/>
      <c r="E90" s="764"/>
      <c r="F90" s="793"/>
      <c r="G90" s="763"/>
    </row>
    <row r="91" spans="1:7" s="839" customFormat="1">
      <c r="A91" s="765"/>
      <c r="B91" s="766"/>
      <c r="C91" s="765"/>
      <c r="D91" s="763"/>
      <c r="E91" s="764"/>
      <c r="F91" s="793"/>
      <c r="G91" s="763"/>
    </row>
    <row r="92" spans="1:7" s="839" customFormat="1">
      <c r="A92" s="765"/>
      <c r="B92" s="766"/>
      <c r="C92" s="765"/>
      <c r="D92" s="763"/>
      <c r="E92" s="764"/>
      <c r="F92" s="793"/>
      <c r="G92" s="763"/>
    </row>
    <row r="93" spans="1:7" s="839" customFormat="1">
      <c r="A93" s="765"/>
      <c r="B93" s="766"/>
      <c r="C93" s="765"/>
      <c r="D93" s="763"/>
      <c r="E93" s="764"/>
      <c r="F93" s="793"/>
      <c r="G93" s="763"/>
    </row>
    <row r="94" spans="1:7" s="839" customFormat="1">
      <c r="A94" s="765"/>
      <c r="B94" s="766"/>
      <c r="C94" s="765"/>
      <c r="D94" s="763"/>
      <c r="E94" s="764"/>
      <c r="F94" s="793"/>
      <c r="G94" s="763"/>
    </row>
    <row r="95" spans="1:7" s="839" customFormat="1">
      <c r="A95" s="765"/>
      <c r="B95" s="766"/>
      <c r="C95" s="765"/>
      <c r="D95" s="763"/>
      <c r="E95" s="764"/>
      <c r="F95" s="793"/>
      <c r="G95" s="763"/>
    </row>
    <row r="96" spans="1:7" s="839" customFormat="1">
      <c r="A96" s="765"/>
      <c r="B96" s="766"/>
      <c r="C96" s="765"/>
      <c r="D96" s="763"/>
      <c r="E96" s="764"/>
      <c r="F96" s="793"/>
      <c r="G96" s="763"/>
    </row>
    <row r="97" spans="1:7" s="839" customFormat="1">
      <c r="A97" s="765"/>
      <c r="B97" s="766"/>
      <c r="C97" s="765"/>
      <c r="D97" s="763"/>
      <c r="E97" s="764"/>
      <c r="F97" s="793"/>
      <c r="G97" s="763"/>
    </row>
    <row r="98" spans="1:7" s="839" customFormat="1">
      <c r="A98" s="765"/>
      <c r="B98" s="766"/>
      <c r="C98" s="765"/>
      <c r="D98" s="763"/>
      <c r="E98" s="764"/>
      <c r="F98" s="793"/>
      <c r="G98" s="763"/>
    </row>
    <row r="99" spans="1:7" s="839" customFormat="1">
      <c r="A99" s="765"/>
      <c r="B99" s="766"/>
      <c r="C99" s="765"/>
      <c r="D99" s="763"/>
      <c r="E99" s="764"/>
      <c r="F99" s="793"/>
      <c r="G99" s="763"/>
    </row>
    <row r="100" spans="1:7" s="839" customFormat="1">
      <c r="A100" s="765"/>
      <c r="B100" s="766"/>
      <c r="C100" s="765"/>
      <c r="D100" s="763"/>
      <c r="E100" s="764"/>
      <c r="F100" s="793"/>
      <c r="G100" s="763"/>
    </row>
    <row r="101" spans="1:7" s="839" customFormat="1">
      <c r="A101" s="765"/>
      <c r="B101" s="766"/>
      <c r="C101" s="765"/>
      <c r="D101" s="763"/>
      <c r="E101" s="764"/>
      <c r="F101" s="793"/>
      <c r="G101" s="763"/>
    </row>
    <row r="102" spans="1:7" s="839" customFormat="1">
      <c r="A102" s="765"/>
      <c r="B102" s="766"/>
      <c r="C102" s="765"/>
      <c r="D102" s="763"/>
      <c r="E102" s="764"/>
      <c r="F102" s="793"/>
      <c r="G102" s="763"/>
    </row>
    <row r="103" spans="1:7" s="839" customFormat="1">
      <c r="A103" s="765"/>
      <c r="B103" s="766"/>
      <c r="C103" s="765"/>
      <c r="D103" s="763"/>
      <c r="E103" s="764"/>
      <c r="F103" s="793"/>
      <c r="G103" s="763"/>
    </row>
    <row r="104" spans="1:7" s="839" customFormat="1">
      <c r="A104" s="765"/>
      <c r="B104" s="766"/>
      <c r="C104" s="765"/>
      <c r="D104" s="763"/>
      <c r="E104" s="764"/>
      <c r="F104" s="793"/>
      <c r="G104" s="763"/>
    </row>
    <row r="105" spans="1:7" s="839" customFormat="1">
      <c r="A105" s="765"/>
      <c r="B105" s="766"/>
      <c r="C105" s="765"/>
      <c r="D105" s="763"/>
      <c r="E105" s="764"/>
      <c r="F105" s="793"/>
      <c r="G105" s="763"/>
    </row>
    <row r="106" spans="1:7" s="839" customFormat="1">
      <c r="A106" s="765"/>
      <c r="B106" s="766"/>
      <c r="C106" s="765"/>
      <c r="D106" s="763"/>
      <c r="E106" s="764"/>
      <c r="F106" s="793"/>
      <c r="G106" s="763"/>
    </row>
    <row r="107" spans="1:7" s="839" customFormat="1">
      <c r="A107" s="765"/>
      <c r="B107" s="766"/>
      <c r="C107" s="765"/>
      <c r="D107" s="763"/>
      <c r="E107" s="764"/>
      <c r="F107" s="793"/>
      <c r="G107" s="763"/>
    </row>
    <row r="108" spans="1:7" s="839" customFormat="1">
      <c r="A108" s="765"/>
      <c r="B108" s="766"/>
      <c r="C108" s="765"/>
      <c r="D108" s="763"/>
      <c r="E108" s="764"/>
      <c r="F108" s="793"/>
      <c r="G108" s="763"/>
    </row>
    <row r="109" spans="1:7" s="839" customFormat="1">
      <c r="A109" s="765"/>
      <c r="B109" s="766"/>
      <c r="C109" s="765"/>
      <c r="D109" s="763"/>
      <c r="E109" s="764"/>
      <c r="F109" s="793"/>
      <c r="G109" s="763"/>
    </row>
    <row r="110" spans="1:7" s="839" customFormat="1">
      <c r="A110" s="765"/>
      <c r="B110" s="766"/>
      <c r="C110" s="765"/>
      <c r="D110" s="763"/>
      <c r="E110" s="764"/>
      <c r="F110" s="793"/>
      <c r="G110" s="763"/>
    </row>
    <row r="111" spans="1:7" s="839" customFormat="1">
      <c r="A111" s="765"/>
      <c r="B111" s="766"/>
      <c r="C111" s="765"/>
      <c r="D111" s="763"/>
      <c r="E111" s="764"/>
      <c r="F111" s="793"/>
      <c r="G111" s="763"/>
    </row>
    <row r="112" spans="1:7" s="839" customFormat="1">
      <c r="A112" s="765"/>
      <c r="B112" s="766"/>
      <c r="C112" s="765"/>
      <c r="D112" s="763"/>
      <c r="E112" s="764"/>
      <c r="F112" s="793"/>
      <c r="G112" s="763"/>
    </row>
    <row r="113" spans="1:7" s="839" customFormat="1">
      <c r="A113" s="765"/>
      <c r="B113" s="766"/>
      <c r="C113" s="765"/>
      <c r="D113" s="763"/>
      <c r="E113" s="764"/>
      <c r="F113" s="793"/>
      <c r="G113" s="763"/>
    </row>
    <row r="114" spans="1:7" s="839" customFormat="1">
      <c r="A114" s="765"/>
      <c r="B114" s="766"/>
      <c r="C114" s="765"/>
      <c r="D114" s="763"/>
      <c r="E114" s="764"/>
      <c r="F114" s="793"/>
      <c r="G114" s="763"/>
    </row>
    <row r="115" spans="1:7" s="839" customFormat="1">
      <c r="A115" s="765"/>
      <c r="B115" s="766"/>
      <c r="C115" s="765"/>
      <c r="D115" s="763"/>
      <c r="E115" s="764"/>
      <c r="F115" s="793"/>
      <c r="G115" s="763"/>
    </row>
    <row r="116" spans="1:7" s="839" customFormat="1">
      <c r="A116" s="765"/>
      <c r="B116" s="766"/>
      <c r="C116" s="765"/>
      <c r="D116" s="763"/>
      <c r="E116" s="764"/>
      <c r="F116" s="793"/>
      <c r="G116" s="763"/>
    </row>
    <row r="117" spans="1:7" s="839" customFormat="1">
      <c r="A117" s="765"/>
      <c r="B117" s="766"/>
      <c r="C117" s="765"/>
      <c r="D117" s="763"/>
      <c r="E117" s="764"/>
      <c r="F117" s="793"/>
      <c r="G117" s="763"/>
    </row>
    <row r="118" spans="1:7" s="839" customFormat="1">
      <c r="A118" s="765"/>
      <c r="B118" s="766"/>
      <c r="C118" s="765"/>
      <c r="D118" s="763"/>
      <c r="E118" s="764"/>
      <c r="F118" s="793"/>
      <c r="G118" s="763"/>
    </row>
    <row r="119" spans="1:7" s="839" customFormat="1">
      <c r="A119" s="765"/>
      <c r="B119" s="766"/>
      <c r="C119" s="765"/>
      <c r="D119" s="763"/>
      <c r="E119" s="764"/>
      <c r="F119" s="793"/>
      <c r="G119" s="763"/>
    </row>
    <row r="120" spans="1:7" s="839" customFormat="1">
      <c r="A120" s="765"/>
      <c r="B120" s="766"/>
      <c r="C120" s="765"/>
      <c r="D120" s="763"/>
      <c r="E120" s="764"/>
      <c r="F120" s="793"/>
      <c r="G120" s="763"/>
    </row>
    <row r="121" spans="1:7" s="839" customFormat="1">
      <c r="A121" s="765"/>
      <c r="B121" s="766"/>
      <c r="C121" s="765"/>
      <c r="D121" s="763"/>
      <c r="E121" s="764"/>
      <c r="F121" s="793"/>
      <c r="G121" s="763"/>
    </row>
    <row r="122" spans="1:7" s="839" customFormat="1">
      <c r="A122" s="765"/>
      <c r="B122" s="766"/>
      <c r="C122" s="765"/>
      <c r="D122" s="763"/>
      <c r="E122" s="764"/>
      <c r="F122" s="793"/>
      <c r="G122" s="763"/>
    </row>
    <row r="123" spans="1:7" s="839" customFormat="1">
      <c r="A123" s="765"/>
      <c r="B123" s="766"/>
      <c r="C123" s="765"/>
      <c r="D123" s="763"/>
      <c r="E123" s="764"/>
      <c r="F123" s="793"/>
      <c r="G123" s="763"/>
    </row>
    <row r="124" spans="1:7" s="839" customFormat="1">
      <c r="A124" s="765"/>
      <c r="B124" s="766"/>
      <c r="C124" s="765"/>
      <c r="D124" s="763"/>
      <c r="E124" s="764"/>
      <c r="F124" s="793"/>
      <c r="G124" s="763"/>
    </row>
    <row r="125" spans="1:7" s="839" customFormat="1">
      <c r="A125" s="765"/>
      <c r="B125" s="766"/>
      <c r="C125" s="765"/>
      <c r="D125" s="763"/>
      <c r="E125" s="764"/>
      <c r="F125" s="793"/>
      <c r="G125" s="763"/>
    </row>
    <row r="126" spans="1:7" s="839" customFormat="1">
      <c r="A126" s="765"/>
      <c r="B126" s="766"/>
      <c r="C126" s="765"/>
      <c r="D126" s="763"/>
      <c r="E126" s="764"/>
      <c r="F126" s="793"/>
      <c r="G126" s="763"/>
    </row>
    <row r="127" spans="1:7" s="839" customFormat="1">
      <c r="A127" s="765"/>
      <c r="B127" s="766"/>
      <c r="C127" s="765"/>
      <c r="D127" s="763"/>
      <c r="E127" s="764"/>
      <c r="F127" s="793"/>
      <c r="G127" s="763"/>
    </row>
    <row r="128" spans="1:7" s="839" customFormat="1">
      <c r="A128" s="765"/>
      <c r="B128" s="766"/>
      <c r="C128" s="765"/>
      <c r="D128" s="763"/>
      <c r="E128" s="764"/>
      <c r="F128" s="793"/>
      <c r="G128" s="763"/>
    </row>
    <row r="129" spans="1:7" s="839" customFormat="1">
      <c r="A129" s="765"/>
      <c r="B129" s="766"/>
      <c r="C129" s="765"/>
      <c r="D129" s="763"/>
      <c r="E129" s="764"/>
      <c r="F129" s="793"/>
      <c r="G129" s="763"/>
    </row>
    <row r="130" spans="1:7" s="839" customFormat="1">
      <c r="A130" s="765"/>
      <c r="B130" s="766"/>
      <c r="C130" s="765"/>
      <c r="D130" s="763"/>
      <c r="E130" s="764"/>
      <c r="F130" s="793"/>
      <c r="G130" s="763"/>
    </row>
    <row r="131" spans="1:7" s="839" customFormat="1">
      <c r="A131" s="765"/>
      <c r="B131" s="766"/>
      <c r="C131" s="765"/>
      <c r="D131" s="763"/>
      <c r="E131" s="764"/>
      <c r="F131" s="793"/>
      <c r="G131" s="763"/>
    </row>
    <row r="132" spans="1:7" s="839" customFormat="1">
      <c r="A132" s="765"/>
      <c r="B132" s="766"/>
      <c r="C132" s="765"/>
      <c r="D132" s="763"/>
      <c r="E132" s="764"/>
      <c r="F132" s="793"/>
      <c r="G132" s="763"/>
    </row>
    <row r="133" spans="1:7" s="839" customFormat="1">
      <c r="A133" s="765"/>
      <c r="B133" s="766"/>
      <c r="C133" s="765"/>
      <c r="D133" s="763"/>
      <c r="E133" s="764"/>
      <c r="F133" s="793"/>
      <c r="G133" s="763"/>
    </row>
    <row r="134" spans="1:7" s="839" customFormat="1">
      <c r="A134" s="765"/>
      <c r="B134" s="766"/>
      <c r="C134" s="765"/>
      <c r="D134" s="763"/>
      <c r="E134" s="764"/>
      <c r="F134" s="793"/>
      <c r="G134" s="763"/>
    </row>
    <row r="135" spans="1:7" s="839" customFormat="1">
      <c r="A135" s="765"/>
      <c r="B135" s="766"/>
      <c r="C135" s="765"/>
      <c r="D135" s="763"/>
      <c r="E135" s="764"/>
      <c r="F135" s="793"/>
      <c r="G135" s="763"/>
    </row>
    <row r="136" spans="1:7" s="839" customFormat="1">
      <c r="A136" s="765"/>
      <c r="B136" s="766"/>
      <c r="C136" s="765"/>
      <c r="D136" s="763"/>
      <c r="E136" s="764"/>
      <c r="F136" s="793"/>
      <c r="G136" s="763"/>
    </row>
    <row r="137" spans="1:7" s="839" customFormat="1">
      <c r="A137" s="765"/>
      <c r="B137" s="766"/>
      <c r="C137" s="765"/>
      <c r="D137" s="763"/>
      <c r="E137" s="764"/>
      <c r="F137" s="793"/>
      <c r="G137" s="763"/>
    </row>
    <row r="138" spans="1:7" s="839" customFormat="1">
      <c r="A138" s="765"/>
      <c r="B138" s="766"/>
      <c r="C138" s="765"/>
      <c r="D138" s="763"/>
      <c r="E138" s="764"/>
      <c r="F138" s="793"/>
      <c r="G138" s="763"/>
    </row>
    <row r="139" spans="1:7" s="839" customFormat="1">
      <c r="A139" s="765"/>
      <c r="B139" s="766"/>
      <c r="C139" s="765"/>
      <c r="D139" s="763"/>
      <c r="E139" s="764"/>
      <c r="F139" s="793"/>
      <c r="G139" s="763"/>
    </row>
    <row r="140" spans="1:7" s="839" customFormat="1">
      <c r="A140" s="765"/>
      <c r="B140" s="766"/>
      <c r="C140" s="765"/>
      <c r="D140" s="763"/>
      <c r="E140" s="764"/>
      <c r="F140" s="793"/>
      <c r="G140" s="763"/>
    </row>
    <row r="141" spans="1:7" s="839" customFormat="1">
      <c r="A141" s="765"/>
      <c r="B141" s="766"/>
      <c r="C141" s="765"/>
      <c r="D141" s="763"/>
      <c r="E141" s="764"/>
      <c r="F141" s="793"/>
      <c r="G141" s="763"/>
    </row>
    <row r="142" spans="1:7" s="839" customFormat="1">
      <c r="A142" s="765"/>
      <c r="B142" s="766"/>
      <c r="C142" s="765"/>
      <c r="D142" s="763"/>
      <c r="E142" s="764"/>
      <c r="F142" s="793"/>
      <c r="G142" s="763"/>
    </row>
    <row r="143" spans="1:7" s="839" customFormat="1">
      <c r="A143" s="765"/>
      <c r="B143" s="766"/>
      <c r="C143" s="765"/>
      <c r="D143" s="763"/>
      <c r="E143" s="764"/>
      <c r="F143" s="793"/>
      <c r="G143" s="763"/>
    </row>
    <row r="144" spans="1:7" s="839" customFormat="1">
      <c r="A144" s="765"/>
      <c r="B144" s="766"/>
      <c r="C144" s="765"/>
      <c r="D144" s="763"/>
      <c r="E144" s="764"/>
      <c r="F144" s="793"/>
      <c r="G144" s="763"/>
    </row>
    <row r="145" spans="1:7" s="839" customFormat="1">
      <c r="A145" s="765"/>
      <c r="B145" s="766"/>
      <c r="C145" s="765"/>
      <c r="D145" s="763"/>
      <c r="E145" s="764"/>
      <c r="F145" s="793"/>
      <c r="G145" s="763"/>
    </row>
    <row r="146" spans="1:7" s="839" customFormat="1">
      <c r="A146" s="765"/>
      <c r="B146" s="766"/>
      <c r="C146" s="765"/>
      <c r="D146" s="763"/>
      <c r="E146" s="764"/>
      <c r="F146" s="793"/>
      <c r="G146" s="763"/>
    </row>
    <row r="147" spans="1:7" s="839" customFormat="1">
      <c r="A147" s="765"/>
      <c r="B147" s="766"/>
      <c r="C147" s="765"/>
      <c r="D147" s="763"/>
      <c r="E147" s="764"/>
      <c r="F147" s="793"/>
      <c r="G147" s="763"/>
    </row>
    <row r="148" spans="1:7" s="839" customFormat="1">
      <c r="A148" s="765"/>
      <c r="B148" s="766"/>
      <c r="C148" s="765"/>
      <c r="D148" s="763"/>
      <c r="E148" s="764"/>
      <c r="F148" s="793"/>
      <c r="G148" s="763"/>
    </row>
    <row r="149" spans="1:7" s="839" customFormat="1">
      <c r="A149" s="765"/>
      <c r="B149" s="766"/>
      <c r="C149" s="765"/>
      <c r="D149" s="763"/>
      <c r="E149" s="764"/>
      <c r="F149" s="793"/>
      <c r="G149" s="763"/>
    </row>
    <row r="150" spans="1:7" s="839" customFormat="1">
      <c r="A150" s="765"/>
      <c r="B150" s="766"/>
      <c r="C150" s="765"/>
      <c r="D150" s="763"/>
      <c r="E150" s="764"/>
      <c r="F150" s="793"/>
      <c r="G150" s="763"/>
    </row>
    <row r="151" spans="1:7" s="839" customFormat="1">
      <c r="A151" s="765"/>
      <c r="B151" s="766"/>
      <c r="C151" s="765"/>
      <c r="D151" s="763"/>
      <c r="E151" s="764"/>
      <c r="F151" s="793"/>
      <c r="G151" s="763"/>
    </row>
    <row r="152" spans="1:7" s="839" customFormat="1">
      <c r="A152" s="765"/>
      <c r="B152" s="766"/>
      <c r="C152" s="765"/>
      <c r="D152" s="763"/>
      <c r="E152" s="764"/>
      <c r="F152" s="793"/>
      <c r="G152" s="763"/>
    </row>
    <row r="153" spans="1:7" s="839" customFormat="1">
      <c r="A153" s="765"/>
      <c r="B153" s="766"/>
      <c r="C153" s="765"/>
      <c r="D153" s="763"/>
      <c r="E153" s="764"/>
      <c r="F153" s="793"/>
      <c r="G153" s="763"/>
    </row>
    <row r="154" spans="1:7" s="839" customFormat="1">
      <c r="A154" s="765"/>
      <c r="B154" s="766"/>
      <c r="C154" s="765"/>
      <c r="D154" s="763"/>
      <c r="E154" s="764"/>
      <c r="F154" s="793"/>
      <c r="G154" s="763"/>
    </row>
    <row r="155" spans="1:7" s="839" customFormat="1">
      <c r="A155" s="765"/>
      <c r="B155" s="766"/>
      <c r="C155" s="765"/>
      <c r="D155" s="763"/>
      <c r="E155" s="764"/>
      <c r="F155" s="793"/>
      <c r="G155" s="763"/>
    </row>
    <row r="156" spans="1:7" s="839" customFormat="1">
      <c r="A156" s="765"/>
      <c r="B156" s="766"/>
      <c r="C156" s="765"/>
      <c r="D156" s="763"/>
      <c r="E156" s="764"/>
      <c r="F156" s="793"/>
      <c r="G156" s="763"/>
    </row>
    <row r="157" spans="1:7" s="839" customFormat="1">
      <c r="A157" s="765"/>
      <c r="B157" s="766"/>
      <c r="C157" s="765"/>
      <c r="D157" s="763"/>
      <c r="E157" s="764"/>
      <c r="F157" s="793"/>
      <c r="G157" s="763"/>
    </row>
    <row r="158" spans="1:7" s="839" customFormat="1">
      <c r="A158" s="765"/>
      <c r="B158" s="766"/>
      <c r="C158" s="765"/>
      <c r="D158" s="763"/>
      <c r="E158" s="764"/>
      <c r="F158" s="793"/>
      <c r="G158" s="763"/>
    </row>
    <row r="159" spans="1:7" s="839" customFormat="1">
      <c r="A159" s="765"/>
      <c r="B159" s="766"/>
      <c r="C159" s="765"/>
      <c r="D159" s="763"/>
      <c r="E159" s="764"/>
      <c r="F159" s="793"/>
      <c r="G159" s="763"/>
    </row>
    <row r="160" spans="1:7" s="839" customFormat="1">
      <c r="A160" s="765"/>
      <c r="B160" s="766"/>
      <c r="C160" s="765"/>
      <c r="D160" s="763"/>
      <c r="E160" s="764"/>
      <c r="F160" s="793"/>
      <c r="G160" s="763"/>
    </row>
    <row r="161" spans="1:7" s="839" customFormat="1">
      <c r="A161" s="765"/>
      <c r="B161" s="766"/>
      <c r="C161" s="765"/>
      <c r="D161" s="763"/>
      <c r="E161" s="764"/>
      <c r="F161" s="793"/>
      <c r="G161" s="763"/>
    </row>
    <row r="162" spans="1:7" s="839" customFormat="1">
      <c r="A162" s="765"/>
      <c r="B162" s="766"/>
      <c r="C162" s="765"/>
      <c r="D162" s="763"/>
      <c r="E162" s="764"/>
      <c r="F162" s="793"/>
      <c r="G162" s="763"/>
    </row>
    <row r="163" spans="1:7" s="839" customFormat="1">
      <c r="A163" s="765"/>
      <c r="B163" s="766"/>
      <c r="C163" s="765"/>
      <c r="D163" s="763"/>
      <c r="E163" s="764"/>
      <c r="F163" s="793"/>
      <c r="G163" s="763"/>
    </row>
    <row r="164" spans="1:7" s="839" customFormat="1">
      <c r="A164" s="765"/>
      <c r="B164" s="766"/>
      <c r="C164" s="765"/>
      <c r="D164" s="763"/>
      <c r="E164" s="764"/>
      <c r="F164" s="793"/>
      <c r="G164" s="763"/>
    </row>
    <row r="165" spans="1:7" s="839" customFormat="1">
      <c r="A165" s="765"/>
      <c r="B165" s="766"/>
      <c r="C165" s="765"/>
      <c r="D165" s="763"/>
      <c r="E165" s="764"/>
      <c r="F165" s="793"/>
      <c r="G165" s="763"/>
    </row>
    <row r="166" spans="1:7" s="839" customFormat="1">
      <c r="A166" s="765"/>
      <c r="B166" s="766"/>
      <c r="C166" s="765"/>
      <c r="D166" s="763"/>
      <c r="E166" s="764"/>
      <c r="F166" s="793"/>
      <c r="G166" s="763"/>
    </row>
    <row r="167" spans="1:7" s="839" customFormat="1">
      <c r="A167" s="765"/>
      <c r="B167" s="766"/>
      <c r="C167" s="765"/>
      <c r="D167" s="763"/>
      <c r="E167" s="764"/>
      <c r="F167" s="793"/>
      <c r="G167" s="763"/>
    </row>
    <row r="168" spans="1:7" s="839" customFormat="1">
      <c r="A168" s="765"/>
      <c r="B168" s="766"/>
      <c r="C168" s="765"/>
      <c r="D168" s="763"/>
      <c r="E168" s="764"/>
      <c r="F168" s="793"/>
      <c r="G168" s="763"/>
    </row>
    <row r="169" spans="1:7" s="839" customFormat="1">
      <c r="A169" s="765"/>
      <c r="B169" s="766"/>
      <c r="C169" s="765"/>
      <c r="D169" s="763"/>
      <c r="E169" s="764"/>
      <c r="F169" s="793"/>
      <c r="G169" s="763"/>
    </row>
    <row r="170" spans="1:7" s="839" customFormat="1">
      <c r="A170" s="765"/>
      <c r="B170" s="766"/>
      <c r="C170" s="765"/>
      <c r="D170" s="763"/>
      <c r="E170" s="764"/>
      <c r="F170" s="793"/>
      <c r="G170" s="763"/>
    </row>
    <row r="171" spans="1:7" s="839" customFormat="1">
      <c r="A171" s="765"/>
      <c r="B171" s="766"/>
      <c r="C171" s="765"/>
      <c r="D171" s="763"/>
      <c r="E171" s="764"/>
      <c r="F171" s="793"/>
      <c r="G171" s="763"/>
    </row>
    <row r="172" spans="1:7" s="839" customFormat="1">
      <c r="A172" s="765"/>
      <c r="B172" s="766"/>
      <c r="C172" s="765"/>
      <c r="D172" s="763"/>
      <c r="E172" s="764"/>
      <c r="F172" s="793"/>
      <c r="G172" s="763"/>
    </row>
    <row r="173" spans="1:7" s="839" customFormat="1">
      <c r="A173" s="765"/>
      <c r="B173" s="766"/>
      <c r="C173" s="765"/>
      <c r="D173" s="763"/>
      <c r="E173" s="764"/>
      <c r="F173" s="793"/>
      <c r="G173" s="763"/>
    </row>
    <row r="174" spans="1:7" s="839" customFormat="1">
      <c r="A174" s="765"/>
      <c r="B174" s="766"/>
      <c r="C174" s="765"/>
      <c r="D174" s="763"/>
      <c r="E174" s="764"/>
      <c r="F174" s="793"/>
      <c r="G174" s="763"/>
    </row>
    <row r="175" spans="1:7" s="839" customFormat="1">
      <c r="A175" s="765"/>
      <c r="B175" s="766"/>
      <c r="C175" s="765"/>
      <c r="D175" s="763"/>
      <c r="E175" s="764"/>
      <c r="F175" s="793"/>
      <c r="G175" s="763"/>
    </row>
    <row r="176" spans="1:7" s="839" customFormat="1">
      <c r="A176" s="765"/>
      <c r="B176" s="766"/>
      <c r="C176" s="765"/>
      <c r="D176" s="763"/>
      <c r="E176" s="764"/>
      <c r="F176" s="793"/>
      <c r="G176" s="763"/>
    </row>
    <row r="177" spans="1:7" s="839" customFormat="1">
      <c r="A177" s="765"/>
      <c r="B177" s="766"/>
      <c r="C177" s="765"/>
      <c r="D177" s="763"/>
      <c r="E177" s="764"/>
      <c r="F177" s="793"/>
      <c r="G177" s="763"/>
    </row>
    <row r="178" spans="1:7" s="839" customFormat="1">
      <c r="A178" s="765"/>
      <c r="B178" s="766"/>
      <c r="C178" s="765"/>
      <c r="D178" s="763"/>
      <c r="E178" s="764"/>
      <c r="F178" s="793"/>
      <c r="G178" s="763"/>
    </row>
    <row r="179" spans="1:7" s="839" customFormat="1">
      <c r="A179" s="765"/>
      <c r="B179" s="766"/>
      <c r="C179" s="765"/>
      <c r="D179" s="763"/>
      <c r="E179" s="764"/>
      <c r="F179" s="793"/>
      <c r="G179" s="763"/>
    </row>
    <row r="180" spans="1:7" s="839" customFormat="1">
      <c r="A180" s="765"/>
      <c r="B180" s="766"/>
      <c r="C180" s="765"/>
      <c r="D180" s="763"/>
      <c r="E180" s="764"/>
      <c r="F180" s="793"/>
      <c r="G180" s="763"/>
    </row>
    <row r="181" spans="1:7" s="839" customFormat="1">
      <c r="A181" s="765"/>
      <c r="B181" s="766"/>
      <c r="C181" s="765"/>
      <c r="D181" s="763"/>
      <c r="E181" s="764"/>
      <c r="F181" s="793"/>
      <c r="G181" s="763"/>
    </row>
    <row r="182" spans="1:7" s="839" customFormat="1">
      <c r="A182" s="765"/>
      <c r="B182" s="766"/>
      <c r="C182" s="765"/>
      <c r="D182" s="763"/>
      <c r="E182" s="764"/>
      <c r="F182" s="793"/>
      <c r="G182" s="763"/>
    </row>
    <row r="183" spans="1:7" s="839" customFormat="1">
      <c r="A183" s="765"/>
      <c r="B183" s="766"/>
      <c r="C183" s="765"/>
      <c r="D183" s="763"/>
      <c r="E183" s="764"/>
      <c r="F183" s="793"/>
      <c r="G183" s="763"/>
    </row>
    <row r="184" spans="1:7" s="839" customFormat="1">
      <c r="A184" s="765"/>
      <c r="B184" s="766"/>
      <c r="C184" s="765"/>
      <c r="D184" s="763"/>
      <c r="E184" s="764"/>
      <c r="F184" s="793"/>
      <c r="G184" s="763"/>
    </row>
    <row r="185" spans="1:7" s="839" customFormat="1">
      <c r="A185" s="765"/>
      <c r="B185" s="766"/>
      <c r="C185" s="765"/>
      <c r="D185" s="763"/>
      <c r="E185" s="764"/>
      <c r="F185" s="793"/>
      <c r="G185" s="763"/>
    </row>
    <row r="186" spans="1:7" s="839" customFormat="1">
      <c r="A186" s="765"/>
      <c r="B186" s="766"/>
      <c r="C186" s="765"/>
      <c r="D186" s="763"/>
      <c r="E186" s="764"/>
      <c r="F186" s="793"/>
      <c r="G186" s="763"/>
    </row>
    <row r="187" spans="1:7" s="839" customFormat="1">
      <c r="A187" s="765"/>
      <c r="B187" s="766"/>
      <c r="C187" s="765"/>
      <c r="D187" s="763"/>
      <c r="E187" s="764"/>
      <c r="F187" s="793"/>
      <c r="G187" s="763"/>
    </row>
    <row r="188" spans="1:7" s="839" customFormat="1">
      <c r="A188" s="765"/>
      <c r="B188" s="766"/>
      <c r="C188" s="765"/>
      <c r="D188" s="763"/>
      <c r="E188" s="764"/>
      <c r="F188" s="793"/>
      <c r="G188" s="763"/>
    </row>
    <row r="189" spans="1:7" s="839" customFormat="1">
      <c r="A189" s="765"/>
      <c r="B189" s="766"/>
      <c r="C189" s="765"/>
      <c r="D189" s="763"/>
      <c r="E189" s="764"/>
      <c r="F189" s="793"/>
      <c r="G189" s="763"/>
    </row>
    <row r="190" spans="1:7" s="839" customFormat="1">
      <c r="A190" s="765"/>
      <c r="B190" s="766"/>
      <c r="C190" s="765"/>
      <c r="D190" s="763"/>
      <c r="E190" s="764"/>
      <c r="F190" s="793"/>
      <c r="G190" s="763"/>
    </row>
    <row r="191" spans="1:7" s="839" customFormat="1">
      <c r="A191" s="765"/>
      <c r="B191" s="766"/>
      <c r="C191" s="765"/>
      <c r="D191" s="763"/>
      <c r="E191" s="764"/>
      <c r="F191" s="793"/>
      <c r="G191" s="763"/>
    </row>
    <row r="192" spans="1:7" s="839" customFormat="1">
      <c r="A192" s="765"/>
      <c r="B192" s="766"/>
      <c r="C192" s="765"/>
      <c r="D192" s="763"/>
      <c r="E192" s="764"/>
      <c r="F192" s="793"/>
      <c r="G192" s="763"/>
    </row>
    <row r="193" spans="1:7" s="839" customFormat="1">
      <c r="A193" s="765"/>
      <c r="B193" s="766"/>
      <c r="C193" s="765"/>
      <c r="D193" s="763"/>
      <c r="E193" s="764"/>
      <c r="F193" s="793"/>
      <c r="G193" s="763"/>
    </row>
    <row r="194" spans="1:7" s="839" customFormat="1">
      <c r="A194" s="765"/>
      <c r="B194" s="766"/>
      <c r="C194" s="765"/>
      <c r="D194" s="763"/>
      <c r="E194" s="764"/>
      <c r="F194" s="793"/>
      <c r="G194" s="763"/>
    </row>
    <row r="195" spans="1:7" s="839" customFormat="1">
      <c r="A195" s="765"/>
      <c r="B195" s="766"/>
      <c r="C195" s="765"/>
      <c r="D195" s="763"/>
      <c r="E195" s="764"/>
      <c r="F195" s="793"/>
      <c r="G195" s="763"/>
    </row>
    <row r="196" spans="1:7" s="839" customFormat="1">
      <c r="A196" s="765"/>
      <c r="B196" s="766"/>
      <c r="C196" s="765"/>
      <c r="D196" s="763"/>
      <c r="E196" s="764"/>
      <c r="F196" s="793"/>
      <c r="G196" s="763"/>
    </row>
    <row r="197" spans="1:7" s="839" customFormat="1">
      <c r="A197" s="765"/>
      <c r="B197" s="766"/>
      <c r="C197" s="765"/>
      <c r="D197" s="763"/>
      <c r="E197" s="764"/>
      <c r="F197" s="793"/>
      <c r="G197" s="763"/>
    </row>
    <row r="198" spans="1:7" s="839" customFormat="1">
      <c r="A198" s="765"/>
      <c r="B198" s="766"/>
      <c r="C198" s="765"/>
      <c r="D198" s="763"/>
      <c r="E198" s="764"/>
      <c r="F198" s="793"/>
      <c r="G198" s="763"/>
    </row>
    <row r="199" spans="1:7" s="839" customFormat="1">
      <c r="A199" s="765"/>
      <c r="B199" s="766"/>
      <c r="C199" s="765"/>
      <c r="D199" s="763"/>
      <c r="E199" s="764"/>
      <c r="F199" s="793"/>
      <c r="G199" s="763"/>
    </row>
    <row r="200" spans="1:7" s="839" customFormat="1">
      <c r="A200" s="765"/>
      <c r="B200" s="766"/>
      <c r="C200" s="765"/>
      <c r="D200" s="763"/>
      <c r="E200" s="764"/>
      <c r="F200" s="793"/>
      <c r="G200" s="763"/>
    </row>
    <row r="201" spans="1:7" s="839" customFormat="1">
      <c r="A201" s="765"/>
      <c r="B201" s="766"/>
      <c r="C201" s="765"/>
      <c r="D201" s="763"/>
      <c r="E201" s="764"/>
      <c r="F201" s="793"/>
      <c r="G201" s="763"/>
    </row>
    <row r="202" spans="1:7" s="839" customFormat="1">
      <c r="A202" s="765"/>
      <c r="B202" s="766"/>
      <c r="C202" s="765"/>
      <c r="D202" s="763"/>
      <c r="E202" s="764"/>
      <c r="F202" s="793"/>
      <c r="G202" s="763"/>
    </row>
    <row r="203" spans="1:7" s="839" customFormat="1">
      <c r="A203" s="765"/>
      <c r="B203" s="766"/>
      <c r="C203" s="765"/>
      <c r="D203" s="763"/>
      <c r="E203" s="764"/>
      <c r="F203" s="793"/>
      <c r="G203" s="763"/>
    </row>
    <row r="204" spans="1:7" s="839" customFormat="1">
      <c r="A204" s="765"/>
      <c r="B204" s="766"/>
      <c r="C204" s="765"/>
      <c r="D204" s="763"/>
      <c r="E204" s="764"/>
      <c r="F204" s="793"/>
      <c r="G204" s="763"/>
    </row>
    <row r="205" spans="1:7" s="839" customFormat="1">
      <c r="A205" s="765"/>
      <c r="B205" s="766"/>
      <c r="C205" s="765"/>
      <c r="D205" s="763"/>
      <c r="E205" s="764"/>
      <c r="F205" s="793"/>
      <c r="G205" s="763"/>
    </row>
    <row r="206" spans="1:7" s="839" customFormat="1">
      <c r="A206" s="765"/>
      <c r="B206" s="766"/>
      <c r="C206" s="765"/>
      <c r="D206" s="763"/>
      <c r="E206" s="764"/>
      <c r="F206" s="793"/>
      <c r="G206" s="763"/>
    </row>
    <row r="207" spans="1:7" s="839" customFormat="1">
      <c r="A207" s="765"/>
      <c r="B207" s="766"/>
      <c r="C207" s="765"/>
      <c r="D207" s="763"/>
      <c r="E207" s="764"/>
      <c r="F207" s="793"/>
      <c r="G207" s="763"/>
    </row>
    <row r="208" spans="1:7" s="839" customFormat="1">
      <c r="A208" s="765"/>
      <c r="B208" s="766"/>
      <c r="C208" s="765"/>
      <c r="D208" s="763"/>
      <c r="E208" s="764"/>
      <c r="F208" s="793"/>
      <c r="G208" s="763"/>
    </row>
    <row r="209" spans="1:7" s="839" customFormat="1">
      <c r="A209" s="765"/>
      <c r="B209" s="766"/>
      <c r="C209" s="765"/>
      <c r="D209" s="763"/>
      <c r="E209" s="764"/>
      <c r="F209" s="793"/>
      <c r="G209" s="763"/>
    </row>
    <row r="210" spans="1:7" s="839" customFormat="1">
      <c r="A210" s="765"/>
      <c r="B210" s="766"/>
      <c r="C210" s="765"/>
      <c r="D210" s="763"/>
      <c r="E210" s="764"/>
      <c r="F210" s="793"/>
      <c r="G210" s="763"/>
    </row>
    <row r="211" spans="1:7" s="839" customFormat="1">
      <c r="A211" s="765"/>
      <c r="B211" s="766"/>
      <c r="C211" s="765"/>
      <c r="D211" s="763"/>
      <c r="E211" s="764"/>
      <c r="F211" s="793"/>
      <c r="G211" s="763"/>
    </row>
    <row r="212" spans="1:7" s="839" customFormat="1">
      <c r="A212" s="765"/>
      <c r="B212" s="766"/>
      <c r="C212" s="765"/>
      <c r="D212" s="763"/>
      <c r="E212" s="764"/>
      <c r="F212" s="793"/>
      <c r="G212" s="763"/>
    </row>
    <row r="213" spans="1:7" s="839" customFormat="1">
      <c r="A213" s="765"/>
      <c r="B213" s="766"/>
      <c r="C213" s="765"/>
      <c r="D213" s="763"/>
      <c r="E213" s="764"/>
      <c r="F213" s="793"/>
      <c r="G213" s="763"/>
    </row>
    <row r="214" spans="1:7" s="839" customFormat="1">
      <c r="A214" s="765"/>
      <c r="B214" s="766"/>
      <c r="C214" s="765"/>
      <c r="D214" s="763"/>
      <c r="E214" s="764"/>
      <c r="F214" s="793"/>
      <c r="G214" s="763"/>
    </row>
    <row r="215" spans="1:7" s="839" customFormat="1">
      <c r="A215" s="765"/>
      <c r="B215" s="766"/>
      <c r="C215" s="765"/>
      <c r="D215" s="763"/>
      <c r="E215" s="764"/>
      <c r="F215" s="793"/>
      <c r="G215" s="763"/>
    </row>
    <row r="216" spans="1:7" s="839" customFormat="1">
      <c r="A216" s="765"/>
      <c r="B216" s="766"/>
      <c r="C216" s="765"/>
      <c r="D216" s="763"/>
      <c r="E216" s="764"/>
      <c r="F216" s="793"/>
      <c r="G216" s="763"/>
    </row>
    <row r="217" spans="1:7" s="839" customFormat="1">
      <c r="A217" s="765"/>
      <c r="B217" s="766"/>
      <c r="C217" s="765"/>
      <c r="D217" s="763"/>
      <c r="E217" s="764"/>
      <c r="F217" s="793"/>
      <c r="G217" s="763"/>
    </row>
    <row r="218" spans="1:7" s="839" customFormat="1">
      <c r="A218" s="765"/>
      <c r="B218" s="766"/>
      <c r="C218" s="765"/>
      <c r="D218" s="763"/>
      <c r="E218" s="764"/>
      <c r="F218" s="793"/>
      <c r="G218" s="763"/>
    </row>
    <row r="219" spans="1:7" s="839" customFormat="1">
      <c r="A219" s="765"/>
      <c r="B219" s="766"/>
      <c r="C219" s="765"/>
      <c r="D219" s="763"/>
      <c r="E219" s="764"/>
      <c r="F219" s="793"/>
      <c r="G219" s="763"/>
    </row>
    <row r="220" spans="1:7" s="839" customFormat="1">
      <c r="A220" s="765"/>
      <c r="B220" s="766"/>
      <c r="C220" s="765"/>
      <c r="D220" s="763"/>
      <c r="E220" s="764"/>
      <c r="F220" s="793"/>
      <c r="G220" s="763"/>
    </row>
    <row r="221" spans="1:7" s="839" customFormat="1">
      <c r="A221" s="765"/>
      <c r="B221" s="766"/>
      <c r="C221" s="765"/>
      <c r="D221" s="763"/>
      <c r="E221" s="764"/>
      <c r="F221" s="793"/>
      <c r="G221" s="763"/>
    </row>
    <row r="222" spans="1:7" s="839" customFormat="1">
      <c r="A222" s="765"/>
      <c r="B222" s="766"/>
      <c r="C222" s="765"/>
      <c r="D222" s="763"/>
      <c r="E222" s="764"/>
      <c r="F222" s="793"/>
      <c r="G222" s="763"/>
    </row>
    <row r="223" spans="1:7" s="839" customFormat="1">
      <c r="A223" s="765"/>
      <c r="B223" s="766"/>
      <c r="C223" s="765"/>
      <c r="D223" s="763"/>
      <c r="E223" s="764"/>
      <c r="F223" s="793"/>
      <c r="G223" s="763"/>
    </row>
    <row r="224" spans="1:7" s="839" customFormat="1">
      <c r="A224" s="765"/>
      <c r="B224" s="766"/>
      <c r="C224" s="765"/>
      <c r="D224" s="763"/>
      <c r="E224" s="764"/>
      <c r="F224" s="793"/>
      <c r="G224" s="763"/>
    </row>
    <row r="225" spans="1:7" s="839" customFormat="1">
      <c r="A225" s="765"/>
      <c r="B225" s="766"/>
      <c r="C225" s="765"/>
      <c r="D225" s="763"/>
      <c r="E225" s="764"/>
      <c r="F225" s="793"/>
      <c r="G225" s="763"/>
    </row>
    <row r="226" spans="1:7" s="839" customFormat="1">
      <c r="A226" s="765"/>
      <c r="B226" s="766"/>
      <c r="C226" s="765"/>
      <c r="D226" s="763"/>
      <c r="E226" s="764"/>
      <c r="F226" s="793"/>
      <c r="G226" s="763"/>
    </row>
    <row r="227" spans="1:7" s="839" customFormat="1">
      <c r="A227" s="765"/>
      <c r="B227" s="766"/>
      <c r="C227" s="765"/>
      <c r="D227" s="763"/>
      <c r="E227" s="764"/>
      <c r="F227" s="793"/>
      <c r="G227" s="763"/>
    </row>
    <row r="228" spans="1:7" s="839" customFormat="1">
      <c r="A228" s="765"/>
      <c r="B228" s="766"/>
      <c r="C228" s="765"/>
      <c r="D228" s="763"/>
      <c r="E228" s="764"/>
      <c r="F228" s="793"/>
      <c r="G228" s="763"/>
    </row>
    <row r="229" spans="1:7" s="839" customFormat="1">
      <c r="A229" s="765"/>
      <c r="B229" s="766"/>
      <c r="C229" s="765"/>
      <c r="D229" s="763"/>
      <c r="E229" s="764"/>
      <c r="F229" s="793"/>
      <c r="G229" s="763"/>
    </row>
    <row r="230" spans="1:7" s="839" customFormat="1">
      <c r="A230" s="765"/>
      <c r="B230" s="766"/>
      <c r="C230" s="765"/>
      <c r="D230" s="763"/>
      <c r="E230" s="764"/>
      <c r="F230" s="793"/>
      <c r="G230" s="763"/>
    </row>
    <row r="231" spans="1:7" s="839" customFormat="1">
      <c r="A231" s="765"/>
      <c r="B231" s="766"/>
      <c r="C231" s="765"/>
      <c r="D231" s="763"/>
      <c r="E231" s="764"/>
      <c r="F231" s="793"/>
      <c r="G231" s="763"/>
    </row>
    <row r="232" spans="1:7" s="839" customFormat="1">
      <c r="A232" s="765"/>
      <c r="B232" s="766"/>
      <c r="C232" s="765"/>
      <c r="D232" s="763"/>
      <c r="E232" s="764"/>
      <c r="F232" s="793"/>
      <c r="G232" s="763"/>
    </row>
    <row r="233" spans="1:7" s="839" customFormat="1">
      <c r="A233" s="765"/>
      <c r="B233" s="766"/>
      <c r="C233" s="765"/>
      <c r="D233" s="763"/>
      <c r="E233" s="764"/>
      <c r="F233" s="793"/>
      <c r="G233" s="763"/>
    </row>
    <row r="234" spans="1:7" s="839" customFormat="1">
      <c r="A234" s="765"/>
      <c r="B234" s="766"/>
      <c r="C234" s="765"/>
      <c r="D234" s="763"/>
      <c r="E234" s="764"/>
      <c r="F234" s="793"/>
      <c r="G234" s="763"/>
    </row>
    <row r="235" spans="1:7" s="839" customFormat="1">
      <c r="A235" s="765"/>
      <c r="B235" s="766"/>
      <c r="C235" s="765"/>
      <c r="D235" s="763"/>
      <c r="E235" s="764"/>
      <c r="F235" s="793"/>
      <c r="G235" s="763"/>
    </row>
    <row r="236" spans="1:7" s="839" customFormat="1">
      <c r="A236" s="765"/>
      <c r="B236" s="766"/>
      <c r="C236" s="765"/>
      <c r="D236" s="763"/>
      <c r="E236" s="764"/>
      <c r="F236" s="793"/>
      <c r="G236" s="763"/>
    </row>
    <row r="237" spans="1:7" s="839" customFormat="1">
      <c r="A237" s="765"/>
      <c r="B237" s="766"/>
      <c r="C237" s="765"/>
      <c r="D237" s="763"/>
      <c r="E237" s="764"/>
      <c r="F237" s="793"/>
      <c r="G237" s="763"/>
    </row>
    <row r="238" spans="1:7" s="839" customFormat="1">
      <c r="A238" s="765"/>
      <c r="B238" s="766"/>
      <c r="C238" s="765"/>
      <c r="D238" s="763"/>
      <c r="E238" s="764"/>
      <c r="F238" s="793"/>
      <c r="G238" s="763"/>
    </row>
    <row r="239" spans="1:7" s="839" customFormat="1">
      <c r="A239" s="765"/>
      <c r="B239" s="766"/>
      <c r="C239" s="765"/>
      <c r="D239" s="763"/>
      <c r="E239" s="764"/>
      <c r="F239" s="793"/>
      <c r="G239" s="763"/>
    </row>
    <row r="240" spans="1:7" s="839" customFormat="1">
      <c r="A240" s="765"/>
      <c r="B240" s="766"/>
      <c r="C240" s="765"/>
      <c r="D240" s="763"/>
      <c r="E240" s="764"/>
      <c r="F240" s="793"/>
      <c r="G240" s="763"/>
    </row>
    <row r="241" spans="1:7" s="839" customFormat="1">
      <c r="A241" s="765"/>
      <c r="B241" s="766"/>
      <c r="C241" s="765"/>
      <c r="D241" s="763"/>
      <c r="E241" s="764"/>
      <c r="F241" s="793"/>
      <c r="G241" s="763"/>
    </row>
    <row r="242" spans="1:7" s="839" customFormat="1">
      <c r="A242" s="765"/>
      <c r="B242" s="766"/>
      <c r="C242" s="765"/>
      <c r="D242" s="763"/>
      <c r="E242" s="764"/>
      <c r="F242" s="793"/>
      <c r="G242" s="763"/>
    </row>
    <row r="243" spans="1:7" s="839" customFormat="1">
      <c r="A243" s="765"/>
      <c r="B243" s="766"/>
      <c r="C243" s="765"/>
      <c r="D243" s="763"/>
      <c r="E243" s="764"/>
      <c r="F243" s="793"/>
      <c r="G243" s="763"/>
    </row>
    <row r="244" spans="1:7" s="839" customFormat="1">
      <c r="A244" s="765"/>
      <c r="B244" s="766"/>
      <c r="C244" s="765"/>
      <c r="D244" s="763"/>
      <c r="E244" s="764"/>
      <c r="F244" s="793"/>
      <c r="G244" s="763"/>
    </row>
    <row r="245" spans="1:7" s="839" customFormat="1">
      <c r="A245" s="765"/>
      <c r="B245" s="766"/>
      <c r="C245" s="765"/>
      <c r="D245" s="763"/>
      <c r="E245" s="764"/>
      <c r="F245" s="793"/>
      <c r="G245" s="763"/>
    </row>
    <row r="246" spans="1:7" s="839" customFormat="1">
      <c r="A246" s="765"/>
      <c r="B246" s="766"/>
      <c r="C246" s="765"/>
      <c r="D246" s="763"/>
      <c r="E246" s="764"/>
      <c r="F246" s="793"/>
      <c r="G246" s="763"/>
    </row>
    <row r="247" spans="1:7" s="839" customFormat="1">
      <c r="A247" s="765"/>
      <c r="B247" s="766"/>
      <c r="C247" s="765"/>
      <c r="D247" s="763"/>
      <c r="E247" s="764"/>
      <c r="F247" s="793"/>
      <c r="G247" s="763"/>
    </row>
    <row r="248" spans="1:7" s="839" customFormat="1">
      <c r="A248" s="765"/>
      <c r="B248" s="766"/>
      <c r="C248" s="765"/>
      <c r="D248" s="763"/>
      <c r="E248" s="764"/>
      <c r="F248" s="793"/>
      <c r="G248" s="763"/>
    </row>
    <row r="249" spans="1:7" s="839" customFormat="1">
      <c r="A249" s="765"/>
      <c r="B249" s="766"/>
      <c r="C249" s="765"/>
      <c r="D249" s="763"/>
      <c r="E249" s="764"/>
      <c r="F249" s="793"/>
      <c r="G249" s="763"/>
    </row>
    <row r="250" spans="1:7" s="839" customFormat="1">
      <c r="A250" s="765"/>
      <c r="B250" s="766"/>
      <c r="C250" s="765"/>
      <c r="D250" s="763"/>
      <c r="E250" s="764"/>
      <c r="F250" s="793"/>
      <c r="G250" s="763"/>
    </row>
    <row r="251" spans="1:7" s="839" customFormat="1">
      <c r="A251" s="765"/>
      <c r="B251" s="766"/>
      <c r="C251" s="765"/>
      <c r="D251" s="763"/>
      <c r="E251" s="764"/>
      <c r="F251" s="793"/>
      <c r="G251" s="763"/>
    </row>
    <row r="252" spans="1:7" s="839" customFormat="1">
      <c r="A252" s="765"/>
      <c r="B252" s="766"/>
      <c r="C252" s="765"/>
      <c r="D252" s="763"/>
      <c r="E252" s="764"/>
      <c r="F252" s="793"/>
      <c r="G252" s="763"/>
    </row>
    <row r="253" spans="1:7" s="839" customFormat="1">
      <c r="A253" s="765"/>
      <c r="B253" s="766"/>
      <c r="C253" s="765"/>
      <c r="D253" s="763"/>
      <c r="E253" s="764"/>
      <c r="F253" s="793"/>
      <c r="G253" s="763"/>
    </row>
    <row r="254" spans="1:7" s="839" customFormat="1">
      <c r="A254" s="765"/>
      <c r="B254" s="766"/>
      <c r="C254" s="765"/>
      <c r="D254" s="763"/>
      <c r="E254" s="764"/>
      <c r="F254" s="793"/>
      <c r="G254" s="763"/>
    </row>
    <row r="255" spans="1:7" s="839" customFormat="1">
      <c r="A255" s="765"/>
      <c r="B255" s="766"/>
      <c r="C255" s="765"/>
      <c r="D255" s="763"/>
      <c r="E255" s="764"/>
      <c r="F255" s="793"/>
      <c r="G255" s="763"/>
    </row>
    <row r="256" spans="1:7" s="839" customFormat="1">
      <c r="A256" s="765"/>
      <c r="B256" s="766"/>
      <c r="C256" s="765"/>
      <c r="D256" s="763"/>
      <c r="E256" s="764"/>
      <c r="F256" s="793"/>
      <c r="G256" s="763"/>
    </row>
    <row r="257" spans="1:7" s="839" customFormat="1">
      <c r="A257" s="765"/>
      <c r="B257" s="766"/>
      <c r="C257" s="765"/>
      <c r="D257" s="763"/>
      <c r="E257" s="764"/>
      <c r="F257" s="793"/>
      <c r="G257" s="763"/>
    </row>
    <row r="258" spans="1:7" s="839" customFormat="1">
      <c r="A258" s="765"/>
      <c r="B258" s="766"/>
      <c r="C258" s="765"/>
      <c r="D258" s="763"/>
      <c r="E258" s="764"/>
      <c r="F258" s="793"/>
      <c r="G258" s="763"/>
    </row>
    <row r="259" spans="1:7" s="839" customFormat="1">
      <c r="A259" s="765"/>
      <c r="B259" s="766"/>
      <c r="C259" s="765"/>
      <c r="D259" s="763"/>
      <c r="E259" s="764"/>
      <c r="F259" s="793"/>
      <c r="G259" s="763"/>
    </row>
    <row r="260" spans="1:7" s="839" customFormat="1">
      <c r="A260" s="765"/>
      <c r="B260" s="766"/>
      <c r="C260" s="765"/>
      <c r="D260" s="763"/>
      <c r="E260" s="764"/>
      <c r="F260" s="793"/>
      <c r="G260" s="763"/>
    </row>
    <row r="261" spans="1:7" s="839" customFormat="1">
      <c r="A261" s="765"/>
      <c r="B261" s="766"/>
      <c r="C261" s="765"/>
      <c r="D261" s="763"/>
      <c r="E261" s="764"/>
      <c r="F261" s="793"/>
      <c r="G261" s="763"/>
    </row>
    <row r="262" spans="1:7" s="839" customFormat="1">
      <c r="A262" s="765"/>
      <c r="B262" s="766"/>
      <c r="C262" s="765"/>
      <c r="D262" s="763"/>
      <c r="E262" s="764"/>
      <c r="F262" s="793"/>
      <c r="G262" s="763"/>
    </row>
    <row r="263" spans="1:7" s="839" customFormat="1">
      <c r="A263" s="765"/>
      <c r="B263" s="766"/>
      <c r="C263" s="765"/>
      <c r="D263" s="763"/>
      <c r="E263" s="764"/>
      <c r="F263" s="793"/>
      <c r="G263" s="763"/>
    </row>
    <row r="264" spans="1:7" s="839" customFormat="1">
      <c r="A264" s="765"/>
      <c r="B264" s="766"/>
      <c r="C264" s="765"/>
      <c r="D264" s="763"/>
      <c r="E264" s="764"/>
      <c r="F264" s="793"/>
      <c r="G264" s="763"/>
    </row>
    <row r="265" spans="1:7" s="839" customFormat="1">
      <c r="A265" s="765"/>
      <c r="B265" s="766"/>
      <c r="C265" s="765"/>
      <c r="D265" s="763"/>
      <c r="E265" s="764"/>
      <c r="F265" s="793"/>
      <c r="G265" s="763"/>
    </row>
    <row r="266" spans="1:7" s="839" customFormat="1">
      <c r="A266" s="765"/>
      <c r="B266" s="766"/>
      <c r="C266" s="765"/>
      <c r="D266" s="763"/>
      <c r="E266" s="764"/>
      <c r="F266" s="793"/>
      <c r="G266" s="763"/>
    </row>
    <row r="267" spans="1:7" s="839" customFormat="1">
      <c r="A267" s="765"/>
      <c r="B267" s="766"/>
      <c r="C267" s="765"/>
      <c r="D267" s="763"/>
      <c r="E267" s="764"/>
      <c r="F267" s="793"/>
      <c r="G267" s="763"/>
    </row>
    <row r="268" spans="1:7" s="839" customFormat="1">
      <c r="A268" s="765"/>
      <c r="B268" s="766"/>
      <c r="C268" s="765"/>
      <c r="D268" s="763"/>
      <c r="E268" s="764"/>
      <c r="F268" s="793"/>
      <c r="G268" s="763"/>
    </row>
    <row r="269" spans="1:7" s="839" customFormat="1">
      <c r="A269" s="765"/>
      <c r="B269" s="766"/>
      <c r="C269" s="765"/>
      <c r="D269" s="763"/>
      <c r="E269" s="764"/>
      <c r="F269" s="793"/>
      <c r="G269" s="763"/>
    </row>
    <row r="270" spans="1:7" s="839" customFormat="1">
      <c r="A270" s="765"/>
      <c r="B270" s="766"/>
      <c r="C270" s="765"/>
      <c r="D270" s="763"/>
      <c r="E270" s="764"/>
      <c r="F270" s="793"/>
      <c r="G270" s="763"/>
    </row>
    <row r="271" spans="1:7" s="839" customFormat="1">
      <c r="A271" s="765"/>
      <c r="B271" s="766"/>
      <c r="C271" s="765"/>
      <c r="D271" s="763"/>
      <c r="E271" s="764"/>
      <c r="F271" s="793"/>
      <c r="G271" s="763"/>
    </row>
    <row r="272" spans="1:7" s="839" customFormat="1">
      <c r="A272" s="765"/>
      <c r="B272" s="766"/>
      <c r="C272" s="765"/>
      <c r="D272" s="763"/>
      <c r="E272" s="764"/>
      <c r="F272" s="793"/>
      <c r="G272" s="763"/>
    </row>
    <row r="273" spans="1:7" s="839" customFormat="1">
      <c r="A273" s="765"/>
      <c r="B273" s="766"/>
      <c r="C273" s="765"/>
      <c r="D273" s="763"/>
      <c r="E273" s="764"/>
      <c r="F273" s="793"/>
      <c r="G273" s="763"/>
    </row>
    <row r="274" spans="1:7" s="839" customFormat="1">
      <c r="A274" s="765"/>
      <c r="B274" s="766"/>
      <c r="C274" s="765"/>
      <c r="D274" s="763"/>
      <c r="E274" s="764"/>
      <c r="F274" s="793"/>
      <c r="G274" s="763"/>
    </row>
    <row r="275" spans="1:7" s="839" customFormat="1">
      <c r="A275" s="765"/>
      <c r="B275" s="766"/>
      <c r="C275" s="765"/>
      <c r="D275" s="763"/>
      <c r="E275" s="764"/>
      <c r="F275" s="793"/>
      <c r="G275" s="763"/>
    </row>
    <row r="276" spans="1:7" s="839" customFormat="1">
      <c r="A276" s="765"/>
      <c r="B276" s="766"/>
      <c r="C276" s="765"/>
      <c r="D276" s="763"/>
      <c r="E276" s="764"/>
      <c r="F276" s="793"/>
      <c r="G276" s="763"/>
    </row>
    <row r="277" spans="1:7" s="839" customFormat="1">
      <c r="A277" s="765"/>
      <c r="B277" s="766"/>
      <c r="C277" s="765"/>
      <c r="D277" s="763"/>
      <c r="E277" s="764"/>
      <c r="F277" s="793"/>
      <c r="G277" s="763"/>
    </row>
    <row r="278" spans="1:7" s="839" customFormat="1">
      <c r="A278" s="765"/>
      <c r="B278" s="766"/>
      <c r="C278" s="765"/>
      <c r="D278" s="763"/>
      <c r="E278" s="764"/>
      <c r="F278" s="793"/>
      <c r="G278" s="763"/>
    </row>
    <row r="279" spans="1:7" s="839" customFormat="1">
      <c r="A279" s="765"/>
      <c r="B279" s="766"/>
      <c r="C279" s="765"/>
      <c r="D279" s="763"/>
      <c r="E279" s="764"/>
      <c r="F279" s="793"/>
      <c r="G279" s="763"/>
    </row>
    <row r="280" spans="1:7" s="839" customFormat="1">
      <c r="A280" s="765"/>
      <c r="B280" s="766"/>
      <c r="C280" s="765"/>
      <c r="D280" s="763"/>
      <c r="E280" s="764"/>
      <c r="F280" s="793"/>
      <c r="G280" s="763"/>
    </row>
    <row r="281" spans="1:7" s="839" customFormat="1">
      <c r="A281" s="765"/>
      <c r="B281" s="766"/>
      <c r="C281" s="765"/>
      <c r="D281" s="763"/>
      <c r="E281" s="764"/>
      <c r="F281" s="793"/>
      <c r="G281" s="763"/>
    </row>
    <row r="282" spans="1:7" s="839" customFormat="1">
      <c r="A282" s="765"/>
      <c r="B282" s="766"/>
      <c r="C282" s="765"/>
      <c r="D282" s="763"/>
      <c r="E282" s="764"/>
      <c r="F282" s="793"/>
      <c r="G282" s="763"/>
    </row>
    <row r="283" spans="1:7" s="839" customFormat="1">
      <c r="A283" s="765"/>
      <c r="B283" s="766"/>
      <c r="C283" s="765"/>
      <c r="D283" s="763"/>
      <c r="E283" s="764"/>
      <c r="F283" s="793"/>
      <c r="G283" s="763"/>
    </row>
    <row r="284" spans="1:7" s="839" customFormat="1">
      <c r="A284" s="765"/>
      <c r="B284" s="766"/>
      <c r="C284" s="765"/>
      <c r="D284" s="763"/>
      <c r="E284" s="764"/>
      <c r="F284" s="793"/>
      <c r="G284" s="763"/>
    </row>
    <row r="285" spans="1:7" s="839" customFormat="1">
      <c r="A285" s="765"/>
      <c r="B285" s="766"/>
      <c r="C285" s="765"/>
      <c r="D285" s="763"/>
      <c r="E285" s="764"/>
      <c r="F285" s="793"/>
      <c r="G285" s="763"/>
    </row>
    <row r="286" spans="1:7" s="839" customFormat="1">
      <c r="A286" s="765"/>
      <c r="B286" s="766"/>
      <c r="C286" s="765"/>
      <c r="D286" s="763"/>
      <c r="E286" s="764"/>
      <c r="F286" s="793"/>
      <c r="G286" s="763"/>
    </row>
    <row r="287" spans="1:7" s="839" customFormat="1">
      <c r="A287" s="765"/>
      <c r="B287" s="766"/>
      <c r="C287" s="765"/>
      <c r="D287" s="763"/>
      <c r="E287" s="764"/>
      <c r="F287" s="793"/>
      <c r="G287" s="763"/>
    </row>
    <row r="288" spans="1:7" s="839" customFormat="1">
      <c r="A288" s="765"/>
      <c r="B288" s="766"/>
      <c r="C288" s="765"/>
      <c r="D288" s="763"/>
      <c r="E288" s="764"/>
      <c r="F288" s="793"/>
      <c r="G288" s="763"/>
    </row>
    <row r="289" spans="1:7" s="839" customFormat="1">
      <c r="A289" s="765"/>
      <c r="B289" s="766"/>
      <c r="C289" s="765"/>
      <c r="D289" s="763"/>
      <c r="E289" s="764"/>
      <c r="F289" s="793"/>
      <c r="G289" s="763"/>
    </row>
    <row r="290" spans="1:7" s="839" customFormat="1">
      <c r="A290" s="765"/>
      <c r="B290" s="766"/>
      <c r="C290" s="765"/>
      <c r="D290" s="763"/>
      <c r="E290" s="764"/>
      <c r="F290" s="793"/>
      <c r="G290" s="763"/>
    </row>
    <row r="291" spans="1:7" s="839" customFormat="1">
      <c r="A291" s="765"/>
      <c r="B291" s="766"/>
      <c r="C291" s="765"/>
      <c r="D291" s="763"/>
      <c r="E291" s="764"/>
      <c r="F291" s="793"/>
      <c r="G291" s="763"/>
    </row>
    <row r="292" spans="1:7" s="839" customFormat="1">
      <c r="A292" s="765"/>
      <c r="B292" s="766"/>
      <c r="C292" s="765"/>
      <c r="D292" s="763"/>
      <c r="E292" s="764"/>
      <c r="F292" s="793"/>
      <c r="G292" s="763"/>
    </row>
    <row r="293" spans="1:7" s="839" customFormat="1">
      <c r="A293" s="765"/>
      <c r="B293" s="766"/>
      <c r="C293" s="765"/>
      <c r="D293" s="763"/>
      <c r="E293" s="764"/>
      <c r="F293" s="793"/>
      <c r="G293" s="763"/>
    </row>
    <row r="294" spans="1:7" s="839" customFormat="1">
      <c r="A294" s="765"/>
      <c r="B294" s="766"/>
      <c r="C294" s="765"/>
      <c r="D294" s="763"/>
      <c r="E294" s="764"/>
      <c r="F294" s="793"/>
      <c r="G294" s="763"/>
    </row>
    <row r="295" spans="1:7" s="839" customFormat="1">
      <c r="A295" s="765"/>
      <c r="B295" s="766"/>
      <c r="C295" s="765"/>
      <c r="D295" s="763"/>
      <c r="E295" s="764"/>
      <c r="F295" s="793"/>
      <c r="G295" s="763"/>
    </row>
    <row r="296" spans="1:7" s="839" customFormat="1">
      <c r="A296" s="765"/>
      <c r="B296" s="766"/>
      <c r="C296" s="765"/>
      <c r="D296" s="763"/>
      <c r="E296" s="764"/>
      <c r="F296" s="793"/>
      <c r="G296" s="763"/>
    </row>
    <row r="297" spans="1:7" s="839" customFormat="1">
      <c r="A297" s="765"/>
      <c r="B297" s="766"/>
      <c r="C297" s="765"/>
      <c r="D297" s="763"/>
      <c r="E297" s="764"/>
      <c r="F297" s="793"/>
      <c r="G297" s="763"/>
    </row>
    <row r="298" spans="1:7" s="839" customFormat="1">
      <c r="A298" s="765"/>
      <c r="B298" s="766"/>
      <c r="C298" s="765"/>
      <c r="D298" s="763"/>
      <c r="E298" s="764"/>
      <c r="F298" s="793"/>
      <c r="G298" s="763"/>
    </row>
    <row r="299" spans="1:7" s="839" customFormat="1">
      <c r="A299" s="765"/>
      <c r="B299" s="766"/>
      <c r="C299" s="765"/>
      <c r="D299" s="763"/>
      <c r="E299" s="764"/>
      <c r="F299" s="793"/>
      <c r="G299" s="763"/>
    </row>
    <row r="300" spans="1:7" s="839" customFormat="1">
      <c r="A300" s="765"/>
      <c r="B300" s="766"/>
      <c r="C300" s="765"/>
      <c r="D300" s="763"/>
      <c r="E300" s="764"/>
      <c r="F300" s="793"/>
      <c r="G300" s="763"/>
    </row>
    <row r="301" spans="1:7" s="839" customFormat="1">
      <c r="A301" s="765"/>
      <c r="B301" s="766"/>
      <c r="C301" s="765"/>
      <c r="D301" s="763"/>
      <c r="E301" s="764"/>
      <c r="F301" s="793"/>
      <c r="G301" s="763"/>
    </row>
    <row r="302" spans="1:7" s="839" customFormat="1">
      <c r="A302" s="765"/>
      <c r="B302" s="766"/>
      <c r="C302" s="765"/>
      <c r="D302" s="763"/>
      <c r="E302" s="764"/>
      <c r="F302" s="793"/>
      <c r="G302" s="763"/>
    </row>
    <row r="303" spans="1:7" s="839" customFormat="1">
      <c r="A303" s="765"/>
      <c r="B303" s="766"/>
      <c r="C303" s="765"/>
      <c r="D303" s="763"/>
      <c r="E303" s="764"/>
      <c r="F303" s="793"/>
      <c r="G303" s="763"/>
    </row>
    <row r="304" spans="1:7" s="839" customFormat="1">
      <c r="A304" s="765"/>
      <c r="B304" s="766"/>
      <c r="C304" s="765"/>
      <c r="D304" s="763"/>
      <c r="E304" s="764"/>
      <c r="F304" s="793"/>
      <c r="G304" s="763"/>
    </row>
    <row r="305" spans="1:7" s="839" customFormat="1">
      <c r="A305" s="765"/>
      <c r="B305" s="766"/>
      <c r="C305" s="765"/>
      <c r="D305" s="763"/>
      <c r="E305" s="764"/>
      <c r="F305" s="793"/>
      <c r="G305" s="763"/>
    </row>
    <row r="306" spans="1:7" s="839" customFormat="1">
      <c r="A306" s="765"/>
      <c r="B306" s="766"/>
      <c r="C306" s="765"/>
      <c r="D306" s="763"/>
      <c r="E306" s="764"/>
      <c r="F306" s="793"/>
      <c r="G306" s="763"/>
    </row>
    <row r="307" spans="1:7" s="839" customFormat="1">
      <c r="A307" s="765"/>
      <c r="B307" s="766"/>
      <c r="C307" s="765"/>
      <c r="D307" s="763"/>
      <c r="E307" s="764"/>
      <c r="F307" s="793"/>
      <c r="G307" s="763"/>
    </row>
    <row r="308" spans="1:7" s="839" customFormat="1">
      <c r="A308" s="765"/>
      <c r="B308" s="766"/>
      <c r="C308" s="765"/>
      <c r="D308" s="763"/>
      <c r="E308" s="764"/>
      <c r="F308" s="793"/>
      <c r="G308" s="763"/>
    </row>
    <row r="309" spans="1:7" s="839" customFormat="1">
      <c r="A309" s="765"/>
      <c r="B309" s="766"/>
      <c r="C309" s="765"/>
      <c r="D309" s="763"/>
      <c r="E309" s="764"/>
      <c r="F309" s="793"/>
      <c r="G309" s="763"/>
    </row>
    <row r="310" spans="1:7" s="839" customFormat="1">
      <c r="A310" s="765"/>
      <c r="B310" s="766"/>
      <c r="C310" s="765"/>
      <c r="D310" s="763"/>
      <c r="E310" s="764"/>
      <c r="F310" s="793"/>
      <c r="G310" s="763"/>
    </row>
    <row r="311" spans="1:7" s="839" customFormat="1">
      <c r="A311" s="765"/>
      <c r="B311" s="766"/>
      <c r="C311" s="765"/>
      <c r="D311" s="763"/>
      <c r="E311" s="764"/>
      <c r="F311" s="793"/>
      <c r="G311" s="763"/>
    </row>
    <row r="312" spans="1:7" s="839" customFormat="1">
      <c r="A312" s="765"/>
      <c r="B312" s="766"/>
      <c r="C312" s="765"/>
      <c r="D312" s="763"/>
      <c r="E312" s="764"/>
      <c r="F312" s="793"/>
      <c r="G312" s="763"/>
    </row>
    <row r="313" spans="1:7" s="839" customFormat="1">
      <c r="A313" s="765"/>
      <c r="B313" s="766"/>
      <c r="C313" s="765"/>
      <c r="D313" s="763"/>
      <c r="E313" s="764"/>
      <c r="F313" s="793"/>
      <c r="G313" s="763"/>
    </row>
    <row r="314" spans="1:7" s="839" customFormat="1">
      <c r="A314" s="765"/>
      <c r="B314" s="766"/>
      <c r="C314" s="765"/>
      <c r="D314" s="763"/>
      <c r="E314" s="764"/>
      <c r="F314" s="793"/>
      <c r="G314" s="763"/>
    </row>
    <row r="315" spans="1:7" s="839" customFormat="1">
      <c r="A315" s="765"/>
      <c r="B315" s="766"/>
      <c r="C315" s="765"/>
      <c r="D315" s="763"/>
      <c r="E315" s="764"/>
      <c r="F315" s="793"/>
      <c r="G315" s="763"/>
    </row>
    <row r="316" spans="1:7" s="839" customFormat="1">
      <c r="A316" s="765"/>
      <c r="B316" s="766"/>
      <c r="C316" s="765"/>
      <c r="D316" s="763"/>
      <c r="E316" s="764"/>
      <c r="F316" s="793"/>
      <c r="G316" s="763"/>
    </row>
    <row r="317" spans="1:7" s="839" customFormat="1">
      <c r="A317" s="765"/>
      <c r="B317" s="766"/>
      <c r="C317" s="765"/>
      <c r="D317" s="763"/>
      <c r="E317" s="764"/>
      <c r="F317" s="793"/>
      <c r="G317" s="763"/>
    </row>
    <row r="318" spans="1:7" s="839" customFormat="1">
      <c r="A318" s="765"/>
      <c r="B318" s="766"/>
      <c r="C318" s="765"/>
      <c r="D318" s="763"/>
      <c r="E318" s="764"/>
      <c r="F318" s="793"/>
      <c r="G318" s="763"/>
    </row>
    <row r="319" spans="1:7" s="839" customFormat="1">
      <c r="A319" s="765"/>
      <c r="B319" s="766"/>
      <c r="C319" s="765"/>
      <c r="D319" s="763"/>
      <c r="E319" s="764"/>
      <c r="F319" s="793"/>
      <c r="G319" s="763"/>
    </row>
    <row r="320" spans="1:7" s="839" customFormat="1">
      <c r="A320" s="765"/>
      <c r="B320" s="766"/>
      <c r="C320" s="765"/>
      <c r="D320" s="763"/>
      <c r="E320" s="764"/>
      <c r="F320" s="793"/>
      <c r="G320" s="763"/>
    </row>
    <row r="321" spans="1:7" s="839" customFormat="1">
      <c r="A321" s="765"/>
      <c r="B321" s="766"/>
      <c r="C321" s="765"/>
      <c r="D321" s="763"/>
      <c r="E321" s="764"/>
      <c r="F321" s="793"/>
      <c r="G321" s="763"/>
    </row>
    <row r="322" spans="1:7" s="839" customFormat="1">
      <c r="A322" s="765"/>
      <c r="B322" s="766"/>
      <c r="C322" s="765"/>
      <c r="D322" s="763"/>
      <c r="E322" s="764"/>
      <c r="F322" s="793"/>
      <c r="G322" s="763"/>
    </row>
    <row r="323" spans="1:7" s="839" customFormat="1">
      <c r="A323" s="765"/>
      <c r="B323" s="766"/>
      <c r="C323" s="765"/>
      <c r="D323" s="763"/>
      <c r="E323" s="764"/>
      <c r="F323" s="793"/>
      <c r="G323" s="763"/>
    </row>
    <row r="324" spans="1:7" s="839" customFormat="1">
      <c r="A324" s="765"/>
      <c r="B324" s="766"/>
      <c r="C324" s="765"/>
      <c r="D324" s="763"/>
      <c r="E324" s="764"/>
      <c r="F324" s="793"/>
      <c r="G324" s="763"/>
    </row>
    <row r="325" spans="1:7" s="839" customFormat="1">
      <c r="A325" s="765"/>
      <c r="B325" s="766"/>
      <c r="C325" s="765"/>
      <c r="D325" s="763"/>
      <c r="E325" s="764"/>
      <c r="F325" s="793"/>
      <c r="G325" s="763"/>
    </row>
    <row r="326" spans="1:7" s="839" customFormat="1">
      <c r="A326" s="765"/>
      <c r="B326" s="766"/>
      <c r="C326" s="765"/>
      <c r="D326" s="763"/>
      <c r="E326" s="764"/>
      <c r="F326" s="793"/>
      <c r="G326" s="763"/>
    </row>
    <row r="327" spans="1:7" s="839" customFormat="1">
      <c r="A327" s="765"/>
      <c r="B327" s="766"/>
      <c r="C327" s="765"/>
      <c r="D327" s="763"/>
      <c r="E327" s="764"/>
      <c r="F327" s="793"/>
      <c r="G327" s="763"/>
    </row>
    <row r="328" spans="1:7" s="839" customFormat="1">
      <c r="A328" s="765"/>
      <c r="B328" s="766"/>
      <c r="C328" s="765"/>
      <c r="D328" s="763"/>
      <c r="E328" s="764"/>
      <c r="F328" s="793"/>
      <c r="G328" s="763"/>
    </row>
    <row r="329" spans="1:7" s="839" customFormat="1">
      <c r="A329" s="765"/>
      <c r="B329" s="766"/>
      <c r="C329" s="765"/>
      <c r="D329" s="763"/>
      <c r="E329" s="764"/>
      <c r="F329" s="793"/>
      <c r="G329" s="763"/>
    </row>
    <row r="330" spans="1:7" s="839" customFormat="1">
      <c r="A330" s="765"/>
      <c r="B330" s="766"/>
      <c r="C330" s="765"/>
      <c r="D330" s="763"/>
      <c r="E330" s="764"/>
      <c r="F330" s="793"/>
      <c r="G330" s="763"/>
    </row>
    <row r="331" spans="1:7" s="839" customFormat="1">
      <c r="A331" s="765"/>
      <c r="B331" s="766"/>
      <c r="C331" s="765"/>
      <c r="D331" s="763"/>
      <c r="E331" s="764"/>
      <c r="F331" s="793"/>
      <c r="G331" s="763"/>
    </row>
    <row r="332" spans="1:7" s="839" customFormat="1">
      <c r="A332" s="765"/>
      <c r="B332" s="766"/>
      <c r="C332" s="765"/>
      <c r="D332" s="763"/>
      <c r="E332" s="764"/>
      <c r="F332" s="793"/>
      <c r="G332" s="763"/>
    </row>
    <row r="333" spans="1:7" s="839" customFormat="1">
      <c r="A333" s="765"/>
      <c r="B333" s="766"/>
      <c r="C333" s="765"/>
      <c r="D333" s="763"/>
      <c r="E333" s="764"/>
      <c r="F333" s="793"/>
      <c r="G333" s="763"/>
    </row>
    <row r="334" spans="1:7" s="839" customFormat="1">
      <c r="A334" s="765"/>
      <c r="B334" s="766"/>
      <c r="C334" s="765"/>
      <c r="D334" s="763"/>
      <c r="E334" s="764"/>
      <c r="F334" s="793"/>
      <c r="G334" s="763"/>
    </row>
    <row r="335" spans="1:7" s="839" customFormat="1">
      <c r="A335" s="765"/>
      <c r="B335" s="766"/>
      <c r="C335" s="765"/>
      <c r="D335" s="763"/>
      <c r="E335" s="764"/>
      <c r="F335" s="793"/>
      <c r="G335" s="763"/>
    </row>
    <row r="336" spans="1:7" s="839" customFormat="1">
      <c r="A336" s="765"/>
      <c r="B336" s="766"/>
      <c r="C336" s="765"/>
      <c r="D336" s="763"/>
      <c r="E336" s="764"/>
      <c r="F336" s="793"/>
      <c r="G336" s="763"/>
    </row>
    <row r="337" spans="1:7" s="839" customFormat="1">
      <c r="A337" s="765"/>
      <c r="B337" s="766"/>
      <c r="C337" s="765"/>
      <c r="D337" s="763"/>
      <c r="E337" s="764"/>
      <c r="F337" s="793"/>
      <c r="G337" s="763"/>
    </row>
    <row r="338" spans="1:7" s="839" customFormat="1">
      <c r="A338" s="765"/>
      <c r="B338" s="766"/>
      <c r="C338" s="765"/>
      <c r="D338" s="763"/>
      <c r="E338" s="764"/>
      <c r="F338" s="793"/>
      <c r="G338" s="763"/>
    </row>
    <row r="339" spans="1:7" s="839" customFormat="1">
      <c r="A339" s="765"/>
      <c r="B339" s="766"/>
      <c r="C339" s="765"/>
      <c r="D339" s="763"/>
      <c r="E339" s="764"/>
      <c r="F339" s="793"/>
      <c r="G339" s="763"/>
    </row>
    <row r="340" spans="1:7" s="839" customFormat="1">
      <c r="A340" s="765"/>
      <c r="B340" s="766"/>
      <c r="C340" s="765"/>
      <c r="D340" s="763"/>
      <c r="E340" s="764"/>
      <c r="F340" s="793"/>
      <c r="G340" s="763"/>
    </row>
    <row r="341" spans="1:7" s="839" customFormat="1">
      <c r="A341" s="765"/>
      <c r="B341" s="766"/>
      <c r="C341" s="765"/>
      <c r="D341" s="763"/>
      <c r="E341" s="764"/>
      <c r="F341" s="793"/>
      <c r="G341" s="763"/>
    </row>
    <row r="342" spans="1:7" s="839" customFormat="1">
      <c r="A342" s="765"/>
      <c r="B342" s="766"/>
      <c r="C342" s="765"/>
      <c r="D342" s="763"/>
      <c r="E342" s="764"/>
      <c r="F342" s="793"/>
      <c r="G342" s="763"/>
    </row>
    <row r="343" spans="1:7" s="839" customFormat="1">
      <c r="A343" s="765"/>
      <c r="B343" s="766"/>
      <c r="C343" s="765"/>
      <c r="D343" s="763"/>
      <c r="E343" s="764"/>
      <c r="F343" s="793"/>
      <c r="G343" s="763"/>
    </row>
    <row r="344" spans="1:7" s="839" customFormat="1">
      <c r="A344" s="765"/>
      <c r="B344" s="766"/>
      <c r="C344" s="765"/>
      <c r="D344" s="763"/>
      <c r="E344" s="764"/>
      <c r="F344" s="793"/>
      <c r="G344" s="763"/>
    </row>
    <row r="345" spans="1:7" s="839" customFormat="1">
      <c r="A345" s="765"/>
      <c r="B345" s="766"/>
      <c r="C345" s="765"/>
      <c r="D345" s="763"/>
      <c r="E345" s="764"/>
      <c r="F345" s="793"/>
      <c r="G345" s="763"/>
    </row>
    <row r="346" spans="1:7" s="839" customFormat="1">
      <c r="A346" s="765"/>
      <c r="B346" s="766"/>
      <c r="C346" s="765"/>
      <c r="D346" s="763"/>
      <c r="E346" s="764"/>
      <c r="F346" s="793"/>
      <c r="G346" s="763"/>
    </row>
    <row r="347" spans="1:7" s="839" customFormat="1">
      <c r="A347" s="765"/>
      <c r="B347" s="766"/>
      <c r="C347" s="765"/>
      <c r="D347" s="763"/>
      <c r="E347" s="764"/>
      <c r="F347" s="793"/>
      <c r="G347" s="763"/>
    </row>
    <row r="348" spans="1:7" s="839" customFormat="1">
      <c r="A348" s="765"/>
      <c r="B348" s="766"/>
      <c r="C348" s="765"/>
      <c r="D348" s="763"/>
      <c r="E348" s="764"/>
      <c r="F348" s="793"/>
      <c r="G348" s="763"/>
    </row>
    <row r="349" spans="1:7" s="839" customFormat="1">
      <c r="A349" s="765"/>
      <c r="B349" s="766"/>
      <c r="C349" s="765"/>
      <c r="D349" s="763"/>
      <c r="E349" s="764"/>
      <c r="F349" s="793"/>
      <c r="G349" s="763"/>
    </row>
    <row r="350" spans="1:7" s="839" customFormat="1">
      <c r="A350" s="765"/>
      <c r="B350" s="766"/>
      <c r="C350" s="765"/>
      <c r="D350" s="763"/>
      <c r="E350" s="764"/>
      <c r="F350" s="793"/>
      <c r="G350" s="763"/>
    </row>
    <row r="351" spans="1:7" s="839" customFormat="1">
      <c r="A351" s="765"/>
      <c r="B351" s="766"/>
      <c r="C351" s="765"/>
      <c r="D351" s="763"/>
      <c r="E351" s="764"/>
      <c r="F351" s="793"/>
      <c r="G351" s="763"/>
    </row>
    <row r="352" spans="1:7" s="839" customFormat="1">
      <c r="A352" s="765"/>
      <c r="B352" s="766"/>
      <c r="C352" s="765"/>
      <c r="D352" s="763"/>
      <c r="E352" s="764"/>
      <c r="F352" s="793"/>
      <c r="G352" s="763"/>
    </row>
    <row r="353" spans="1:7" s="839" customFormat="1">
      <c r="A353" s="765"/>
      <c r="B353" s="766"/>
      <c r="C353" s="765"/>
      <c r="D353" s="763"/>
      <c r="E353" s="764"/>
      <c r="F353" s="793"/>
      <c r="G353" s="763"/>
    </row>
    <row r="354" spans="1:7" s="839" customFormat="1">
      <c r="A354" s="765"/>
      <c r="B354" s="766"/>
      <c r="C354" s="765"/>
      <c r="D354" s="763"/>
      <c r="E354" s="764"/>
      <c r="F354" s="793"/>
      <c r="G354" s="763"/>
    </row>
    <row r="355" spans="1:7" s="839" customFormat="1">
      <c r="A355" s="765"/>
      <c r="B355" s="766"/>
      <c r="C355" s="765"/>
      <c r="D355" s="763"/>
      <c r="E355" s="764"/>
      <c r="F355" s="793"/>
      <c r="G355" s="763"/>
    </row>
    <row r="356" spans="1:7" s="839" customFormat="1">
      <c r="A356" s="765"/>
      <c r="B356" s="766"/>
      <c r="C356" s="765"/>
      <c r="D356" s="763"/>
      <c r="E356" s="764"/>
      <c r="F356" s="793"/>
      <c r="G356" s="763"/>
    </row>
    <row r="357" spans="1:7" s="839" customFormat="1">
      <c r="A357" s="765"/>
      <c r="B357" s="766"/>
      <c r="C357" s="765"/>
      <c r="D357" s="763"/>
      <c r="E357" s="764"/>
      <c r="F357" s="793"/>
      <c r="G357" s="763"/>
    </row>
    <row r="358" spans="1:7" s="839" customFormat="1">
      <c r="A358" s="765"/>
      <c r="B358" s="766"/>
      <c r="C358" s="765"/>
      <c r="D358" s="763"/>
      <c r="E358" s="764"/>
      <c r="F358" s="793"/>
      <c r="G358" s="763"/>
    </row>
    <row r="359" spans="1:7" s="839" customFormat="1">
      <c r="A359" s="765"/>
      <c r="B359" s="766"/>
      <c r="C359" s="765"/>
      <c r="D359" s="763"/>
      <c r="E359" s="764"/>
      <c r="F359" s="793"/>
      <c r="G359" s="763"/>
    </row>
    <row r="360" spans="1:7" s="839" customFormat="1">
      <c r="A360" s="765"/>
      <c r="B360" s="766"/>
      <c r="C360" s="765"/>
      <c r="D360" s="763"/>
      <c r="E360" s="764"/>
      <c r="F360" s="793"/>
      <c r="G360" s="763"/>
    </row>
    <row r="361" spans="1:7" s="839" customFormat="1">
      <c r="A361" s="765"/>
      <c r="B361" s="766"/>
      <c r="C361" s="765"/>
      <c r="D361" s="763"/>
      <c r="E361" s="764"/>
      <c r="F361" s="793"/>
      <c r="G361" s="763"/>
    </row>
    <row r="362" spans="1:7" s="839" customFormat="1">
      <c r="A362" s="765"/>
      <c r="B362" s="766"/>
      <c r="C362" s="765"/>
      <c r="D362" s="763"/>
      <c r="E362" s="764"/>
      <c r="F362" s="793"/>
      <c r="G362" s="763"/>
    </row>
    <row r="363" spans="1:7" s="839" customFormat="1">
      <c r="A363" s="765"/>
      <c r="B363" s="766"/>
      <c r="C363" s="765"/>
      <c r="D363" s="763"/>
      <c r="E363" s="764"/>
      <c r="F363" s="793"/>
      <c r="G363" s="763"/>
    </row>
    <row r="364" spans="1:7" s="839" customFormat="1">
      <c r="A364" s="765"/>
      <c r="B364" s="766"/>
      <c r="C364" s="765"/>
      <c r="D364" s="763"/>
      <c r="E364" s="764"/>
      <c r="F364" s="793"/>
      <c r="G364" s="763"/>
    </row>
    <row r="365" spans="1:7" s="839" customFormat="1">
      <c r="A365" s="765"/>
      <c r="B365" s="766"/>
      <c r="C365" s="765"/>
      <c r="D365" s="763"/>
      <c r="E365" s="764"/>
      <c r="F365" s="793"/>
      <c r="G365" s="763"/>
    </row>
    <row r="366" spans="1:7" s="839" customFormat="1">
      <c r="A366" s="765"/>
      <c r="B366" s="766"/>
      <c r="C366" s="765"/>
      <c r="D366" s="763"/>
      <c r="E366" s="764"/>
      <c r="F366" s="793"/>
      <c r="G366" s="763"/>
    </row>
    <row r="367" spans="1:7" s="839" customFormat="1">
      <c r="A367" s="765"/>
      <c r="B367" s="766"/>
      <c r="C367" s="765"/>
      <c r="D367" s="763"/>
      <c r="E367" s="764"/>
      <c r="F367" s="793"/>
      <c r="G367" s="763"/>
    </row>
    <row r="368" spans="1:7" s="839" customFormat="1">
      <c r="A368" s="765"/>
      <c r="B368" s="766"/>
      <c r="C368" s="765"/>
      <c r="D368" s="763"/>
      <c r="E368" s="764"/>
      <c r="F368" s="793"/>
      <c r="G368" s="763"/>
    </row>
    <row r="369" spans="1:7" s="839" customFormat="1">
      <c r="A369" s="765"/>
      <c r="B369" s="766"/>
      <c r="C369" s="765"/>
      <c r="D369" s="763"/>
      <c r="E369" s="764"/>
      <c r="F369" s="793"/>
      <c r="G369" s="763"/>
    </row>
    <row r="370" spans="1:7" s="839" customFormat="1">
      <c r="A370" s="765"/>
      <c r="B370" s="766"/>
      <c r="C370" s="765"/>
      <c r="D370" s="763"/>
      <c r="E370" s="764"/>
      <c r="F370" s="793"/>
      <c r="G370" s="763"/>
    </row>
    <row r="371" spans="1:7" s="839" customFormat="1">
      <c r="A371" s="765"/>
      <c r="B371" s="766"/>
      <c r="C371" s="765"/>
      <c r="D371" s="763"/>
      <c r="E371" s="764"/>
      <c r="F371" s="793"/>
      <c r="G371" s="763"/>
    </row>
    <row r="372" spans="1:7" s="839" customFormat="1">
      <c r="A372" s="765"/>
      <c r="B372" s="766"/>
      <c r="C372" s="765"/>
      <c r="D372" s="763"/>
      <c r="E372" s="764"/>
      <c r="F372" s="793"/>
      <c r="G372" s="763"/>
    </row>
    <row r="373" spans="1:7" s="839" customFormat="1">
      <c r="A373" s="765"/>
      <c r="B373" s="766"/>
      <c r="C373" s="765"/>
      <c r="D373" s="763"/>
      <c r="E373" s="764"/>
      <c r="F373" s="793"/>
      <c r="G373" s="763"/>
    </row>
    <row r="374" spans="1:7" s="839" customFormat="1">
      <c r="A374" s="765"/>
      <c r="B374" s="766"/>
      <c r="C374" s="765"/>
      <c r="D374" s="763"/>
      <c r="E374" s="764"/>
      <c r="F374" s="793"/>
      <c r="G374" s="763"/>
    </row>
    <row r="375" spans="1:7" s="839" customFormat="1">
      <c r="A375" s="765"/>
      <c r="B375" s="766"/>
      <c r="C375" s="765"/>
      <c r="D375" s="763"/>
      <c r="E375" s="764"/>
      <c r="F375" s="793"/>
      <c r="G375" s="763"/>
    </row>
    <row r="376" spans="1:7" s="839" customFormat="1">
      <c r="A376" s="765"/>
      <c r="B376" s="766"/>
      <c r="C376" s="765"/>
      <c r="D376" s="763"/>
      <c r="E376" s="764"/>
      <c r="F376" s="793"/>
      <c r="G376" s="763"/>
    </row>
    <row r="377" spans="1:7" s="839" customFormat="1">
      <c r="A377" s="765"/>
      <c r="B377" s="766"/>
      <c r="C377" s="765"/>
      <c r="D377" s="763"/>
      <c r="E377" s="764"/>
      <c r="F377" s="793"/>
      <c r="G377" s="763"/>
    </row>
    <row r="378" spans="1:7" s="839" customFormat="1">
      <c r="A378" s="765"/>
      <c r="B378" s="766"/>
      <c r="C378" s="765"/>
      <c r="D378" s="763"/>
      <c r="E378" s="764"/>
      <c r="F378" s="793"/>
      <c r="G378" s="763"/>
    </row>
    <row r="379" spans="1:7" s="839" customFormat="1">
      <c r="A379" s="765"/>
      <c r="B379" s="766"/>
      <c r="C379" s="765"/>
      <c r="D379" s="763"/>
      <c r="E379" s="764"/>
      <c r="F379" s="793"/>
      <c r="G379" s="763"/>
    </row>
    <row r="380" spans="1:7" s="839" customFormat="1">
      <c r="A380" s="765"/>
      <c r="B380" s="766"/>
      <c r="C380" s="765"/>
      <c r="D380" s="763"/>
      <c r="E380" s="764"/>
      <c r="F380" s="793"/>
      <c r="G380" s="763"/>
    </row>
    <row r="381" spans="1:7" s="839" customFormat="1">
      <c r="A381" s="765"/>
      <c r="B381" s="766"/>
      <c r="C381" s="765"/>
      <c r="D381" s="763"/>
      <c r="E381" s="764"/>
      <c r="F381" s="793"/>
      <c r="G381" s="763"/>
    </row>
    <row r="382" spans="1:7" s="839" customFormat="1">
      <c r="A382" s="765"/>
      <c r="B382" s="766"/>
      <c r="C382" s="765"/>
      <c r="D382" s="763"/>
      <c r="E382" s="764"/>
      <c r="F382" s="793"/>
      <c r="G382" s="763"/>
    </row>
    <row r="383" spans="1:7" s="839" customFormat="1">
      <c r="A383" s="765"/>
      <c r="B383" s="766"/>
      <c r="C383" s="765"/>
      <c r="D383" s="763"/>
      <c r="E383" s="764"/>
      <c r="F383" s="793"/>
      <c r="G383" s="763"/>
    </row>
    <row r="384" spans="1:7" s="839" customFormat="1">
      <c r="A384" s="765"/>
      <c r="B384" s="766"/>
      <c r="C384" s="765"/>
      <c r="D384" s="763"/>
      <c r="E384" s="764"/>
      <c r="F384" s="793"/>
      <c r="G384" s="763"/>
    </row>
    <row r="385" spans="1:7" s="839" customFormat="1">
      <c r="A385" s="765"/>
      <c r="B385" s="766"/>
      <c r="C385" s="765"/>
      <c r="D385" s="763"/>
      <c r="E385" s="764"/>
      <c r="F385" s="793"/>
      <c r="G385" s="763"/>
    </row>
    <row r="386" spans="1:7" s="839" customFormat="1">
      <c r="A386" s="765"/>
      <c r="B386" s="766"/>
      <c r="C386" s="765"/>
      <c r="D386" s="763"/>
      <c r="E386" s="764"/>
      <c r="F386" s="793"/>
      <c r="G386" s="763"/>
    </row>
    <row r="387" spans="1:7" s="839" customFormat="1">
      <c r="A387" s="765"/>
      <c r="B387" s="766"/>
      <c r="C387" s="765"/>
      <c r="D387" s="763"/>
      <c r="E387" s="764"/>
      <c r="F387" s="793"/>
      <c r="G387" s="763"/>
    </row>
    <row r="388" spans="1:7" s="839" customFormat="1">
      <c r="A388" s="765"/>
      <c r="B388" s="766"/>
      <c r="C388" s="765"/>
      <c r="D388" s="763"/>
      <c r="E388" s="764"/>
      <c r="F388" s="793"/>
      <c r="G388" s="763"/>
    </row>
    <row r="389" spans="1:7" s="839" customFormat="1">
      <c r="A389" s="765"/>
      <c r="B389" s="766"/>
      <c r="C389" s="765"/>
      <c r="D389" s="763"/>
      <c r="E389" s="764"/>
      <c r="F389" s="793"/>
      <c r="G389" s="763"/>
    </row>
    <row r="390" spans="1:7" s="839" customFormat="1">
      <c r="A390" s="765"/>
      <c r="B390" s="766"/>
      <c r="C390" s="765"/>
      <c r="D390" s="763"/>
      <c r="E390" s="764"/>
      <c r="F390" s="793"/>
      <c r="G390" s="763"/>
    </row>
    <row r="391" spans="1:7" s="839" customFormat="1">
      <c r="A391" s="765"/>
      <c r="B391" s="766"/>
      <c r="C391" s="765"/>
      <c r="D391" s="763"/>
      <c r="E391" s="764"/>
      <c r="F391" s="793"/>
      <c r="G391" s="763"/>
    </row>
    <row r="392" spans="1:7" s="839" customFormat="1">
      <c r="A392" s="765"/>
      <c r="B392" s="766"/>
      <c r="C392" s="765"/>
      <c r="D392" s="763"/>
      <c r="E392" s="764"/>
      <c r="F392" s="793"/>
      <c r="G392" s="763"/>
    </row>
    <row r="393" spans="1:7" s="839" customFormat="1">
      <c r="A393" s="765"/>
      <c r="B393" s="766"/>
      <c r="C393" s="765"/>
      <c r="D393" s="763"/>
      <c r="E393" s="764"/>
      <c r="F393" s="793"/>
      <c r="G393" s="763"/>
    </row>
    <row r="394" spans="1:7" s="839" customFormat="1">
      <c r="A394" s="765"/>
      <c r="B394" s="766"/>
      <c r="C394" s="765"/>
      <c r="D394" s="763"/>
      <c r="E394" s="764"/>
      <c r="F394" s="793"/>
      <c r="G394" s="763"/>
    </row>
    <row r="395" spans="1:7" s="839" customFormat="1">
      <c r="A395" s="765"/>
      <c r="B395" s="766"/>
      <c r="C395" s="765"/>
      <c r="D395" s="763"/>
      <c r="E395" s="764"/>
      <c r="F395" s="793"/>
      <c r="G395" s="763"/>
    </row>
    <row r="396" spans="1:7" s="839" customFormat="1">
      <c r="A396" s="765"/>
      <c r="B396" s="766"/>
      <c r="C396" s="765"/>
      <c r="D396" s="763"/>
      <c r="E396" s="764"/>
      <c r="F396" s="793"/>
      <c r="G396" s="763"/>
    </row>
    <row r="397" spans="1:7" s="839" customFormat="1">
      <c r="A397" s="765"/>
      <c r="B397" s="766"/>
      <c r="C397" s="765"/>
      <c r="D397" s="763"/>
      <c r="E397" s="764"/>
      <c r="F397" s="793"/>
      <c r="G397" s="763"/>
    </row>
    <row r="398" spans="1:7" s="839" customFormat="1">
      <c r="A398" s="765"/>
      <c r="B398" s="766"/>
      <c r="C398" s="765"/>
      <c r="D398" s="763"/>
      <c r="E398" s="764"/>
      <c r="F398" s="793"/>
      <c r="G398" s="763"/>
    </row>
    <row r="399" spans="1:7" s="839" customFormat="1">
      <c r="A399" s="765"/>
      <c r="B399" s="766"/>
      <c r="C399" s="765"/>
      <c r="D399" s="763"/>
      <c r="E399" s="764"/>
      <c r="F399" s="793"/>
      <c r="G399" s="763"/>
    </row>
    <row r="400" spans="1:7" s="839" customFormat="1">
      <c r="A400" s="765"/>
      <c r="B400" s="766"/>
      <c r="C400" s="765"/>
      <c r="D400" s="763"/>
      <c r="E400" s="764"/>
      <c r="F400" s="793"/>
      <c r="G400" s="763"/>
    </row>
    <row r="401" spans="1:7" s="839" customFormat="1">
      <c r="A401" s="765"/>
      <c r="B401" s="766"/>
      <c r="C401" s="765"/>
      <c r="D401" s="763"/>
      <c r="E401" s="764"/>
      <c r="F401" s="793"/>
      <c r="G401" s="763"/>
    </row>
    <row r="402" spans="1:7" s="839" customFormat="1">
      <c r="A402" s="765"/>
      <c r="B402" s="766"/>
      <c r="C402" s="765"/>
      <c r="D402" s="763"/>
      <c r="E402" s="764"/>
      <c r="F402" s="793"/>
      <c r="G402" s="763"/>
    </row>
    <row r="403" spans="1:7" s="839" customFormat="1">
      <c r="A403" s="765"/>
      <c r="B403" s="766"/>
      <c r="C403" s="765"/>
      <c r="D403" s="763"/>
      <c r="E403" s="764"/>
      <c r="F403" s="793"/>
      <c r="G403" s="763"/>
    </row>
    <row r="404" spans="1:7" s="839" customFormat="1">
      <c r="A404" s="765"/>
      <c r="B404" s="766"/>
      <c r="C404" s="765"/>
      <c r="D404" s="763"/>
      <c r="E404" s="764"/>
      <c r="F404" s="793"/>
      <c r="G404" s="763"/>
    </row>
    <row r="405" spans="1:7" s="839" customFormat="1">
      <c r="A405" s="765"/>
      <c r="B405" s="766"/>
      <c r="C405" s="765"/>
      <c r="D405" s="763"/>
      <c r="E405" s="764"/>
      <c r="F405" s="793"/>
      <c r="G405" s="763"/>
    </row>
    <row r="406" spans="1:7" s="839" customFormat="1">
      <c r="A406" s="765"/>
      <c r="B406" s="766"/>
      <c r="C406" s="765"/>
      <c r="D406" s="763"/>
      <c r="E406" s="764"/>
      <c r="F406" s="793"/>
      <c r="G406" s="763"/>
    </row>
    <row r="407" spans="1:7" s="839" customFormat="1">
      <c r="A407" s="765"/>
      <c r="B407" s="766"/>
      <c r="C407" s="765"/>
      <c r="D407" s="763"/>
      <c r="E407" s="764"/>
      <c r="F407" s="793"/>
      <c r="G407" s="763"/>
    </row>
    <row r="408" spans="1:7" s="839" customFormat="1">
      <c r="A408" s="765"/>
      <c r="B408" s="766"/>
      <c r="C408" s="765"/>
      <c r="D408" s="763"/>
      <c r="E408" s="764"/>
      <c r="F408" s="793"/>
      <c r="G408" s="763"/>
    </row>
    <row r="409" spans="1:7" s="839" customFormat="1">
      <c r="A409" s="765"/>
      <c r="B409" s="766"/>
      <c r="C409" s="765"/>
      <c r="D409" s="763"/>
      <c r="E409" s="764"/>
      <c r="F409" s="793"/>
      <c r="G409" s="763"/>
    </row>
    <row r="410" spans="1:7" s="839" customFormat="1">
      <c r="A410" s="765"/>
      <c r="B410" s="766"/>
      <c r="C410" s="765"/>
      <c r="D410" s="763"/>
      <c r="E410" s="764"/>
      <c r="F410" s="793"/>
      <c r="G410" s="763"/>
    </row>
    <row r="411" spans="1:7" s="839" customFormat="1">
      <c r="A411" s="765"/>
      <c r="B411" s="766"/>
      <c r="C411" s="765"/>
      <c r="D411" s="763"/>
      <c r="E411" s="764"/>
      <c r="F411" s="793"/>
      <c r="G411" s="763"/>
    </row>
    <row r="412" spans="1:7" s="839" customFormat="1">
      <c r="A412" s="765"/>
      <c r="B412" s="766"/>
      <c r="C412" s="765"/>
      <c r="D412" s="763"/>
      <c r="E412" s="764"/>
      <c r="F412" s="793"/>
      <c r="G412" s="763"/>
    </row>
    <row r="413" spans="1:7" s="839" customFormat="1">
      <c r="A413" s="765"/>
      <c r="B413" s="766"/>
      <c r="C413" s="765"/>
      <c r="D413" s="763"/>
      <c r="E413" s="764"/>
      <c r="F413" s="793"/>
      <c r="G413" s="763"/>
    </row>
    <row r="414" spans="1:7" s="839" customFormat="1">
      <c r="A414" s="765"/>
      <c r="B414" s="766"/>
      <c r="C414" s="765"/>
      <c r="D414" s="763"/>
      <c r="E414" s="764"/>
      <c r="F414" s="793"/>
      <c r="G414" s="763"/>
    </row>
    <row r="415" spans="1:7" s="839" customFormat="1">
      <c r="A415" s="765"/>
      <c r="B415" s="766"/>
      <c r="C415" s="765"/>
      <c r="D415" s="763"/>
      <c r="E415" s="764"/>
      <c r="F415" s="793"/>
      <c r="G415" s="763"/>
    </row>
    <row r="416" spans="1:7" s="839" customFormat="1">
      <c r="A416" s="765"/>
      <c r="B416" s="766"/>
      <c r="C416" s="765"/>
      <c r="D416" s="763"/>
      <c r="E416" s="764"/>
      <c r="F416" s="793"/>
      <c r="G416" s="763"/>
    </row>
    <row r="417" spans="1:7" s="839" customFormat="1">
      <c r="A417" s="765"/>
      <c r="B417" s="766"/>
      <c r="C417" s="765"/>
      <c r="D417" s="763"/>
      <c r="E417" s="764"/>
      <c r="F417" s="793"/>
      <c r="G417" s="763"/>
    </row>
    <row r="418" spans="1:7" s="839" customFormat="1">
      <c r="A418" s="765"/>
      <c r="B418" s="766"/>
      <c r="C418" s="765"/>
      <c r="D418" s="763"/>
      <c r="E418" s="764"/>
      <c r="F418" s="793"/>
      <c r="G418" s="763"/>
    </row>
    <row r="419" spans="1:7" s="839" customFormat="1">
      <c r="A419" s="765"/>
      <c r="B419" s="766"/>
      <c r="C419" s="765"/>
      <c r="D419" s="763"/>
      <c r="E419" s="764"/>
      <c r="F419" s="793"/>
      <c r="G419" s="763"/>
    </row>
    <row r="420" spans="1:7" s="839" customFormat="1">
      <c r="A420" s="765"/>
      <c r="B420" s="766"/>
      <c r="C420" s="765"/>
      <c r="D420" s="763"/>
      <c r="E420" s="764"/>
      <c r="F420" s="793"/>
      <c r="G420" s="763"/>
    </row>
    <row r="421" spans="1:7" s="839" customFormat="1">
      <c r="A421" s="765"/>
      <c r="B421" s="766"/>
      <c r="C421" s="765"/>
      <c r="D421" s="763"/>
      <c r="E421" s="764"/>
      <c r="F421" s="793"/>
      <c r="G421" s="763"/>
    </row>
    <row r="422" spans="1:7" s="839" customFormat="1">
      <c r="A422" s="765"/>
      <c r="B422" s="766"/>
      <c r="C422" s="765"/>
      <c r="D422" s="763"/>
      <c r="E422" s="764"/>
      <c r="F422" s="793"/>
      <c r="G422" s="763"/>
    </row>
    <row r="423" spans="1:7" s="839" customFormat="1">
      <c r="A423" s="765"/>
      <c r="B423" s="766"/>
      <c r="C423" s="765"/>
      <c r="D423" s="763"/>
      <c r="E423" s="764"/>
      <c r="F423" s="793"/>
      <c r="G423" s="763"/>
    </row>
    <row r="424" spans="1:7" s="839" customFormat="1">
      <c r="A424" s="765"/>
      <c r="B424" s="766"/>
      <c r="C424" s="765"/>
      <c r="D424" s="763"/>
      <c r="E424" s="764"/>
      <c r="F424" s="793"/>
      <c r="G424" s="763"/>
    </row>
    <row r="425" spans="1:7" s="839" customFormat="1">
      <c r="A425" s="765"/>
      <c r="B425" s="766"/>
      <c r="C425" s="765"/>
      <c r="D425" s="763"/>
      <c r="E425" s="764"/>
      <c r="F425" s="793"/>
      <c r="G425" s="763"/>
    </row>
    <row r="426" spans="1:7" s="839" customFormat="1">
      <c r="A426" s="765"/>
      <c r="B426" s="766"/>
      <c r="C426" s="765"/>
      <c r="D426" s="763"/>
      <c r="E426" s="764"/>
      <c r="F426" s="793"/>
      <c r="G426" s="763"/>
    </row>
    <row r="427" spans="1:7" s="839" customFormat="1">
      <c r="A427" s="765"/>
      <c r="B427" s="766"/>
      <c r="C427" s="765"/>
      <c r="D427" s="763"/>
      <c r="E427" s="764"/>
      <c r="F427" s="793"/>
      <c r="G427" s="763"/>
    </row>
    <row r="428" spans="1:7" s="839" customFormat="1">
      <c r="A428" s="765"/>
      <c r="B428" s="766"/>
      <c r="C428" s="765"/>
      <c r="D428" s="763"/>
      <c r="E428" s="764"/>
      <c r="F428" s="793"/>
      <c r="G428" s="763"/>
    </row>
    <row r="429" spans="1:7" s="839" customFormat="1">
      <c r="A429" s="765"/>
      <c r="B429" s="766"/>
      <c r="C429" s="765"/>
      <c r="D429" s="763"/>
      <c r="E429" s="764"/>
      <c r="F429" s="793"/>
      <c r="G429" s="763"/>
    </row>
    <row r="430" spans="1:7" s="839" customFormat="1">
      <c r="A430" s="765"/>
      <c r="B430" s="766"/>
      <c r="C430" s="765"/>
      <c r="D430" s="763"/>
      <c r="E430" s="764"/>
      <c r="F430" s="793"/>
      <c r="G430" s="763"/>
    </row>
    <row r="431" spans="1:7" s="839" customFormat="1">
      <c r="A431" s="765"/>
      <c r="B431" s="766"/>
      <c r="C431" s="765"/>
      <c r="D431" s="763"/>
      <c r="E431" s="764"/>
      <c r="F431" s="793"/>
      <c r="G431" s="763"/>
    </row>
    <row r="432" spans="1:7" s="839" customFormat="1">
      <c r="A432" s="765"/>
      <c r="B432" s="766"/>
      <c r="C432" s="765"/>
      <c r="D432" s="763"/>
      <c r="E432" s="764"/>
      <c r="F432" s="793"/>
      <c r="G432" s="763"/>
    </row>
    <row r="433" spans="1:7" s="839" customFormat="1">
      <c r="A433" s="765"/>
      <c r="B433" s="766"/>
      <c r="C433" s="765"/>
      <c r="D433" s="763"/>
      <c r="E433" s="764"/>
      <c r="F433" s="793"/>
      <c r="G433" s="763"/>
    </row>
    <row r="434" spans="1:7" s="839" customFormat="1">
      <c r="A434" s="765"/>
      <c r="B434" s="766"/>
      <c r="C434" s="765"/>
      <c r="D434" s="763"/>
      <c r="E434" s="764"/>
      <c r="F434" s="793"/>
      <c r="G434" s="763"/>
    </row>
    <row r="435" spans="1:7" s="839" customFormat="1">
      <c r="A435" s="765"/>
      <c r="B435" s="766"/>
      <c r="C435" s="765"/>
      <c r="D435" s="763"/>
      <c r="E435" s="764"/>
      <c r="F435" s="793"/>
      <c r="G435" s="763"/>
    </row>
    <row r="436" spans="1:7" s="839" customFormat="1">
      <c r="A436" s="765"/>
      <c r="B436" s="766"/>
      <c r="C436" s="765"/>
      <c r="D436" s="763"/>
      <c r="E436" s="764"/>
      <c r="F436" s="793"/>
      <c r="G436" s="763"/>
    </row>
    <row r="437" spans="1:7" s="839" customFormat="1">
      <c r="A437" s="765"/>
      <c r="B437" s="766"/>
      <c r="C437" s="765"/>
      <c r="D437" s="763"/>
      <c r="E437" s="764"/>
      <c r="F437" s="793"/>
      <c r="G437" s="763"/>
    </row>
    <row r="438" spans="1:7" s="839" customFormat="1">
      <c r="A438" s="765"/>
      <c r="B438" s="766"/>
      <c r="C438" s="765"/>
      <c r="D438" s="763"/>
      <c r="E438" s="764"/>
      <c r="F438" s="793"/>
      <c r="G438" s="763"/>
    </row>
    <row r="439" spans="1:7" s="839" customFormat="1">
      <c r="A439" s="765"/>
      <c r="B439" s="766"/>
      <c r="C439" s="765"/>
      <c r="D439" s="763"/>
      <c r="E439" s="764"/>
      <c r="F439" s="793"/>
      <c r="G439" s="763"/>
    </row>
    <row r="440" spans="1:7" s="839" customFormat="1">
      <c r="A440" s="765"/>
      <c r="B440" s="766"/>
      <c r="C440" s="765"/>
      <c r="D440" s="763"/>
      <c r="E440" s="764"/>
      <c r="F440" s="793"/>
      <c r="G440" s="763"/>
    </row>
    <row r="441" spans="1:7" s="839" customFormat="1">
      <c r="A441" s="765"/>
      <c r="B441" s="766"/>
      <c r="C441" s="765"/>
      <c r="D441" s="763"/>
      <c r="E441" s="764"/>
      <c r="F441" s="793"/>
      <c r="G441" s="763"/>
    </row>
    <row r="442" spans="1:7" s="839" customFormat="1">
      <c r="A442" s="765"/>
      <c r="B442" s="766"/>
      <c r="C442" s="765"/>
      <c r="D442" s="763"/>
      <c r="E442" s="764"/>
      <c r="F442" s="793"/>
      <c r="G442" s="763"/>
    </row>
    <row r="443" spans="1:7" s="839" customFormat="1">
      <c r="A443" s="765"/>
      <c r="B443" s="766"/>
      <c r="C443" s="765"/>
      <c r="D443" s="763"/>
      <c r="E443" s="764"/>
      <c r="F443" s="793"/>
      <c r="G443" s="763"/>
    </row>
    <row r="444" spans="1:7" s="839" customFormat="1">
      <c r="A444" s="765"/>
      <c r="B444" s="766"/>
      <c r="C444" s="765"/>
      <c r="D444" s="763"/>
      <c r="E444" s="764"/>
      <c r="F444" s="793"/>
      <c r="G444" s="763"/>
    </row>
    <row r="445" spans="1:7" s="839" customFormat="1">
      <c r="A445" s="765"/>
      <c r="B445" s="766"/>
      <c r="C445" s="765"/>
      <c r="D445" s="763"/>
      <c r="E445" s="764"/>
      <c r="F445" s="793"/>
      <c r="G445" s="763"/>
    </row>
    <row r="446" spans="1:7" s="839" customFormat="1">
      <c r="A446" s="765"/>
      <c r="B446" s="766"/>
      <c r="C446" s="765"/>
      <c r="D446" s="763"/>
      <c r="E446" s="764"/>
      <c r="F446" s="793"/>
      <c r="G446" s="763"/>
    </row>
    <row r="447" spans="1:7" s="839" customFormat="1">
      <c r="A447" s="765"/>
      <c r="B447" s="766"/>
      <c r="C447" s="765"/>
      <c r="D447" s="763"/>
      <c r="E447" s="764"/>
      <c r="F447" s="793"/>
      <c r="G447" s="763"/>
    </row>
    <row r="448" spans="1:7" s="839" customFormat="1">
      <c r="A448" s="765"/>
      <c r="B448" s="766"/>
      <c r="C448" s="765"/>
      <c r="D448" s="763"/>
      <c r="E448" s="764"/>
      <c r="F448" s="793"/>
      <c r="G448" s="763"/>
    </row>
    <row r="449" spans="1:7" s="839" customFormat="1">
      <c r="A449" s="765"/>
      <c r="B449" s="766"/>
      <c r="C449" s="765"/>
      <c r="D449" s="763"/>
      <c r="E449" s="764"/>
      <c r="F449" s="793"/>
      <c r="G449" s="763"/>
    </row>
    <row r="450" spans="1:7" s="839" customFormat="1">
      <c r="A450" s="765"/>
      <c r="B450" s="766"/>
      <c r="C450" s="765"/>
      <c r="D450" s="763"/>
      <c r="E450" s="764"/>
      <c r="F450" s="793"/>
      <c r="G450" s="763"/>
    </row>
    <row r="451" spans="1:7" s="839" customFormat="1">
      <c r="A451" s="765"/>
      <c r="B451" s="766"/>
      <c r="C451" s="765"/>
      <c r="D451" s="763"/>
      <c r="E451" s="764"/>
      <c r="F451" s="793"/>
      <c r="G451" s="763"/>
    </row>
    <row r="452" spans="1:7" s="839" customFormat="1">
      <c r="A452" s="765"/>
      <c r="B452" s="766"/>
      <c r="C452" s="765"/>
      <c r="D452" s="763"/>
      <c r="E452" s="764"/>
      <c r="F452" s="793"/>
      <c r="G452" s="763"/>
    </row>
    <row r="453" spans="1:7" s="839" customFormat="1">
      <c r="A453" s="765"/>
      <c r="B453" s="766"/>
      <c r="C453" s="765"/>
      <c r="D453" s="763"/>
      <c r="E453" s="764"/>
      <c r="F453" s="793"/>
      <c r="G453" s="763"/>
    </row>
    <row r="454" spans="1:7" s="839" customFormat="1">
      <c r="A454" s="765"/>
      <c r="B454" s="766"/>
      <c r="C454" s="765"/>
      <c r="D454" s="763"/>
      <c r="E454" s="764"/>
      <c r="F454" s="793"/>
      <c r="G454" s="763"/>
    </row>
    <row r="455" spans="1:7" s="839" customFormat="1">
      <c r="A455" s="765"/>
      <c r="B455" s="766"/>
      <c r="C455" s="765"/>
      <c r="D455" s="763"/>
      <c r="E455" s="764"/>
      <c r="F455" s="793"/>
      <c r="G455" s="763"/>
    </row>
    <row r="456" spans="1:7" s="839" customFormat="1">
      <c r="A456" s="765"/>
      <c r="B456" s="766"/>
      <c r="C456" s="765"/>
      <c r="D456" s="763"/>
      <c r="E456" s="764"/>
      <c r="F456" s="793"/>
      <c r="G456" s="763"/>
    </row>
    <row r="457" spans="1:7" s="839" customFormat="1">
      <c r="A457" s="765"/>
      <c r="B457" s="766"/>
      <c r="C457" s="765"/>
      <c r="D457" s="763"/>
      <c r="E457" s="764"/>
      <c r="F457" s="793"/>
      <c r="G457" s="763"/>
    </row>
    <row r="458" spans="1:7" s="839" customFormat="1">
      <c r="A458" s="765"/>
      <c r="B458" s="766"/>
      <c r="C458" s="765"/>
      <c r="D458" s="763"/>
      <c r="E458" s="764"/>
      <c r="F458" s="793"/>
      <c r="G458" s="763"/>
    </row>
    <row r="459" spans="1:7" s="839" customFormat="1">
      <c r="A459" s="765"/>
      <c r="B459" s="766"/>
      <c r="C459" s="765"/>
      <c r="D459" s="763"/>
      <c r="E459" s="764"/>
      <c r="F459" s="793"/>
      <c r="G459" s="763"/>
    </row>
    <row r="460" spans="1:7" s="839" customFormat="1">
      <c r="A460" s="765"/>
      <c r="B460" s="766"/>
      <c r="C460" s="765"/>
      <c r="D460" s="763"/>
      <c r="E460" s="764"/>
      <c r="F460" s="793"/>
      <c r="G460" s="763"/>
    </row>
    <row r="461" spans="1:7" s="839" customFormat="1">
      <c r="A461" s="765"/>
      <c r="B461" s="766"/>
      <c r="C461" s="765"/>
      <c r="D461" s="763"/>
      <c r="E461" s="764"/>
      <c r="F461" s="793"/>
      <c r="G461" s="763"/>
    </row>
    <row r="462" spans="1:7" s="839" customFormat="1">
      <c r="A462" s="765"/>
      <c r="B462" s="766"/>
      <c r="C462" s="765"/>
      <c r="D462" s="763"/>
      <c r="E462" s="764"/>
      <c r="F462" s="793"/>
      <c r="G462" s="763"/>
    </row>
    <row r="463" spans="1:7" s="839" customFormat="1">
      <c r="A463" s="765"/>
      <c r="B463" s="766"/>
      <c r="C463" s="765"/>
      <c r="D463" s="763"/>
      <c r="E463" s="764"/>
      <c r="F463" s="793"/>
      <c r="G463" s="763"/>
    </row>
    <row r="464" spans="1:7" s="839" customFormat="1">
      <c r="A464" s="765"/>
      <c r="B464" s="766"/>
      <c r="C464" s="765"/>
      <c r="D464" s="763"/>
      <c r="E464" s="764"/>
      <c r="F464" s="793"/>
      <c r="G464" s="763"/>
    </row>
    <row r="465" spans="1:7" s="839" customFormat="1">
      <c r="A465" s="765"/>
      <c r="B465" s="766"/>
      <c r="C465" s="765"/>
      <c r="D465" s="763"/>
      <c r="E465" s="764"/>
      <c r="F465" s="793"/>
      <c r="G465" s="763"/>
    </row>
    <row r="466" spans="1:7" s="839" customFormat="1">
      <c r="A466" s="765"/>
      <c r="B466" s="766"/>
      <c r="C466" s="765"/>
      <c r="D466" s="763"/>
      <c r="E466" s="764"/>
      <c r="F466" s="793"/>
      <c r="G466" s="763"/>
    </row>
    <row r="467" spans="1:7" s="839" customFormat="1">
      <c r="A467" s="765"/>
      <c r="B467" s="766"/>
      <c r="C467" s="765"/>
      <c r="D467" s="763"/>
      <c r="E467" s="764"/>
      <c r="F467" s="793"/>
      <c r="G467" s="763"/>
    </row>
    <row r="468" spans="1:7" s="839" customFormat="1">
      <c r="A468" s="765"/>
      <c r="B468" s="766"/>
      <c r="C468" s="765"/>
      <c r="D468" s="763"/>
      <c r="E468" s="764"/>
      <c r="F468" s="793"/>
      <c r="G468" s="763"/>
    </row>
    <row r="469" spans="1:7" s="839" customFormat="1">
      <c r="A469" s="765"/>
      <c r="B469" s="766"/>
      <c r="C469" s="765"/>
      <c r="D469" s="763"/>
      <c r="E469" s="764"/>
      <c r="F469" s="793"/>
      <c r="G469" s="763"/>
    </row>
    <row r="470" spans="1:7" s="839" customFormat="1">
      <c r="A470" s="765"/>
      <c r="B470" s="766"/>
      <c r="C470" s="765"/>
      <c r="D470" s="763"/>
      <c r="E470" s="764"/>
      <c r="F470" s="793"/>
      <c r="G470" s="763"/>
    </row>
    <row r="471" spans="1:7" s="839" customFormat="1">
      <c r="A471" s="765"/>
      <c r="B471" s="766"/>
      <c r="C471" s="765"/>
      <c r="D471" s="763"/>
      <c r="E471" s="764"/>
      <c r="F471" s="793"/>
      <c r="G471" s="763"/>
    </row>
    <row r="472" spans="1:7" s="839" customFormat="1">
      <c r="A472" s="765"/>
      <c r="B472" s="766"/>
      <c r="C472" s="765"/>
      <c r="D472" s="763"/>
      <c r="E472" s="764"/>
      <c r="F472" s="793"/>
      <c r="G472" s="763"/>
    </row>
    <row r="473" spans="1:7" s="839" customFormat="1">
      <c r="A473" s="765"/>
      <c r="B473" s="766"/>
      <c r="C473" s="765"/>
      <c r="D473" s="763"/>
      <c r="E473" s="764"/>
      <c r="F473" s="793"/>
      <c r="G473" s="763"/>
    </row>
    <row r="474" spans="1:7" s="839" customFormat="1">
      <c r="A474" s="765"/>
      <c r="B474" s="766"/>
      <c r="C474" s="765"/>
      <c r="D474" s="763"/>
      <c r="E474" s="764"/>
      <c r="F474" s="793"/>
      <c r="G474" s="763"/>
    </row>
    <row r="475" spans="1:7" s="839" customFormat="1">
      <c r="A475" s="765"/>
      <c r="B475" s="766"/>
      <c r="C475" s="765"/>
      <c r="D475" s="763"/>
      <c r="E475" s="764"/>
      <c r="F475" s="793"/>
      <c r="G475" s="763"/>
    </row>
    <row r="476" spans="1:7" s="839" customFormat="1">
      <c r="A476" s="765"/>
      <c r="B476" s="766"/>
      <c r="C476" s="765"/>
      <c r="D476" s="763"/>
      <c r="E476" s="764"/>
      <c r="F476" s="793"/>
      <c r="G476" s="763"/>
    </row>
    <row r="477" spans="1:7" s="839" customFormat="1">
      <c r="A477" s="765"/>
      <c r="B477" s="766"/>
      <c r="C477" s="765"/>
      <c r="D477" s="763"/>
      <c r="E477" s="764"/>
      <c r="F477" s="793"/>
      <c r="G477" s="763"/>
    </row>
    <row r="478" spans="1:7" s="839" customFormat="1">
      <c r="A478" s="765"/>
      <c r="B478" s="766"/>
      <c r="C478" s="765"/>
      <c r="D478" s="763"/>
      <c r="E478" s="764"/>
      <c r="F478" s="793"/>
      <c r="G478" s="763"/>
    </row>
    <row r="479" spans="1:7" s="839" customFormat="1">
      <c r="A479" s="765"/>
      <c r="B479" s="766"/>
      <c r="C479" s="765"/>
      <c r="D479" s="763"/>
      <c r="E479" s="764"/>
      <c r="F479" s="793"/>
      <c r="G479" s="763"/>
    </row>
    <row r="480" spans="1:7" s="839" customFormat="1">
      <c r="A480" s="765"/>
      <c r="B480" s="766"/>
      <c r="C480" s="765"/>
      <c r="D480" s="763"/>
      <c r="E480" s="764"/>
      <c r="F480" s="793"/>
      <c r="G480" s="763"/>
    </row>
    <row r="481" spans="1:7" s="839" customFormat="1">
      <c r="A481" s="765"/>
      <c r="B481" s="766"/>
      <c r="C481" s="765"/>
      <c r="D481" s="763"/>
      <c r="E481" s="764"/>
      <c r="F481" s="793"/>
      <c r="G481" s="763"/>
    </row>
    <row r="482" spans="1:7" s="839" customFormat="1">
      <c r="A482" s="765"/>
      <c r="B482" s="766"/>
      <c r="C482" s="765"/>
      <c r="D482" s="763"/>
      <c r="E482" s="764"/>
      <c r="F482" s="793"/>
      <c r="G482" s="763"/>
    </row>
    <row r="483" spans="1:7" s="839" customFormat="1">
      <c r="A483" s="765"/>
      <c r="B483" s="766"/>
      <c r="C483" s="765"/>
      <c r="D483" s="763"/>
      <c r="E483" s="764"/>
      <c r="F483" s="793"/>
      <c r="G483" s="763"/>
    </row>
    <row r="484" spans="1:7" s="839" customFormat="1">
      <c r="A484" s="765"/>
      <c r="B484" s="766"/>
      <c r="C484" s="765"/>
      <c r="D484" s="763"/>
      <c r="E484" s="764"/>
      <c r="F484" s="793"/>
      <c r="G484" s="763"/>
    </row>
    <row r="485" spans="1:7" s="839" customFormat="1">
      <c r="A485" s="765"/>
      <c r="B485" s="766"/>
      <c r="C485" s="765"/>
      <c r="D485" s="763"/>
      <c r="E485" s="764"/>
      <c r="F485" s="793"/>
      <c r="G485" s="763"/>
    </row>
    <row r="486" spans="1:7" s="839" customFormat="1">
      <c r="A486" s="765"/>
      <c r="B486" s="766"/>
      <c r="C486" s="765"/>
      <c r="D486" s="763"/>
      <c r="E486" s="764"/>
      <c r="F486" s="793"/>
      <c r="G486" s="763"/>
    </row>
    <row r="487" spans="1:7" s="839" customFormat="1">
      <c r="A487" s="765"/>
      <c r="B487" s="766"/>
      <c r="C487" s="765"/>
      <c r="D487" s="763"/>
      <c r="E487" s="764"/>
      <c r="F487" s="793"/>
      <c r="G487" s="763"/>
    </row>
    <row r="488" spans="1:7" s="839" customFormat="1">
      <c r="A488" s="765"/>
      <c r="B488" s="766"/>
      <c r="C488" s="765"/>
      <c r="D488" s="763"/>
      <c r="E488" s="764"/>
      <c r="F488" s="793"/>
      <c r="G488" s="763"/>
    </row>
    <row r="489" spans="1:7" s="839" customFormat="1">
      <c r="A489" s="765"/>
      <c r="B489" s="766"/>
      <c r="C489" s="765"/>
      <c r="D489" s="763"/>
      <c r="E489" s="764"/>
      <c r="F489" s="793"/>
      <c r="G489" s="763"/>
    </row>
    <row r="490" spans="1:7" s="839" customFormat="1">
      <c r="A490" s="765"/>
      <c r="B490" s="766"/>
      <c r="C490" s="765"/>
      <c r="D490" s="763"/>
      <c r="E490" s="764"/>
      <c r="F490" s="793"/>
      <c r="G490" s="763"/>
    </row>
    <row r="491" spans="1:7" s="839" customFormat="1">
      <c r="A491" s="765"/>
      <c r="B491" s="766"/>
      <c r="C491" s="765"/>
      <c r="D491" s="763"/>
      <c r="E491" s="764"/>
      <c r="F491" s="793"/>
      <c r="G491" s="763"/>
    </row>
    <row r="492" spans="1:7" s="839" customFormat="1">
      <c r="A492" s="765"/>
      <c r="B492" s="766"/>
      <c r="C492" s="765"/>
      <c r="D492" s="763"/>
      <c r="E492" s="764"/>
      <c r="F492" s="793"/>
      <c r="G492" s="763"/>
    </row>
    <row r="493" spans="1:7" s="839" customFormat="1">
      <c r="A493" s="765"/>
      <c r="B493" s="766"/>
      <c r="C493" s="765"/>
      <c r="D493" s="763"/>
      <c r="E493" s="764"/>
      <c r="F493" s="793"/>
      <c r="G493" s="763"/>
    </row>
    <row r="494" spans="1:7" s="839" customFormat="1">
      <c r="A494" s="765"/>
      <c r="B494" s="766"/>
      <c r="C494" s="765"/>
      <c r="D494" s="763"/>
      <c r="E494" s="764"/>
      <c r="F494" s="793"/>
      <c r="G494" s="763"/>
    </row>
    <row r="495" spans="1:7" s="839" customFormat="1">
      <c r="A495" s="765"/>
      <c r="B495" s="766"/>
      <c r="C495" s="765"/>
      <c r="D495" s="763"/>
      <c r="E495" s="764"/>
      <c r="F495" s="793"/>
      <c r="G495" s="763"/>
    </row>
    <row r="496" spans="1:7" s="839" customFormat="1">
      <c r="A496" s="765"/>
      <c r="B496" s="766"/>
      <c r="C496" s="765"/>
      <c r="D496" s="763"/>
      <c r="E496" s="764"/>
      <c r="F496" s="793"/>
      <c r="G496" s="763"/>
    </row>
    <row r="497" spans="1:7" s="839" customFormat="1">
      <c r="A497" s="765"/>
      <c r="B497" s="766"/>
      <c r="C497" s="765"/>
      <c r="D497" s="763"/>
      <c r="E497" s="764"/>
      <c r="F497" s="793"/>
      <c r="G497" s="763"/>
    </row>
    <row r="498" spans="1:7" s="839" customFormat="1">
      <c r="A498" s="765"/>
      <c r="B498" s="766"/>
      <c r="C498" s="765"/>
      <c r="D498" s="763"/>
      <c r="E498" s="764"/>
      <c r="F498" s="793"/>
      <c r="G498" s="763"/>
    </row>
    <row r="499" spans="1:7" s="839" customFormat="1">
      <c r="A499" s="765"/>
      <c r="B499" s="766"/>
      <c r="C499" s="765"/>
      <c r="D499" s="763"/>
      <c r="E499" s="764"/>
      <c r="F499" s="793"/>
      <c r="G499" s="763"/>
    </row>
    <row r="500" spans="1:7" s="839" customFormat="1">
      <c r="A500" s="765"/>
      <c r="B500" s="766"/>
      <c r="C500" s="765"/>
      <c r="D500" s="763"/>
      <c r="E500" s="764"/>
      <c r="F500" s="793"/>
      <c r="G500" s="763"/>
    </row>
    <row r="501" spans="1:7" s="839" customFormat="1">
      <c r="A501" s="765"/>
      <c r="B501" s="766"/>
      <c r="C501" s="765"/>
      <c r="D501" s="763"/>
      <c r="E501" s="764"/>
      <c r="F501" s="793"/>
      <c r="G501" s="763"/>
    </row>
    <row r="502" spans="1:7" s="839" customFormat="1">
      <c r="A502" s="765"/>
      <c r="B502" s="766"/>
      <c r="C502" s="765"/>
      <c r="D502" s="763"/>
      <c r="E502" s="764"/>
      <c r="F502" s="793"/>
      <c r="G502" s="763"/>
    </row>
    <row r="503" spans="1:7" s="839" customFormat="1">
      <c r="A503" s="765"/>
      <c r="B503" s="766"/>
      <c r="C503" s="765"/>
      <c r="D503" s="763"/>
      <c r="E503" s="764"/>
      <c r="F503" s="793"/>
      <c r="G503" s="763"/>
    </row>
    <row r="504" spans="1:7" s="839" customFormat="1">
      <c r="A504" s="765"/>
      <c r="B504" s="766"/>
      <c r="C504" s="765"/>
      <c r="D504" s="763"/>
      <c r="E504" s="764"/>
      <c r="F504" s="793"/>
      <c r="G504" s="763"/>
    </row>
    <row r="505" spans="1:7" s="839" customFormat="1">
      <c r="A505" s="765"/>
      <c r="B505" s="766"/>
      <c r="C505" s="765"/>
      <c r="D505" s="763"/>
      <c r="E505" s="764"/>
      <c r="F505" s="793"/>
      <c r="G505" s="763"/>
    </row>
    <row r="506" spans="1:7" s="839" customFormat="1">
      <c r="A506" s="765"/>
      <c r="B506" s="766"/>
      <c r="C506" s="765"/>
      <c r="D506" s="763"/>
      <c r="E506" s="764"/>
      <c r="F506" s="793"/>
      <c r="G506" s="763"/>
    </row>
    <row r="507" spans="1:7" s="839" customFormat="1">
      <c r="A507" s="765"/>
      <c r="B507" s="766"/>
      <c r="C507" s="765"/>
      <c r="D507" s="763"/>
      <c r="E507" s="764"/>
      <c r="F507" s="793"/>
      <c r="G507" s="763"/>
    </row>
    <row r="508" spans="1:7" s="839" customFormat="1">
      <c r="A508" s="765"/>
      <c r="B508" s="766"/>
      <c r="C508" s="765"/>
      <c r="D508" s="763"/>
      <c r="E508" s="764"/>
      <c r="F508" s="793"/>
      <c r="G508" s="763"/>
    </row>
    <row r="509" spans="1:7" s="839" customFormat="1">
      <c r="A509" s="765"/>
      <c r="B509" s="766"/>
      <c r="C509" s="765"/>
      <c r="D509" s="763"/>
      <c r="E509" s="764"/>
      <c r="F509" s="793"/>
      <c r="G509" s="763"/>
    </row>
    <row r="510" spans="1:7" s="839" customFormat="1">
      <c r="A510" s="765"/>
      <c r="B510" s="766"/>
      <c r="C510" s="765"/>
      <c r="D510" s="763"/>
      <c r="E510" s="764"/>
      <c r="F510" s="793"/>
      <c r="G510" s="763"/>
    </row>
    <row r="511" spans="1:7" s="839" customFormat="1">
      <c r="A511" s="765"/>
      <c r="B511" s="766"/>
      <c r="C511" s="765"/>
      <c r="D511" s="763"/>
      <c r="E511" s="764"/>
      <c r="F511" s="793"/>
      <c r="G511" s="763"/>
    </row>
    <row r="512" spans="1:7" s="839" customFormat="1">
      <c r="A512" s="765"/>
      <c r="B512" s="766"/>
      <c r="C512" s="765"/>
      <c r="D512" s="763"/>
      <c r="E512" s="764"/>
      <c r="F512" s="793"/>
      <c r="G512" s="763"/>
    </row>
    <row r="513" spans="1:7" s="839" customFormat="1">
      <c r="A513" s="765"/>
      <c r="B513" s="766"/>
      <c r="C513" s="765"/>
      <c r="D513" s="763"/>
      <c r="E513" s="764"/>
      <c r="F513" s="793"/>
      <c r="G513" s="763"/>
    </row>
    <row r="514" spans="1:7" s="839" customFormat="1">
      <c r="A514" s="765"/>
      <c r="B514" s="766"/>
      <c r="C514" s="765"/>
      <c r="D514" s="763"/>
      <c r="E514" s="764"/>
      <c r="F514" s="793"/>
      <c r="G514" s="763"/>
    </row>
    <row r="515" spans="1:7" s="839" customFormat="1">
      <c r="A515" s="765"/>
      <c r="B515" s="766"/>
      <c r="C515" s="765"/>
      <c r="D515" s="763"/>
      <c r="E515" s="764"/>
      <c r="F515" s="793"/>
      <c r="G515" s="763"/>
    </row>
    <row r="516" spans="1:7" s="839" customFormat="1">
      <c r="A516" s="765"/>
      <c r="B516" s="766"/>
      <c r="C516" s="765"/>
      <c r="D516" s="763"/>
      <c r="E516" s="764"/>
      <c r="F516" s="793"/>
      <c r="G516" s="763"/>
    </row>
    <row r="517" spans="1:7" s="839" customFormat="1">
      <c r="A517" s="765"/>
      <c r="B517" s="766"/>
      <c r="C517" s="765"/>
      <c r="D517" s="763"/>
      <c r="E517" s="764"/>
      <c r="F517" s="793"/>
      <c r="G517" s="763"/>
    </row>
    <row r="518" spans="1:7" s="839" customFormat="1">
      <c r="A518" s="765"/>
      <c r="B518" s="766"/>
      <c r="C518" s="765"/>
      <c r="D518" s="763"/>
      <c r="E518" s="764"/>
      <c r="F518" s="793"/>
      <c r="G518" s="763"/>
    </row>
    <row r="519" spans="1:7" s="839" customFormat="1">
      <c r="A519" s="765"/>
      <c r="B519" s="766"/>
      <c r="C519" s="765"/>
      <c r="D519" s="763"/>
      <c r="E519" s="764"/>
      <c r="F519" s="793"/>
      <c r="G519" s="763"/>
    </row>
    <row r="520" spans="1:7" s="839" customFormat="1">
      <c r="A520" s="765"/>
      <c r="B520" s="766"/>
      <c r="C520" s="765"/>
      <c r="D520" s="763"/>
      <c r="E520" s="764"/>
      <c r="F520" s="793"/>
      <c r="G520" s="763"/>
    </row>
    <row r="521" spans="1:7" s="839" customFormat="1">
      <c r="A521" s="765"/>
      <c r="B521" s="766"/>
      <c r="C521" s="765"/>
      <c r="D521" s="763"/>
      <c r="E521" s="764"/>
      <c r="F521" s="793"/>
      <c r="G521" s="763"/>
    </row>
    <row r="522" spans="1:7" s="839" customFormat="1">
      <c r="A522" s="765"/>
      <c r="B522" s="766"/>
      <c r="C522" s="765"/>
      <c r="D522" s="763"/>
      <c r="E522" s="764"/>
      <c r="F522" s="793"/>
      <c r="G522" s="763"/>
    </row>
    <row r="523" spans="1:7" s="839" customFormat="1">
      <c r="A523" s="765"/>
      <c r="B523" s="766"/>
      <c r="C523" s="765"/>
      <c r="D523" s="763"/>
      <c r="E523" s="764"/>
      <c r="F523" s="793"/>
      <c r="G523" s="763"/>
    </row>
    <row r="524" spans="1:7" s="839" customFormat="1">
      <c r="A524" s="765"/>
      <c r="B524" s="766"/>
      <c r="C524" s="765"/>
      <c r="D524" s="763"/>
      <c r="E524" s="764"/>
      <c r="F524" s="793"/>
      <c r="G524" s="763"/>
    </row>
    <row r="525" spans="1:7" s="839" customFormat="1">
      <c r="A525" s="765"/>
      <c r="B525" s="766"/>
      <c r="C525" s="765"/>
      <c r="D525" s="763"/>
      <c r="E525" s="764"/>
      <c r="F525" s="793"/>
      <c r="G525" s="763"/>
    </row>
    <row r="526" spans="1:7" s="839" customFormat="1">
      <c r="A526" s="765"/>
      <c r="B526" s="766"/>
      <c r="C526" s="765"/>
      <c r="D526" s="763"/>
      <c r="E526" s="764"/>
      <c r="F526" s="793"/>
      <c r="G526" s="763"/>
    </row>
    <row r="527" spans="1:7" s="839" customFormat="1">
      <c r="A527" s="765"/>
      <c r="B527" s="766"/>
      <c r="C527" s="765"/>
      <c r="D527" s="763"/>
      <c r="E527" s="764"/>
      <c r="F527" s="793"/>
      <c r="G527" s="763"/>
    </row>
    <row r="528" spans="1:7" s="839" customFormat="1">
      <c r="A528" s="765"/>
      <c r="B528" s="766"/>
      <c r="C528" s="765"/>
      <c r="D528" s="763"/>
      <c r="E528" s="764"/>
      <c r="F528" s="793"/>
      <c r="G528" s="763"/>
    </row>
    <row r="529" spans="1:7" s="839" customFormat="1">
      <c r="A529" s="765"/>
      <c r="B529" s="766"/>
      <c r="C529" s="765"/>
      <c r="D529" s="763"/>
      <c r="E529" s="764"/>
      <c r="F529" s="793"/>
      <c r="G529" s="763"/>
    </row>
    <row r="530" spans="1:7" s="839" customFormat="1">
      <c r="A530" s="765"/>
      <c r="B530" s="766"/>
      <c r="C530" s="765"/>
      <c r="D530" s="763"/>
      <c r="E530" s="764"/>
      <c r="F530" s="793"/>
      <c r="G530" s="763"/>
    </row>
    <row r="531" spans="1:7" s="839" customFormat="1">
      <c r="A531" s="765"/>
      <c r="B531" s="766"/>
      <c r="C531" s="765"/>
      <c r="D531" s="763"/>
      <c r="E531" s="764"/>
      <c r="F531" s="793"/>
      <c r="G531" s="763"/>
    </row>
    <row r="532" spans="1:7" s="839" customFormat="1">
      <c r="A532" s="765"/>
      <c r="B532" s="766"/>
      <c r="C532" s="765"/>
      <c r="D532" s="763"/>
      <c r="E532" s="764"/>
      <c r="F532" s="793"/>
      <c r="G532" s="763"/>
    </row>
    <row r="533" spans="1:7" s="839" customFormat="1">
      <c r="A533" s="765"/>
      <c r="B533" s="766"/>
      <c r="C533" s="765"/>
      <c r="D533" s="763"/>
      <c r="E533" s="764"/>
      <c r="F533" s="793"/>
      <c r="G533" s="763"/>
    </row>
    <row r="534" spans="1:7" s="839" customFormat="1">
      <c r="A534" s="765"/>
      <c r="B534" s="766"/>
      <c r="C534" s="765"/>
      <c r="D534" s="763"/>
      <c r="E534" s="764"/>
      <c r="F534" s="793"/>
      <c r="G534" s="763"/>
    </row>
    <row r="535" spans="1:7" s="839" customFormat="1">
      <c r="A535" s="765"/>
      <c r="B535" s="766"/>
      <c r="C535" s="765"/>
      <c r="D535" s="763"/>
      <c r="E535" s="764"/>
      <c r="F535" s="793"/>
      <c r="G535" s="763"/>
    </row>
    <row r="536" spans="1:7" s="839" customFormat="1">
      <c r="A536" s="765"/>
      <c r="B536" s="766"/>
      <c r="C536" s="765"/>
      <c r="D536" s="763"/>
      <c r="E536" s="764"/>
      <c r="F536" s="793"/>
      <c r="G536" s="763"/>
    </row>
    <row r="537" spans="1:7" s="839" customFormat="1">
      <c r="A537" s="765"/>
      <c r="B537" s="766"/>
      <c r="C537" s="765"/>
      <c r="D537" s="763"/>
      <c r="E537" s="764"/>
      <c r="F537" s="793"/>
      <c r="G537" s="763"/>
    </row>
    <row r="538" spans="1:7" s="839" customFormat="1">
      <c r="A538" s="765"/>
      <c r="B538" s="766"/>
      <c r="C538" s="765"/>
      <c r="D538" s="763"/>
      <c r="E538" s="764"/>
      <c r="F538" s="793"/>
      <c r="G538" s="763"/>
    </row>
    <row r="539" spans="1:7" s="839" customFormat="1">
      <c r="A539" s="765"/>
      <c r="B539" s="766"/>
      <c r="C539" s="765"/>
      <c r="D539" s="763"/>
      <c r="E539" s="764"/>
      <c r="F539" s="793"/>
      <c r="G539" s="763"/>
    </row>
    <row r="540" spans="1:7" s="839" customFormat="1">
      <c r="A540" s="765"/>
      <c r="B540" s="766"/>
      <c r="C540" s="765"/>
      <c r="D540" s="763"/>
      <c r="E540" s="764"/>
      <c r="F540" s="793"/>
      <c r="G540" s="763"/>
    </row>
    <row r="541" spans="1:7" s="839" customFormat="1">
      <c r="A541" s="765"/>
      <c r="B541" s="766"/>
      <c r="C541" s="765"/>
      <c r="D541" s="763"/>
      <c r="E541" s="764"/>
      <c r="F541" s="793"/>
      <c r="G541" s="763"/>
    </row>
    <row r="542" spans="1:7" s="839" customFormat="1">
      <c r="A542" s="765"/>
      <c r="B542" s="766"/>
      <c r="C542" s="765"/>
      <c r="D542" s="763"/>
      <c r="E542" s="764"/>
      <c r="F542" s="793"/>
      <c r="G542" s="763"/>
    </row>
    <row r="543" spans="1:7" s="839" customFormat="1">
      <c r="A543" s="765"/>
      <c r="B543" s="766"/>
      <c r="C543" s="765"/>
      <c r="D543" s="763"/>
      <c r="E543" s="764"/>
      <c r="F543" s="793"/>
      <c r="G543" s="763"/>
    </row>
    <row r="544" spans="1:7" s="839" customFormat="1">
      <c r="A544" s="765"/>
      <c r="B544" s="766"/>
      <c r="C544" s="765"/>
      <c r="D544" s="763"/>
      <c r="E544" s="764"/>
      <c r="F544" s="793"/>
      <c r="G544" s="763"/>
    </row>
    <row r="545" spans="1:7" s="839" customFormat="1">
      <c r="A545" s="765"/>
      <c r="B545" s="766"/>
      <c r="C545" s="765"/>
      <c r="D545" s="763"/>
      <c r="E545" s="764"/>
      <c r="F545" s="793"/>
      <c r="G545" s="763"/>
    </row>
    <row r="546" spans="1:7" s="839" customFormat="1">
      <c r="A546" s="765"/>
      <c r="B546" s="766"/>
      <c r="C546" s="765"/>
      <c r="D546" s="763"/>
      <c r="E546" s="764"/>
      <c r="F546" s="793"/>
      <c r="G546" s="763"/>
    </row>
    <row r="547" spans="1:7" s="839" customFormat="1">
      <c r="A547" s="765"/>
      <c r="B547" s="766"/>
      <c r="C547" s="765"/>
      <c r="D547" s="763"/>
      <c r="E547" s="764"/>
      <c r="F547" s="793"/>
      <c r="G547" s="763"/>
    </row>
    <row r="548" spans="1:7" s="839" customFormat="1">
      <c r="A548" s="765"/>
      <c r="B548" s="766"/>
      <c r="C548" s="765"/>
      <c r="D548" s="763"/>
      <c r="E548" s="764"/>
      <c r="F548" s="793"/>
      <c r="G548" s="763"/>
    </row>
    <row r="549" spans="1:7" s="839" customFormat="1">
      <c r="A549" s="765"/>
      <c r="B549" s="766"/>
      <c r="C549" s="765"/>
      <c r="D549" s="763"/>
      <c r="E549" s="764"/>
      <c r="F549" s="793"/>
      <c r="G549" s="763"/>
    </row>
    <row r="550" spans="1:7" s="839" customFormat="1">
      <c r="A550" s="765"/>
      <c r="B550" s="766"/>
      <c r="C550" s="765"/>
      <c r="D550" s="763"/>
      <c r="E550" s="764"/>
      <c r="F550" s="793"/>
      <c r="G550" s="763"/>
    </row>
    <row r="551" spans="1:7" s="839" customFormat="1">
      <c r="A551" s="765"/>
      <c r="B551" s="766"/>
      <c r="C551" s="765"/>
      <c r="D551" s="763"/>
      <c r="E551" s="764"/>
      <c r="F551" s="793"/>
      <c r="G551" s="763"/>
    </row>
    <row r="552" spans="1:7" s="839" customFormat="1">
      <c r="A552" s="765"/>
      <c r="B552" s="766"/>
      <c r="C552" s="765"/>
      <c r="D552" s="763"/>
      <c r="E552" s="764"/>
      <c r="F552" s="793"/>
      <c r="G552" s="763"/>
    </row>
    <row r="553" spans="1:7" s="839" customFormat="1">
      <c r="A553" s="765"/>
      <c r="B553" s="766"/>
      <c r="C553" s="765"/>
      <c r="D553" s="763"/>
      <c r="E553" s="764"/>
      <c r="F553" s="793"/>
      <c r="G553" s="763"/>
    </row>
    <row r="554" spans="1:7" s="839" customFormat="1">
      <c r="A554" s="765"/>
      <c r="B554" s="766"/>
      <c r="C554" s="765"/>
      <c r="D554" s="763"/>
      <c r="E554" s="764"/>
      <c r="F554" s="793"/>
      <c r="G554" s="763"/>
    </row>
    <row r="555" spans="1:7" s="839" customFormat="1">
      <c r="A555" s="765"/>
      <c r="B555" s="766"/>
      <c r="C555" s="765"/>
      <c r="D555" s="763"/>
      <c r="E555" s="764"/>
      <c r="F555" s="793"/>
      <c r="G555" s="763"/>
    </row>
    <row r="556" spans="1:7" s="839" customFormat="1">
      <c r="A556" s="765"/>
      <c r="B556" s="766"/>
      <c r="C556" s="765"/>
      <c r="D556" s="763"/>
      <c r="E556" s="764"/>
      <c r="F556" s="793"/>
      <c r="G556" s="763"/>
    </row>
    <row r="557" spans="1:7" s="839" customFormat="1">
      <c r="A557" s="765"/>
      <c r="B557" s="766"/>
      <c r="C557" s="765"/>
      <c r="D557" s="763"/>
      <c r="E557" s="764"/>
      <c r="F557" s="793"/>
      <c r="G557" s="763"/>
    </row>
    <row r="558" spans="1:7" s="839" customFormat="1">
      <c r="A558" s="765"/>
      <c r="B558" s="766"/>
      <c r="C558" s="765"/>
      <c r="D558" s="763"/>
      <c r="E558" s="764"/>
      <c r="F558" s="793"/>
      <c r="G558" s="763"/>
    </row>
    <row r="559" spans="1:7" s="839" customFormat="1">
      <c r="A559" s="765"/>
      <c r="B559" s="766"/>
      <c r="C559" s="765"/>
      <c r="D559" s="763"/>
      <c r="E559" s="764"/>
      <c r="F559" s="793"/>
      <c r="G559" s="763"/>
    </row>
    <row r="560" spans="1:7" s="839" customFormat="1">
      <c r="A560" s="765"/>
      <c r="B560" s="766"/>
      <c r="C560" s="765"/>
      <c r="D560" s="763"/>
      <c r="E560" s="764"/>
      <c r="F560" s="793"/>
      <c r="G560" s="763"/>
    </row>
    <row r="561" spans="1:7" s="839" customFormat="1">
      <c r="A561" s="765"/>
      <c r="B561" s="766"/>
      <c r="C561" s="765"/>
      <c r="D561" s="763"/>
      <c r="E561" s="764"/>
      <c r="F561" s="793"/>
      <c r="G561" s="763"/>
    </row>
    <row r="562" spans="1:7" s="839" customFormat="1">
      <c r="A562" s="765"/>
      <c r="B562" s="766"/>
      <c r="C562" s="765"/>
      <c r="D562" s="763"/>
      <c r="E562" s="764"/>
      <c r="F562" s="793"/>
      <c r="G562" s="763"/>
    </row>
    <row r="563" spans="1:7" s="839" customFormat="1">
      <c r="A563" s="765"/>
      <c r="B563" s="766"/>
      <c r="C563" s="765"/>
      <c r="D563" s="763"/>
      <c r="E563" s="764"/>
      <c r="F563" s="793"/>
      <c r="G563" s="763"/>
    </row>
    <row r="564" spans="1:7" s="839" customFormat="1">
      <c r="A564" s="765"/>
      <c r="B564" s="766"/>
      <c r="C564" s="765"/>
      <c r="D564" s="763"/>
      <c r="E564" s="764"/>
      <c r="F564" s="793"/>
      <c r="G564" s="763"/>
    </row>
    <row r="565" spans="1:7" s="839" customFormat="1">
      <c r="A565" s="765"/>
      <c r="B565" s="766"/>
      <c r="C565" s="765"/>
      <c r="D565" s="763"/>
      <c r="E565" s="764"/>
      <c r="F565" s="793"/>
      <c r="G565" s="763"/>
    </row>
    <row r="566" spans="1:7" s="839" customFormat="1">
      <c r="A566" s="765"/>
      <c r="B566" s="766"/>
      <c r="C566" s="765"/>
      <c r="D566" s="763"/>
      <c r="E566" s="764"/>
      <c r="F566" s="793"/>
      <c r="G566" s="763"/>
    </row>
    <row r="567" spans="1:7" s="839" customFormat="1">
      <c r="A567" s="765"/>
      <c r="B567" s="766"/>
      <c r="C567" s="765"/>
      <c r="D567" s="763"/>
      <c r="E567" s="764"/>
      <c r="F567" s="793"/>
      <c r="G567" s="763"/>
    </row>
    <row r="568" spans="1:7" s="839" customFormat="1">
      <c r="A568" s="765"/>
      <c r="B568" s="766"/>
      <c r="C568" s="765"/>
      <c r="D568" s="763"/>
      <c r="E568" s="764"/>
      <c r="F568" s="793"/>
      <c r="G568" s="763"/>
    </row>
    <row r="569" spans="1:7" s="839" customFormat="1">
      <c r="A569" s="765"/>
      <c r="B569" s="766"/>
      <c r="C569" s="765"/>
      <c r="D569" s="763"/>
      <c r="E569" s="764"/>
      <c r="F569" s="793"/>
      <c r="G569" s="763"/>
    </row>
    <row r="570" spans="1:7" s="839" customFormat="1">
      <c r="A570" s="765"/>
      <c r="B570" s="766"/>
      <c r="C570" s="765"/>
      <c r="D570" s="763"/>
      <c r="E570" s="764"/>
      <c r="F570" s="793"/>
      <c r="G570" s="763"/>
    </row>
    <row r="571" spans="1:7" s="839" customFormat="1">
      <c r="A571" s="765"/>
      <c r="B571" s="766"/>
      <c r="C571" s="765"/>
      <c r="D571" s="763"/>
      <c r="E571" s="764"/>
      <c r="F571" s="793"/>
      <c r="G571" s="763"/>
    </row>
    <row r="572" spans="1:7" s="839" customFormat="1">
      <c r="A572" s="765"/>
      <c r="B572" s="766"/>
      <c r="C572" s="765"/>
      <c r="D572" s="763"/>
      <c r="E572" s="764"/>
      <c r="F572" s="793"/>
      <c r="G572" s="763"/>
    </row>
    <row r="573" spans="1:7" s="839" customFormat="1">
      <c r="A573" s="765"/>
      <c r="B573" s="766"/>
      <c r="C573" s="765"/>
      <c r="D573" s="763"/>
      <c r="E573" s="764"/>
      <c r="F573" s="793"/>
      <c r="G573" s="763"/>
    </row>
    <row r="574" spans="1:7" s="839" customFormat="1">
      <c r="A574" s="765"/>
      <c r="B574" s="766"/>
      <c r="C574" s="765"/>
      <c r="D574" s="763"/>
      <c r="E574" s="764"/>
      <c r="F574" s="793"/>
      <c r="G574" s="763"/>
    </row>
    <row r="575" spans="1:7" s="839" customFormat="1">
      <c r="A575" s="765"/>
      <c r="B575" s="766"/>
      <c r="C575" s="765"/>
      <c r="D575" s="763"/>
      <c r="E575" s="764"/>
      <c r="F575" s="793"/>
      <c r="G575" s="763"/>
    </row>
    <row r="576" spans="1:7" s="839" customFormat="1">
      <c r="A576" s="765"/>
      <c r="B576" s="766"/>
      <c r="C576" s="765"/>
      <c r="D576" s="763"/>
      <c r="E576" s="764"/>
      <c r="F576" s="793"/>
      <c r="G576" s="763"/>
    </row>
    <row r="577" spans="1:7" s="839" customFormat="1">
      <c r="A577" s="765"/>
      <c r="B577" s="766"/>
      <c r="C577" s="765"/>
      <c r="D577" s="763"/>
      <c r="E577" s="764"/>
      <c r="F577" s="793"/>
      <c r="G577" s="763"/>
    </row>
    <row r="578" spans="1:7" s="839" customFormat="1">
      <c r="A578" s="765"/>
      <c r="B578" s="766"/>
      <c r="C578" s="765"/>
      <c r="D578" s="763"/>
      <c r="E578" s="764"/>
      <c r="F578" s="793"/>
      <c r="G578" s="763"/>
    </row>
    <row r="579" spans="1:7" s="839" customFormat="1">
      <c r="A579" s="765"/>
      <c r="B579" s="766"/>
      <c r="C579" s="765"/>
      <c r="D579" s="763"/>
      <c r="E579" s="764"/>
      <c r="F579" s="793"/>
      <c r="G579" s="763"/>
    </row>
    <row r="580" spans="1:7" s="839" customFormat="1">
      <c r="A580" s="765"/>
      <c r="B580" s="766"/>
      <c r="C580" s="765"/>
      <c r="D580" s="763"/>
      <c r="E580" s="764"/>
      <c r="F580" s="793"/>
      <c r="G580" s="763"/>
    </row>
    <row r="581" spans="1:7" s="839" customFormat="1">
      <c r="A581" s="765"/>
      <c r="B581" s="766"/>
      <c r="C581" s="765"/>
      <c r="D581" s="763"/>
      <c r="E581" s="764"/>
      <c r="F581" s="793"/>
      <c r="G581" s="763"/>
    </row>
    <row r="582" spans="1:7" s="839" customFormat="1">
      <c r="A582" s="765"/>
      <c r="B582" s="766"/>
      <c r="C582" s="765"/>
      <c r="D582" s="763"/>
      <c r="E582" s="764"/>
      <c r="F582" s="793"/>
      <c r="G582" s="763"/>
    </row>
    <row r="583" spans="1:7" s="839" customFormat="1">
      <c r="A583" s="765"/>
      <c r="B583" s="766"/>
      <c r="C583" s="765"/>
      <c r="D583" s="763"/>
      <c r="E583" s="764"/>
      <c r="F583" s="793"/>
      <c r="G583" s="763"/>
    </row>
    <row r="584" spans="1:7" s="839" customFormat="1">
      <c r="A584" s="765"/>
      <c r="B584" s="766"/>
      <c r="C584" s="765"/>
      <c r="D584" s="763"/>
      <c r="E584" s="764"/>
      <c r="F584" s="793"/>
      <c r="G584" s="763"/>
    </row>
    <row r="585" spans="1:7" s="839" customFormat="1">
      <c r="A585" s="765"/>
      <c r="B585" s="766"/>
      <c r="C585" s="765"/>
      <c r="D585" s="763"/>
      <c r="E585" s="764"/>
      <c r="F585" s="793"/>
      <c r="G585" s="763"/>
    </row>
    <row r="586" spans="1:7" s="839" customFormat="1">
      <c r="A586" s="765"/>
      <c r="B586" s="766"/>
      <c r="C586" s="765"/>
      <c r="D586" s="763"/>
      <c r="E586" s="764"/>
      <c r="F586" s="793"/>
      <c r="G586" s="763"/>
    </row>
    <row r="587" spans="1:7" s="839" customFormat="1">
      <c r="A587" s="765"/>
      <c r="B587" s="766"/>
      <c r="C587" s="765"/>
      <c r="D587" s="763"/>
      <c r="E587" s="764"/>
      <c r="F587" s="793"/>
      <c r="G587" s="763"/>
    </row>
    <row r="588" spans="1:7" s="839" customFormat="1">
      <c r="A588" s="765"/>
      <c r="B588" s="766"/>
      <c r="C588" s="765"/>
      <c r="D588" s="763"/>
      <c r="E588" s="764"/>
      <c r="F588" s="793"/>
      <c r="G588" s="763"/>
    </row>
    <row r="589" spans="1:7" s="839" customFormat="1">
      <c r="A589" s="765"/>
      <c r="B589" s="766"/>
      <c r="C589" s="765"/>
      <c r="D589" s="763"/>
      <c r="E589" s="764"/>
      <c r="F589" s="793"/>
      <c r="G589" s="763"/>
    </row>
    <row r="590" spans="1:7" s="839" customFormat="1">
      <c r="A590" s="765"/>
      <c r="B590" s="766"/>
      <c r="C590" s="765"/>
      <c r="D590" s="763"/>
      <c r="E590" s="764"/>
      <c r="F590" s="793"/>
      <c r="G590" s="763"/>
    </row>
    <row r="591" spans="1:7" s="839" customFormat="1">
      <c r="A591" s="765"/>
      <c r="B591" s="766"/>
      <c r="C591" s="765"/>
      <c r="D591" s="763"/>
      <c r="E591" s="764"/>
      <c r="F591" s="793"/>
      <c r="G591" s="763"/>
    </row>
    <row r="592" spans="1:7" s="839" customFormat="1">
      <c r="A592" s="765"/>
      <c r="B592" s="766"/>
      <c r="C592" s="765"/>
      <c r="D592" s="763"/>
      <c r="E592" s="764"/>
      <c r="F592" s="793"/>
      <c r="G592" s="763"/>
    </row>
    <row r="593" spans="1:7" s="839" customFormat="1">
      <c r="A593" s="765"/>
      <c r="B593" s="766"/>
      <c r="C593" s="765"/>
      <c r="D593" s="763"/>
      <c r="E593" s="764"/>
      <c r="F593" s="793"/>
      <c r="G593" s="763"/>
    </row>
    <row r="594" spans="1:7" s="839" customFormat="1">
      <c r="A594" s="765"/>
      <c r="B594" s="766"/>
      <c r="C594" s="765"/>
      <c r="D594" s="763"/>
      <c r="E594" s="764"/>
      <c r="F594" s="793"/>
      <c r="G594" s="763"/>
    </row>
    <row r="595" spans="1:7" s="839" customFormat="1">
      <c r="A595" s="765"/>
      <c r="B595" s="766"/>
      <c r="C595" s="765"/>
      <c r="D595" s="763"/>
      <c r="E595" s="764"/>
      <c r="F595" s="793"/>
      <c r="G595" s="763"/>
    </row>
    <row r="596" spans="1:7" s="839" customFormat="1">
      <c r="A596" s="765"/>
      <c r="B596" s="766"/>
      <c r="C596" s="765"/>
      <c r="D596" s="763"/>
      <c r="E596" s="764"/>
      <c r="F596" s="793"/>
      <c r="G596" s="763"/>
    </row>
    <row r="597" spans="1:7" s="839" customFormat="1">
      <c r="A597" s="765"/>
      <c r="B597" s="766"/>
      <c r="C597" s="765"/>
      <c r="D597" s="763"/>
      <c r="E597" s="764"/>
      <c r="F597" s="793"/>
      <c r="G597" s="763"/>
    </row>
    <row r="598" spans="1:7" s="839" customFormat="1">
      <c r="A598" s="765"/>
      <c r="B598" s="766"/>
      <c r="C598" s="765"/>
      <c r="D598" s="763"/>
      <c r="E598" s="764"/>
      <c r="F598" s="793"/>
      <c r="G598" s="763"/>
    </row>
    <row r="599" spans="1:7" s="839" customFormat="1">
      <c r="A599" s="765"/>
      <c r="B599" s="766"/>
      <c r="C599" s="765"/>
      <c r="D599" s="763"/>
      <c r="E599" s="764"/>
      <c r="F599" s="793"/>
      <c r="G599" s="763"/>
    </row>
    <row r="600" spans="1:7" s="839" customFormat="1">
      <c r="A600" s="765"/>
      <c r="B600" s="766"/>
      <c r="C600" s="765"/>
      <c r="D600" s="763"/>
      <c r="E600" s="764"/>
      <c r="F600" s="793"/>
      <c r="G600" s="763"/>
    </row>
    <row r="601" spans="1:7" s="839" customFormat="1">
      <c r="A601" s="765"/>
      <c r="B601" s="766"/>
      <c r="C601" s="765"/>
      <c r="D601" s="763"/>
      <c r="E601" s="764"/>
      <c r="F601" s="793"/>
      <c r="G601" s="763"/>
    </row>
    <row r="602" spans="1:7" s="839" customFormat="1">
      <c r="A602" s="765"/>
      <c r="B602" s="766"/>
      <c r="C602" s="765"/>
      <c r="D602" s="763"/>
      <c r="E602" s="764"/>
      <c r="F602" s="793"/>
      <c r="G602" s="763"/>
    </row>
    <row r="603" spans="1:7" s="839" customFormat="1">
      <c r="A603" s="765"/>
      <c r="B603" s="766"/>
      <c r="C603" s="765"/>
      <c r="D603" s="763"/>
      <c r="E603" s="764"/>
      <c r="F603" s="793"/>
      <c r="G603" s="763"/>
    </row>
    <row r="604" spans="1:7" s="839" customFormat="1">
      <c r="A604" s="765"/>
      <c r="B604" s="766"/>
      <c r="C604" s="765"/>
      <c r="D604" s="763"/>
      <c r="E604" s="764"/>
      <c r="F604" s="793"/>
      <c r="G604" s="763"/>
    </row>
    <row r="605" spans="1:7" s="839" customFormat="1">
      <c r="A605" s="765"/>
      <c r="B605" s="766"/>
      <c r="C605" s="765"/>
      <c r="D605" s="763"/>
      <c r="E605" s="764"/>
      <c r="F605" s="793"/>
      <c r="G605" s="763"/>
    </row>
    <row r="606" spans="1:7" s="839" customFormat="1">
      <c r="A606" s="765"/>
      <c r="B606" s="766"/>
      <c r="C606" s="765"/>
      <c r="D606" s="763"/>
      <c r="E606" s="764"/>
      <c r="F606" s="793"/>
      <c r="G606" s="763"/>
    </row>
    <row r="607" spans="1:7" s="839" customFormat="1">
      <c r="A607" s="765"/>
      <c r="B607" s="766"/>
      <c r="C607" s="765"/>
      <c r="D607" s="763"/>
      <c r="E607" s="764"/>
      <c r="F607" s="793"/>
      <c r="G607" s="763"/>
    </row>
    <row r="608" spans="1:7" s="839" customFormat="1">
      <c r="A608" s="765"/>
      <c r="B608" s="766"/>
      <c r="C608" s="765"/>
      <c r="D608" s="763"/>
      <c r="E608" s="764"/>
      <c r="F608" s="793"/>
      <c r="G608" s="763"/>
    </row>
    <row r="609" spans="1:7" s="839" customFormat="1">
      <c r="A609" s="765"/>
      <c r="B609" s="766"/>
      <c r="C609" s="765"/>
      <c r="D609" s="763"/>
      <c r="E609" s="764"/>
      <c r="F609" s="793"/>
      <c r="G609" s="763"/>
    </row>
    <row r="610" spans="1:7" s="839" customFormat="1">
      <c r="A610" s="765"/>
      <c r="B610" s="766"/>
      <c r="C610" s="765"/>
      <c r="D610" s="763"/>
      <c r="E610" s="764"/>
      <c r="F610" s="793"/>
      <c r="G610" s="763"/>
    </row>
    <row r="611" spans="1:7" s="839" customFormat="1">
      <c r="A611" s="765"/>
      <c r="B611" s="766"/>
      <c r="C611" s="765"/>
      <c r="D611" s="763"/>
      <c r="E611" s="764"/>
      <c r="F611" s="793"/>
      <c r="G611" s="763"/>
    </row>
    <row r="612" spans="1:7" s="839" customFormat="1">
      <c r="A612" s="765"/>
      <c r="B612" s="766"/>
      <c r="C612" s="765"/>
      <c r="D612" s="763"/>
      <c r="E612" s="764"/>
      <c r="F612" s="793"/>
      <c r="G612" s="763"/>
    </row>
    <row r="613" spans="1:7" s="839" customFormat="1">
      <c r="A613" s="765"/>
      <c r="B613" s="766"/>
      <c r="C613" s="765"/>
      <c r="D613" s="763"/>
      <c r="E613" s="764"/>
      <c r="F613" s="793"/>
      <c r="G613" s="763"/>
    </row>
    <row r="614" spans="1:7" s="839" customFormat="1">
      <c r="A614" s="765"/>
      <c r="B614" s="766"/>
      <c r="C614" s="765"/>
      <c r="D614" s="763"/>
      <c r="E614" s="764"/>
      <c r="F614" s="793"/>
      <c r="G614" s="763"/>
    </row>
    <row r="615" spans="1:7" s="839" customFormat="1">
      <c r="A615" s="765"/>
      <c r="B615" s="766"/>
      <c r="C615" s="765"/>
      <c r="D615" s="763"/>
      <c r="E615" s="764"/>
      <c r="F615" s="793"/>
      <c r="G615" s="763"/>
    </row>
    <row r="616" spans="1:7" s="839" customFormat="1">
      <c r="A616" s="765"/>
      <c r="B616" s="766"/>
      <c r="C616" s="765"/>
      <c r="D616" s="763"/>
      <c r="E616" s="764"/>
      <c r="F616" s="793"/>
      <c r="G616" s="763"/>
    </row>
    <row r="617" spans="1:7" s="839" customFormat="1">
      <c r="A617" s="765"/>
      <c r="B617" s="766"/>
      <c r="C617" s="765"/>
      <c r="D617" s="763"/>
      <c r="E617" s="764"/>
      <c r="F617" s="793"/>
      <c r="G617" s="763"/>
    </row>
    <row r="618" spans="1:7" s="839" customFormat="1">
      <c r="A618" s="765"/>
      <c r="B618" s="766"/>
      <c r="C618" s="765"/>
      <c r="D618" s="763"/>
      <c r="E618" s="764"/>
      <c r="F618" s="793"/>
      <c r="G618" s="763"/>
    </row>
    <row r="619" spans="1:7" s="839" customFormat="1">
      <c r="A619" s="765"/>
      <c r="B619" s="766"/>
      <c r="C619" s="765"/>
      <c r="D619" s="763"/>
      <c r="E619" s="764"/>
      <c r="F619" s="793"/>
      <c r="G619" s="763"/>
    </row>
    <row r="620" spans="1:7" s="839" customFormat="1">
      <c r="A620" s="765"/>
      <c r="B620" s="766"/>
      <c r="C620" s="765"/>
      <c r="D620" s="763"/>
      <c r="E620" s="764"/>
      <c r="F620" s="793"/>
      <c r="G620" s="763"/>
    </row>
    <row r="621" spans="1:7" s="839" customFormat="1">
      <c r="A621" s="765"/>
      <c r="B621" s="766"/>
      <c r="C621" s="765"/>
      <c r="D621" s="763"/>
      <c r="E621" s="764"/>
      <c r="F621" s="793"/>
      <c r="G621" s="763"/>
    </row>
    <row r="622" spans="1:7" s="839" customFormat="1">
      <c r="A622" s="765"/>
      <c r="B622" s="766"/>
      <c r="C622" s="765"/>
      <c r="D622" s="763"/>
      <c r="E622" s="764"/>
      <c r="F622" s="793"/>
      <c r="G622" s="763"/>
    </row>
    <row r="623" spans="1:7" s="839" customFormat="1">
      <c r="A623" s="765"/>
      <c r="B623" s="766"/>
      <c r="C623" s="765"/>
      <c r="D623" s="763"/>
      <c r="E623" s="764"/>
      <c r="F623" s="793"/>
      <c r="G623" s="763"/>
    </row>
    <row r="624" spans="1:7" s="839" customFormat="1">
      <c r="A624" s="765"/>
      <c r="B624" s="766"/>
      <c r="C624" s="765"/>
      <c r="D624" s="763"/>
      <c r="E624" s="764"/>
      <c r="F624" s="793"/>
      <c r="G624" s="763"/>
    </row>
    <row r="625" spans="1:7" s="839" customFormat="1">
      <c r="A625" s="765"/>
      <c r="B625" s="766"/>
      <c r="C625" s="765"/>
      <c r="D625" s="763"/>
      <c r="E625" s="764"/>
      <c r="F625" s="793"/>
      <c r="G625" s="763"/>
    </row>
    <row r="626" spans="1:7" s="839" customFormat="1">
      <c r="A626" s="765"/>
      <c r="B626" s="766"/>
      <c r="C626" s="765"/>
      <c r="D626" s="763"/>
      <c r="E626" s="764"/>
      <c r="F626" s="793"/>
      <c r="G626" s="763"/>
    </row>
    <row r="627" spans="1:7" s="839" customFormat="1">
      <c r="A627" s="765"/>
      <c r="B627" s="766"/>
      <c r="C627" s="765"/>
      <c r="D627" s="763"/>
      <c r="E627" s="764"/>
      <c r="F627" s="793"/>
      <c r="G627" s="763"/>
    </row>
    <row r="628" spans="1:7" s="839" customFormat="1">
      <c r="A628" s="765"/>
      <c r="B628" s="766"/>
      <c r="C628" s="765"/>
      <c r="D628" s="763"/>
      <c r="E628" s="764"/>
      <c r="F628" s="793"/>
      <c r="G628" s="763"/>
    </row>
    <row r="629" spans="1:7" s="839" customFormat="1">
      <c r="A629" s="765"/>
      <c r="B629" s="766"/>
      <c r="C629" s="765"/>
      <c r="D629" s="763"/>
      <c r="E629" s="764"/>
      <c r="F629" s="793"/>
      <c r="G629" s="763"/>
    </row>
    <row r="630" spans="1:7" s="839" customFormat="1">
      <c r="A630" s="765"/>
      <c r="B630" s="766"/>
      <c r="C630" s="765"/>
      <c r="D630" s="763"/>
      <c r="E630" s="764"/>
      <c r="F630" s="793"/>
      <c r="G630" s="763"/>
    </row>
    <row r="631" spans="1:7" s="839" customFormat="1">
      <c r="A631" s="765"/>
      <c r="B631" s="766"/>
      <c r="C631" s="765"/>
      <c r="D631" s="763"/>
      <c r="E631" s="764"/>
      <c r="F631" s="793"/>
      <c r="G631" s="763"/>
    </row>
    <row r="632" spans="1:7" s="839" customFormat="1">
      <c r="A632" s="765"/>
      <c r="B632" s="766"/>
      <c r="C632" s="765"/>
      <c r="D632" s="763"/>
      <c r="E632" s="764"/>
      <c r="F632" s="793"/>
      <c r="G632" s="763"/>
    </row>
    <row r="633" spans="1:7" s="839" customFormat="1">
      <c r="A633" s="765"/>
      <c r="B633" s="766"/>
      <c r="C633" s="765"/>
      <c r="D633" s="763"/>
      <c r="E633" s="764"/>
      <c r="F633" s="793"/>
      <c r="G633" s="763"/>
    </row>
    <row r="634" spans="1:7" s="839" customFormat="1">
      <c r="A634" s="765"/>
      <c r="B634" s="766"/>
      <c r="C634" s="765"/>
      <c r="D634" s="763"/>
      <c r="E634" s="764"/>
      <c r="F634" s="793"/>
      <c r="G634" s="763"/>
    </row>
    <row r="635" spans="1:7" s="839" customFormat="1">
      <c r="A635" s="765"/>
      <c r="B635" s="766"/>
      <c r="C635" s="765"/>
      <c r="D635" s="763"/>
      <c r="E635" s="764"/>
      <c r="F635" s="793"/>
      <c r="G635" s="763"/>
    </row>
    <row r="636" spans="1:7" s="839" customFormat="1">
      <c r="A636" s="765"/>
      <c r="B636" s="766"/>
      <c r="C636" s="765"/>
      <c r="D636" s="763"/>
      <c r="E636" s="764"/>
      <c r="F636" s="793"/>
      <c r="G636" s="763"/>
    </row>
    <row r="637" spans="1:7" s="839" customFormat="1">
      <c r="A637" s="765"/>
      <c r="B637" s="766"/>
      <c r="C637" s="765"/>
      <c r="D637" s="763"/>
      <c r="E637" s="764"/>
      <c r="F637" s="793"/>
      <c r="G637" s="763"/>
    </row>
    <row r="638" spans="1:7" s="839" customFormat="1">
      <c r="A638" s="765"/>
      <c r="B638" s="766"/>
      <c r="C638" s="765"/>
      <c r="D638" s="763"/>
      <c r="E638" s="764"/>
      <c r="F638" s="793"/>
      <c r="G638" s="763"/>
    </row>
    <row r="639" spans="1:7" s="839" customFormat="1">
      <c r="A639" s="765"/>
      <c r="B639" s="766"/>
      <c r="C639" s="765"/>
      <c r="D639" s="763"/>
      <c r="E639" s="764"/>
      <c r="F639" s="793"/>
      <c r="G639" s="763"/>
    </row>
    <row r="640" spans="1:7" s="839" customFormat="1">
      <c r="A640" s="765"/>
      <c r="B640" s="766"/>
      <c r="C640" s="765"/>
      <c r="D640" s="763"/>
      <c r="E640" s="764"/>
      <c r="F640" s="793"/>
      <c r="G640" s="763"/>
    </row>
    <row r="641" spans="1:7" s="839" customFormat="1">
      <c r="A641" s="765"/>
      <c r="B641" s="766"/>
      <c r="C641" s="765"/>
      <c r="D641" s="763"/>
      <c r="E641" s="764"/>
      <c r="F641" s="793"/>
      <c r="G641" s="763"/>
    </row>
    <row r="642" spans="1:7" s="839" customFormat="1">
      <c r="A642" s="765"/>
      <c r="B642" s="766"/>
      <c r="C642" s="765"/>
      <c r="D642" s="763"/>
      <c r="E642" s="764"/>
      <c r="F642" s="793"/>
      <c r="G642" s="763"/>
    </row>
    <row r="643" spans="1:7" s="839" customFormat="1">
      <c r="A643" s="765"/>
      <c r="B643" s="766"/>
      <c r="C643" s="765"/>
      <c r="D643" s="763"/>
      <c r="E643" s="764"/>
      <c r="F643" s="793"/>
      <c r="G643" s="763"/>
    </row>
    <row r="644" spans="1:7" s="839" customFormat="1">
      <c r="A644" s="765"/>
      <c r="B644" s="766"/>
      <c r="C644" s="765"/>
      <c r="D644" s="763"/>
      <c r="E644" s="764"/>
      <c r="F644" s="793"/>
      <c r="G644" s="763"/>
    </row>
    <row r="645" spans="1:7" s="839" customFormat="1">
      <c r="A645" s="765"/>
      <c r="B645" s="766"/>
      <c r="C645" s="765"/>
      <c r="D645" s="763"/>
      <c r="E645" s="764"/>
      <c r="F645" s="793"/>
      <c r="G645" s="763"/>
    </row>
    <row r="646" spans="1:7" s="839" customFormat="1">
      <c r="A646" s="765"/>
      <c r="B646" s="766"/>
      <c r="C646" s="765"/>
      <c r="D646" s="763"/>
      <c r="E646" s="764"/>
      <c r="F646" s="793"/>
      <c r="G646" s="763"/>
    </row>
    <row r="647" spans="1:7" s="839" customFormat="1">
      <c r="A647" s="765"/>
      <c r="B647" s="766"/>
      <c r="C647" s="765"/>
      <c r="D647" s="763"/>
      <c r="E647" s="764"/>
      <c r="F647" s="793"/>
      <c r="G647" s="763"/>
    </row>
    <row r="648" spans="1:7" s="839" customFormat="1">
      <c r="A648" s="765"/>
      <c r="B648" s="766"/>
      <c r="C648" s="765"/>
      <c r="D648" s="763"/>
      <c r="E648" s="764"/>
      <c r="F648" s="793"/>
      <c r="G648" s="763"/>
    </row>
    <row r="649" spans="1:7" s="839" customFormat="1">
      <c r="A649" s="765"/>
      <c r="B649" s="766"/>
      <c r="C649" s="765"/>
      <c r="D649" s="763"/>
      <c r="E649" s="764"/>
      <c r="F649" s="793"/>
      <c r="G649" s="763"/>
    </row>
    <row r="650" spans="1:7" s="839" customFormat="1">
      <c r="A650" s="765"/>
      <c r="B650" s="766"/>
      <c r="C650" s="765"/>
      <c r="D650" s="763"/>
      <c r="E650" s="764"/>
      <c r="F650" s="793"/>
      <c r="G650" s="763"/>
    </row>
    <row r="651" spans="1:7" s="839" customFormat="1">
      <c r="A651" s="765"/>
      <c r="B651" s="766"/>
      <c r="C651" s="765"/>
      <c r="D651" s="763"/>
      <c r="E651" s="764"/>
      <c r="F651" s="793"/>
      <c r="G651" s="763"/>
    </row>
    <row r="652" spans="1:7" s="839" customFormat="1">
      <c r="A652" s="765"/>
      <c r="B652" s="766"/>
      <c r="C652" s="765"/>
      <c r="D652" s="763"/>
      <c r="E652" s="764"/>
      <c r="F652" s="793"/>
      <c r="G652" s="763"/>
    </row>
    <row r="653" spans="1:7" s="839" customFormat="1">
      <c r="A653" s="765"/>
      <c r="B653" s="766"/>
      <c r="C653" s="765"/>
      <c r="D653" s="763"/>
      <c r="E653" s="764"/>
      <c r="F653" s="793"/>
      <c r="G653" s="763"/>
    </row>
    <row r="654" spans="1:7" s="839" customFormat="1">
      <c r="A654" s="765"/>
      <c r="B654" s="766"/>
      <c r="C654" s="765"/>
      <c r="D654" s="763"/>
      <c r="E654" s="764"/>
      <c r="F654" s="793"/>
      <c r="G654" s="763"/>
    </row>
    <row r="655" spans="1:7" s="839" customFormat="1">
      <c r="A655" s="765"/>
      <c r="B655" s="766"/>
      <c r="C655" s="765"/>
      <c r="D655" s="763"/>
      <c r="E655" s="764"/>
      <c r="F655" s="793"/>
      <c r="G655" s="763"/>
    </row>
    <row r="656" spans="1:7" s="839" customFormat="1">
      <c r="A656" s="765"/>
      <c r="B656" s="766"/>
      <c r="C656" s="765"/>
      <c r="D656" s="763"/>
      <c r="E656" s="764"/>
      <c r="F656" s="793"/>
      <c r="G656" s="763"/>
    </row>
    <row r="657" spans="1:7" s="839" customFormat="1">
      <c r="A657" s="765"/>
      <c r="B657" s="766"/>
      <c r="C657" s="765"/>
      <c r="D657" s="763"/>
      <c r="E657" s="764"/>
      <c r="F657" s="793"/>
      <c r="G657" s="763"/>
    </row>
    <row r="658" spans="1:7" s="839" customFormat="1">
      <c r="A658" s="765"/>
      <c r="B658" s="766"/>
      <c r="C658" s="765"/>
      <c r="D658" s="763"/>
      <c r="E658" s="764"/>
      <c r="F658" s="793"/>
      <c r="G658" s="763"/>
    </row>
    <row r="659" spans="1:7" s="839" customFormat="1">
      <c r="A659" s="765"/>
      <c r="B659" s="766"/>
      <c r="C659" s="765"/>
      <c r="D659" s="763"/>
      <c r="E659" s="764"/>
      <c r="F659" s="793"/>
      <c r="G659" s="763"/>
    </row>
    <row r="660" spans="1:7" s="839" customFormat="1">
      <c r="A660" s="765"/>
      <c r="B660" s="766"/>
      <c r="C660" s="765"/>
      <c r="D660" s="763"/>
      <c r="E660" s="764"/>
      <c r="F660" s="793"/>
      <c r="G660" s="763"/>
    </row>
    <row r="661" spans="1:7" s="839" customFormat="1">
      <c r="A661" s="765"/>
      <c r="B661" s="766"/>
      <c r="C661" s="765"/>
      <c r="D661" s="763"/>
      <c r="E661" s="764"/>
      <c r="F661" s="793"/>
      <c r="G661" s="763"/>
    </row>
    <row r="662" spans="1:7" s="839" customFormat="1">
      <c r="A662" s="765"/>
      <c r="B662" s="766"/>
      <c r="C662" s="765"/>
      <c r="D662" s="763"/>
      <c r="E662" s="764"/>
      <c r="F662" s="793"/>
      <c r="G662" s="763"/>
    </row>
    <row r="663" spans="1:7" s="839" customFormat="1">
      <c r="A663" s="765"/>
      <c r="B663" s="766"/>
      <c r="C663" s="765"/>
      <c r="D663" s="763"/>
      <c r="E663" s="764"/>
      <c r="F663" s="793"/>
      <c r="G663" s="763"/>
    </row>
    <row r="664" spans="1:7" s="839" customFormat="1">
      <c r="A664" s="765"/>
      <c r="B664" s="766"/>
      <c r="C664" s="765"/>
      <c r="D664" s="763"/>
      <c r="E664" s="764"/>
      <c r="F664" s="793"/>
      <c r="G664" s="763"/>
    </row>
    <row r="665" spans="1:7" s="839" customFormat="1">
      <c r="A665" s="765"/>
      <c r="B665" s="766"/>
      <c r="C665" s="765"/>
      <c r="D665" s="763"/>
      <c r="E665" s="764"/>
      <c r="F665" s="793"/>
      <c r="G665" s="763"/>
    </row>
    <row r="666" spans="1:7" s="839" customFormat="1">
      <c r="A666" s="765"/>
      <c r="B666" s="766"/>
      <c r="C666" s="765"/>
      <c r="D666" s="763"/>
      <c r="E666" s="764"/>
      <c r="F666" s="793"/>
      <c r="G666" s="763"/>
    </row>
    <row r="667" spans="1:7" s="839" customFormat="1">
      <c r="A667" s="765"/>
      <c r="B667" s="766"/>
      <c r="C667" s="765"/>
      <c r="D667" s="763"/>
      <c r="E667" s="764"/>
      <c r="F667" s="793"/>
      <c r="G667" s="763"/>
    </row>
    <row r="668" spans="1:7" s="839" customFormat="1">
      <c r="A668" s="765"/>
      <c r="B668" s="766"/>
      <c r="C668" s="765"/>
      <c r="D668" s="763"/>
      <c r="E668" s="764"/>
      <c r="F668" s="793"/>
      <c r="G668" s="763"/>
    </row>
    <row r="669" spans="1:7" s="839" customFormat="1">
      <c r="A669" s="765"/>
      <c r="B669" s="766"/>
      <c r="C669" s="765"/>
      <c r="D669" s="763"/>
      <c r="E669" s="764"/>
      <c r="F669" s="793"/>
      <c r="G669" s="763"/>
    </row>
    <row r="670" spans="1:7" s="839" customFormat="1">
      <c r="A670" s="765"/>
      <c r="B670" s="766"/>
      <c r="C670" s="765"/>
      <c r="D670" s="763"/>
      <c r="E670" s="764"/>
      <c r="F670" s="793"/>
      <c r="G670" s="763"/>
    </row>
    <row r="671" spans="1:7" s="839" customFormat="1">
      <c r="A671" s="765"/>
      <c r="B671" s="766"/>
      <c r="C671" s="765"/>
      <c r="D671" s="763"/>
      <c r="E671" s="764"/>
      <c r="F671" s="793"/>
      <c r="G671" s="763"/>
    </row>
    <row r="672" spans="1:7" s="839" customFormat="1">
      <c r="A672" s="765"/>
      <c r="B672" s="766"/>
      <c r="C672" s="765"/>
      <c r="D672" s="763"/>
      <c r="E672" s="764"/>
      <c r="F672" s="793"/>
      <c r="G672" s="763"/>
    </row>
    <row r="673" spans="1:7" s="839" customFormat="1">
      <c r="A673" s="765"/>
      <c r="B673" s="766"/>
      <c r="C673" s="765"/>
      <c r="D673" s="763"/>
      <c r="E673" s="764"/>
      <c r="F673" s="793"/>
      <c r="G673" s="763"/>
    </row>
    <row r="674" spans="1:7" s="839" customFormat="1">
      <c r="A674" s="765"/>
      <c r="B674" s="766"/>
      <c r="C674" s="765"/>
      <c r="D674" s="763"/>
      <c r="E674" s="764"/>
      <c r="F674" s="793"/>
      <c r="G674" s="763"/>
    </row>
    <row r="675" spans="1:7" s="839" customFormat="1">
      <c r="A675" s="765"/>
      <c r="B675" s="766"/>
      <c r="C675" s="765"/>
      <c r="D675" s="763"/>
      <c r="E675" s="764"/>
      <c r="F675" s="793"/>
      <c r="G675" s="763"/>
    </row>
    <row r="676" spans="1:7" s="839" customFormat="1">
      <c r="A676" s="765"/>
      <c r="B676" s="766"/>
      <c r="C676" s="765"/>
      <c r="D676" s="763"/>
      <c r="E676" s="764"/>
      <c r="F676" s="793"/>
      <c r="G676" s="763"/>
    </row>
    <row r="677" spans="1:7" s="839" customFormat="1">
      <c r="A677" s="765"/>
      <c r="B677" s="766"/>
      <c r="C677" s="765"/>
      <c r="D677" s="763"/>
      <c r="E677" s="764"/>
      <c r="F677" s="793"/>
      <c r="G677" s="763"/>
    </row>
    <row r="678" spans="1:7" s="839" customFormat="1">
      <c r="A678" s="765"/>
      <c r="B678" s="766"/>
      <c r="C678" s="765"/>
      <c r="D678" s="763"/>
      <c r="E678" s="764"/>
      <c r="F678" s="793"/>
      <c r="G678" s="763"/>
    </row>
    <row r="679" spans="1:7" s="839" customFormat="1">
      <c r="A679" s="765"/>
      <c r="B679" s="766"/>
      <c r="C679" s="765"/>
      <c r="D679" s="763"/>
      <c r="E679" s="764"/>
      <c r="F679" s="793"/>
      <c r="G679" s="763"/>
    </row>
    <row r="680" spans="1:7" s="839" customFormat="1">
      <c r="A680" s="765"/>
      <c r="B680" s="766"/>
      <c r="C680" s="765"/>
      <c r="D680" s="763"/>
      <c r="E680" s="764"/>
      <c r="F680" s="793"/>
      <c r="G680" s="763"/>
    </row>
    <row r="681" spans="1:7" s="839" customFormat="1">
      <c r="A681" s="765"/>
      <c r="B681" s="766"/>
      <c r="C681" s="765"/>
      <c r="D681" s="763"/>
      <c r="E681" s="764"/>
      <c r="F681" s="793"/>
      <c r="G681" s="763"/>
    </row>
    <row r="682" spans="1:7" s="839" customFormat="1">
      <c r="A682" s="765"/>
      <c r="B682" s="766"/>
      <c r="C682" s="765"/>
      <c r="D682" s="763"/>
      <c r="E682" s="764"/>
      <c r="F682" s="793"/>
      <c r="G682" s="763"/>
    </row>
    <row r="683" spans="1:7" s="839" customFormat="1">
      <c r="A683" s="765"/>
      <c r="B683" s="766"/>
      <c r="C683" s="765"/>
      <c r="D683" s="763"/>
      <c r="E683" s="764"/>
      <c r="F683" s="793"/>
      <c r="G683" s="763"/>
    </row>
    <row r="684" spans="1:7" s="839" customFormat="1">
      <c r="A684" s="765"/>
      <c r="B684" s="766"/>
      <c r="C684" s="765"/>
      <c r="D684" s="763"/>
      <c r="E684" s="764"/>
      <c r="F684" s="793"/>
      <c r="G684" s="763"/>
    </row>
    <row r="685" spans="1:7" s="839" customFormat="1">
      <c r="A685" s="765"/>
      <c r="B685" s="766"/>
      <c r="C685" s="765"/>
      <c r="D685" s="763"/>
      <c r="E685" s="764"/>
      <c r="F685" s="793"/>
      <c r="G685" s="763"/>
    </row>
    <row r="686" spans="1:7" s="839" customFormat="1">
      <c r="A686" s="765"/>
      <c r="B686" s="766"/>
      <c r="C686" s="765"/>
      <c r="D686" s="763"/>
      <c r="E686" s="764"/>
      <c r="F686" s="793"/>
      <c r="G686" s="763"/>
    </row>
    <row r="687" spans="1:7" s="839" customFormat="1">
      <c r="A687" s="765"/>
      <c r="B687" s="766"/>
      <c r="C687" s="765"/>
      <c r="D687" s="763"/>
      <c r="E687" s="764"/>
      <c r="F687" s="793"/>
      <c r="G687" s="763"/>
    </row>
    <row r="688" spans="1:7" s="839" customFormat="1">
      <c r="A688" s="765"/>
      <c r="B688" s="766"/>
      <c r="C688" s="765"/>
      <c r="D688" s="763"/>
      <c r="E688" s="764"/>
      <c r="F688" s="793"/>
      <c r="G688" s="763"/>
    </row>
    <row r="689" spans="1:7" s="839" customFormat="1">
      <c r="A689" s="765"/>
      <c r="B689" s="766"/>
      <c r="C689" s="765"/>
      <c r="D689" s="763"/>
      <c r="E689" s="764"/>
      <c r="F689" s="793"/>
      <c r="G689" s="763"/>
    </row>
    <row r="690" spans="1:7" s="839" customFormat="1">
      <c r="A690" s="765"/>
      <c r="B690" s="766"/>
      <c r="C690" s="765"/>
      <c r="D690" s="763"/>
      <c r="E690" s="764"/>
      <c r="F690" s="793"/>
      <c r="G690" s="763"/>
    </row>
    <row r="691" spans="1:7" s="839" customFormat="1">
      <c r="A691" s="765"/>
      <c r="B691" s="766"/>
      <c r="C691" s="765"/>
      <c r="D691" s="763"/>
      <c r="E691" s="764"/>
      <c r="F691" s="793"/>
      <c r="G691" s="763"/>
    </row>
    <row r="692" spans="1:7" s="839" customFormat="1">
      <c r="A692" s="765"/>
      <c r="B692" s="766"/>
      <c r="C692" s="765"/>
      <c r="D692" s="763"/>
      <c r="E692" s="764"/>
      <c r="F692" s="793"/>
      <c r="G692" s="763"/>
    </row>
    <row r="693" spans="1:7" s="839" customFormat="1">
      <c r="A693" s="765"/>
      <c r="B693" s="766"/>
      <c r="C693" s="765"/>
      <c r="D693" s="763"/>
      <c r="E693" s="764"/>
      <c r="F693" s="793"/>
      <c r="G693" s="763"/>
    </row>
    <row r="694" spans="1:7" s="839" customFormat="1">
      <c r="A694" s="765"/>
      <c r="B694" s="766"/>
      <c r="C694" s="765"/>
      <c r="D694" s="763"/>
      <c r="E694" s="764"/>
      <c r="F694" s="793"/>
      <c r="G694" s="763"/>
    </row>
    <row r="695" spans="1:7" s="839" customFormat="1">
      <c r="A695" s="765"/>
      <c r="B695" s="766"/>
      <c r="C695" s="765"/>
      <c r="D695" s="763"/>
      <c r="E695" s="764"/>
      <c r="F695" s="793"/>
      <c r="G695" s="763"/>
    </row>
    <row r="696" spans="1:7" s="839" customFormat="1">
      <c r="A696" s="765"/>
      <c r="B696" s="766"/>
      <c r="C696" s="765"/>
      <c r="D696" s="763"/>
      <c r="E696" s="764"/>
      <c r="F696" s="793"/>
      <c r="G696" s="763"/>
    </row>
    <row r="697" spans="1:7" s="839" customFormat="1">
      <c r="A697" s="765"/>
      <c r="B697" s="766"/>
      <c r="C697" s="765"/>
      <c r="D697" s="763"/>
      <c r="E697" s="764"/>
      <c r="F697" s="793"/>
      <c r="G697" s="763"/>
    </row>
    <row r="698" spans="1:7" s="839" customFormat="1">
      <c r="A698" s="765"/>
      <c r="B698" s="766"/>
      <c r="C698" s="765"/>
      <c r="D698" s="763"/>
      <c r="E698" s="764"/>
      <c r="F698" s="793"/>
      <c r="G698" s="763"/>
    </row>
    <row r="699" spans="1:7" s="839" customFormat="1">
      <c r="A699" s="765"/>
      <c r="B699" s="766"/>
      <c r="C699" s="765"/>
      <c r="D699" s="763"/>
      <c r="E699" s="764"/>
      <c r="F699" s="793"/>
      <c r="G699" s="763"/>
    </row>
    <row r="700" spans="1:7" s="839" customFormat="1">
      <c r="A700" s="765"/>
      <c r="B700" s="766"/>
      <c r="C700" s="765"/>
      <c r="D700" s="763"/>
      <c r="E700" s="764"/>
      <c r="F700" s="793"/>
      <c r="G700" s="763"/>
    </row>
    <row r="701" spans="1:7" s="839" customFormat="1">
      <c r="A701" s="765"/>
      <c r="B701" s="766"/>
      <c r="C701" s="765"/>
      <c r="D701" s="763"/>
      <c r="E701" s="764"/>
      <c r="F701" s="793"/>
      <c r="G701" s="763"/>
    </row>
    <row r="702" spans="1:7" s="839" customFormat="1">
      <c r="A702" s="765"/>
      <c r="B702" s="766"/>
      <c r="C702" s="765"/>
      <c r="D702" s="763"/>
      <c r="E702" s="764"/>
      <c r="F702" s="793"/>
      <c r="G702" s="763"/>
    </row>
    <row r="703" spans="1:7" s="839" customFormat="1">
      <c r="A703" s="765"/>
      <c r="B703" s="766"/>
      <c r="C703" s="765"/>
      <c r="D703" s="763"/>
      <c r="E703" s="764"/>
      <c r="F703" s="793"/>
      <c r="G703" s="763"/>
    </row>
    <row r="704" spans="1:7" s="839" customFormat="1">
      <c r="A704" s="765"/>
      <c r="B704" s="766"/>
      <c r="C704" s="765"/>
      <c r="D704" s="763"/>
      <c r="E704" s="764"/>
      <c r="F704" s="793"/>
      <c r="G704" s="763"/>
    </row>
    <row r="705" spans="1:7" s="839" customFormat="1">
      <c r="A705" s="765"/>
      <c r="B705" s="766"/>
      <c r="C705" s="765"/>
      <c r="D705" s="763"/>
      <c r="E705" s="764"/>
      <c r="F705" s="793"/>
      <c r="G705" s="763"/>
    </row>
    <row r="706" spans="1:7" s="839" customFormat="1">
      <c r="A706" s="765"/>
      <c r="B706" s="766"/>
      <c r="C706" s="765"/>
      <c r="D706" s="763"/>
      <c r="E706" s="764"/>
      <c r="F706" s="793"/>
      <c r="G706" s="763"/>
    </row>
    <row r="707" spans="1:7" s="839" customFormat="1">
      <c r="A707" s="765"/>
      <c r="B707" s="766"/>
      <c r="C707" s="765"/>
      <c r="D707" s="763"/>
      <c r="E707" s="764"/>
      <c r="F707" s="793"/>
      <c r="G707" s="763"/>
    </row>
    <row r="708" spans="1:7" s="839" customFormat="1">
      <c r="A708" s="765"/>
      <c r="B708" s="766"/>
      <c r="C708" s="765"/>
      <c r="D708" s="763"/>
      <c r="E708" s="764"/>
      <c r="F708" s="793"/>
      <c r="G708" s="763"/>
    </row>
    <row r="709" spans="1:7" s="839" customFormat="1">
      <c r="A709" s="765"/>
      <c r="B709" s="766"/>
      <c r="C709" s="765"/>
      <c r="D709" s="763"/>
      <c r="E709" s="764"/>
      <c r="F709" s="793"/>
      <c r="G709" s="763"/>
    </row>
    <row r="710" spans="1:7" s="839" customFormat="1">
      <c r="A710" s="765"/>
      <c r="B710" s="766"/>
      <c r="C710" s="765"/>
      <c r="D710" s="763"/>
      <c r="E710" s="764"/>
      <c r="F710" s="793"/>
      <c r="G710" s="763"/>
    </row>
    <row r="711" spans="1:7" s="839" customFormat="1">
      <c r="A711" s="765"/>
      <c r="B711" s="766"/>
      <c r="C711" s="765"/>
      <c r="D711" s="763"/>
      <c r="E711" s="764"/>
      <c r="F711" s="793"/>
      <c r="G711" s="763"/>
    </row>
    <row r="712" spans="1:7" s="839" customFormat="1">
      <c r="A712" s="765"/>
      <c r="B712" s="766"/>
      <c r="C712" s="765"/>
      <c r="D712" s="763"/>
      <c r="E712" s="764"/>
      <c r="F712" s="793"/>
      <c r="G712" s="763"/>
    </row>
    <row r="713" spans="1:7" s="839" customFormat="1">
      <c r="A713" s="765"/>
      <c r="B713" s="766"/>
      <c r="C713" s="765"/>
      <c r="D713" s="763"/>
      <c r="E713" s="764"/>
      <c r="F713" s="793"/>
      <c r="G713" s="763"/>
    </row>
    <row r="714" spans="1:7" s="839" customFormat="1">
      <c r="A714" s="765"/>
      <c r="B714" s="766"/>
      <c r="C714" s="765"/>
      <c r="D714" s="763"/>
      <c r="E714" s="764"/>
      <c r="F714" s="793"/>
      <c r="G714" s="763"/>
    </row>
    <row r="715" spans="1:7" s="839" customFormat="1">
      <c r="A715" s="765"/>
      <c r="B715" s="766"/>
      <c r="C715" s="765"/>
      <c r="D715" s="763"/>
      <c r="E715" s="764"/>
      <c r="F715" s="793"/>
      <c r="G715" s="763"/>
    </row>
    <row r="716" spans="1:7" s="839" customFormat="1">
      <c r="A716" s="765"/>
      <c r="B716" s="766"/>
      <c r="C716" s="765"/>
      <c r="D716" s="763"/>
      <c r="E716" s="764"/>
      <c r="F716" s="793"/>
      <c r="G716" s="763"/>
    </row>
    <row r="717" spans="1:7" s="839" customFormat="1">
      <c r="A717" s="765"/>
      <c r="B717" s="766"/>
      <c r="C717" s="765"/>
      <c r="D717" s="763"/>
      <c r="E717" s="764"/>
      <c r="F717" s="793"/>
      <c r="G717" s="763"/>
    </row>
    <row r="718" spans="1:7" s="839" customFormat="1">
      <c r="A718" s="765"/>
      <c r="B718" s="766"/>
      <c r="C718" s="765"/>
      <c r="D718" s="763"/>
      <c r="E718" s="764"/>
      <c r="F718" s="793"/>
      <c r="G718" s="763"/>
    </row>
    <row r="719" spans="1:7" s="839" customFormat="1">
      <c r="A719" s="765"/>
      <c r="B719" s="766"/>
      <c r="C719" s="765"/>
      <c r="D719" s="763"/>
      <c r="E719" s="764"/>
      <c r="F719" s="793"/>
      <c r="G719" s="763"/>
    </row>
    <row r="720" spans="1:7" s="839" customFormat="1">
      <c r="A720" s="765"/>
      <c r="B720" s="766"/>
      <c r="C720" s="765"/>
      <c r="D720" s="763"/>
      <c r="E720" s="764"/>
      <c r="F720" s="793"/>
      <c r="G720" s="763"/>
    </row>
    <row r="721" spans="1:7" s="839" customFormat="1">
      <c r="A721" s="765"/>
      <c r="B721" s="766"/>
      <c r="C721" s="765"/>
      <c r="D721" s="763"/>
      <c r="E721" s="764"/>
      <c r="F721" s="793"/>
      <c r="G721" s="763"/>
    </row>
    <row r="722" spans="1:7" s="839" customFormat="1">
      <c r="A722" s="765"/>
      <c r="B722" s="766"/>
      <c r="C722" s="765"/>
      <c r="D722" s="763"/>
      <c r="E722" s="764"/>
      <c r="F722" s="793"/>
      <c r="G722" s="763"/>
    </row>
    <row r="723" spans="1:7" s="839" customFormat="1">
      <c r="A723" s="765"/>
      <c r="B723" s="766"/>
      <c r="C723" s="765"/>
      <c r="D723" s="763"/>
      <c r="E723" s="764"/>
      <c r="F723" s="793"/>
      <c r="G723" s="763"/>
    </row>
    <row r="724" spans="1:7" s="839" customFormat="1">
      <c r="A724" s="765"/>
      <c r="B724" s="766"/>
      <c r="C724" s="765"/>
      <c r="D724" s="763"/>
      <c r="E724" s="764"/>
      <c r="F724" s="793"/>
      <c r="G724" s="763"/>
    </row>
    <row r="725" spans="1:7" s="839" customFormat="1">
      <c r="A725" s="765"/>
      <c r="B725" s="766"/>
      <c r="C725" s="765"/>
      <c r="D725" s="763"/>
      <c r="E725" s="764"/>
      <c r="F725" s="793"/>
      <c r="G725" s="763"/>
    </row>
    <row r="726" spans="1:7" s="839" customFormat="1">
      <c r="A726" s="765"/>
      <c r="B726" s="766"/>
      <c r="C726" s="765"/>
      <c r="D726" s="763"/>
      <c r="E726" s="764"/>
      <c r="F726" s="793"/>
      <c r="G726" s="763"/>
    </row>
    <row r="727" spans="1:7" s="839" customFormat="1">
      <c r="A727" s="765"/>
      <c r="B727" s="766"/>
      <c r="C727" s="765"/>
      <c r="D727" s="763"/>
      <c r="E727" s="764"/>
      <c r="F727" s="793"/>
      <c r="G727" s="763"/>
    </row>
    <row r="728" spans="1:7" s="839" customFormat="1">
      <c r="A728" s="765"/>
      <c r="B728" s="766"/>
      <c r="C728" s="765"/>
      <c r="D728" s="763"/>
      <c r="E728" s="764"/>
      <c r="F728" s="793"/>
      <c r="G728" s="763"/>
    </row>
    <row r="729" spans="1:7" s="839" customFormat="1">
      <c r="A729" s="765"/>
      <c r="B729" s="766"/>
      <c r="C729" s="765"/>
      <c r="D729" s="763"/>
      <c r="E729" s="764"/>
      <c r="F729" s="793"/>
      <c r="G729" s="763"/>
    </row>
    <row r="730" spans="1:7" s="839" customFormat="1">
      <c r="A730" s="765"/>
      <c r="B730" s="766"/>
      <c r="C730" s="765"/>
      <c r="D730" s="763"/>
      <c r="E730" s="764"/>
      <c r="F730" s="793"/>
      <c r="G730" s="763"/>
    </row>
    <row r="731" spans="1:7" s="839" customFormat="1">
      <c r="A731" s="765"/>
      <c r="B731" s="766"/>
      <c r="C731" s="765"/>
      <c r="D731" s="763"/>
      <c r="E731" s="764"/>
      <c r="F731" s="793"/>
      <c r="G731" s="763"/>
    </row>
    <row r="732" spans="1:7" s="839" customFormat="1">
      <c r="A732" s="765"/>
      <c r="B732" s="766"/>
      <c r="C732" s="765"/>
      <c r="D732" s="763"/>
      <c r="E732" s="764"/>
      <c r="F732" s="793"/>
      <c r="G732" s="763"/>
    </row>
    <row r="733" spans="1:7" s="839" customFormat="1">
      <c r="A733" s="765"/>
      <c r="B733" s="766"/>
      <c r="C733" s="765"/>
      <c r="D733" s="763"/>
      <c r="E733" s="764"/>
      <c r="F733" s="793"/>
      <c r="G733" s="763"/>
    </row>
    <row r="734" spans="1:7" s="839" customFormat="1">
      <c r="A734" s="765"/>
      <c r="B734" s="766"/>
      <c r="C734" s="765"/>
      <c r="D734" s="763"/>
      <c r="E734" s="764"/>
      <c r="F734" s="793"/>
      <c r="G734" s="763"/>
    </row>
    <row r="735" spans="1:7" s="839" customFormat="1">
      <c r="A735" s="765"/>
      <c r="B735" s="766"/>
      <c r="C735" s="765"/>
      <c r="D735" s="763"/>
      <c r="E735" s="764"/>
      <c r="F735" s="793"/>
      <c r="G735" s="763"/>
    </row>
    <row r="736" spans="1:7" s="839" customFormat="1">
      <c r="A736" s="765"/>
      <c r="B736" s="766"/>
      <c r="C736" s="765"/>
      <c r="D736" s="763"/>
      <c r="E736" s="764"/>
      <c r="F736" s="793"/>
      <c r="G736" s="763"/>
    </row>
    <row r="737" spans="1:7" s="839" customFormat="1">
      <c r="A737" s="765"/>
      <c r="B737" s="766"/>
      <c r="C737" s="765"/>
      <c r="D737" s="763"/>
      <c r="E737" s="764"/>
      <c r="F737" s="793"/>
      <c r="G737" s="763"/>
    </row>
    <row r="738" spans="1:7" s="839" customFormat="1">
      <c r="A738" s="765"/>
      <c r="B738" s="766"/>
      <c r="C738" s="765"/>
      <c r="D738" s="763"/>
      <c r="E738" s="764"/>
      <c r="F738" s="793"/>
      <c r="G738" s="763"/>
    </row>
    <row r="739" spans="1:7" s="839" customFormat="1">
      <c r="A739" s="765"/>
      <c r="B739" s="766"/>
      <c r="C739" s="765"/>
      <c r="D739" s="763"/>
      <c r="E739" s="764"/>
      <c r="F739" s="793"/>
      <c r="G739" s="763"/>
    </row>
    <row r="740" spans="1:7" s="839" customFormat="1">
      <c r="A740" s="765"/>
      <c r="B740" s="766"/>
      <c r="C740" s="765"/>
      <c r="D740" s="763"/>
      <c r="E740" s="764"/>
      <c r="F740" s="793"/>
      <c r="G740" s="763"/>
    </row>
    <row r="741" spans="1:7" s="839" customFormat="1">
      <c r="A741" s="765"/>
      <c r="B741" s="766"/>
      <c r="C741" s="765"/>
      <c r="D741" s="763"/>
      <c r="E741" s="764"/>
      <c r="F741" s="793"/>
      <c r="G741" s="763"/>
    </row>
    <row r="742" spans="1:7" s="839" customFormat="1">
      <c r="A742" s="765"/>
      <c r="B742" s="766"/>
      <c r="C742" s="765"/>
      <c r="D742" s="763"/>
      <c r="E742" s="764"/>
      <c r="F742" s="793"/>
      <c r="G742" s="763"/>
    </row>
    <row r="743" spans="1:7" s="839" customFormat="1">
      <c r="A743" s="765"/>
      <c r="B743" s="766"/>
      <c r="C743" s="765"/>
      <c r="D743" s="763"/>
      <c r="E743" s="764"/>
      <c r="F743" s="793"/>
      <c r="G743" s="763"/>
    </row>
    <row r="744" spans="1:7" s="839" customFormat="1">
      <c r="A744" s="765"/>
      <c r="B744" s="766"/>
      <c r="C744" s="765"/>
      <c r="D744" s="763"/>
      <c r="E744" s="764"/>
      <c r="F744" s="793"/>
      <c r="G744" s="763"/>
    </row>
    <row r="745" spans="1:7" s="839" customFormat="1">
      <c r="A745" s="765"/>
      <c r="B745" s="766"/>
      <c r="C745" s="765"/>
      <c r="D745" s="763"/>
      <c r="E745" s="764"/>
      <c r="F745" s="793"/>
      <c r="G745" s="763"/>
    </row>
    <row r="746" spans="1:7" s="839" customFormat="1">
      <c r="A746" s="765"/>
      <c r="B746" s="766"/>
      <c r="C746" s="765"/>
      <c r="D746" s="763"/>
      <c r="E746" s="764"/>
      <c r="F746" s="793"/>
      <c r="G746" s="763"/>
    </row>
    <row r="747" spans="1:7" s="839" customFormat="1">
      <c r="A747" s="765"/>
      <c r="B747" s="766"/>
      <c r="C747" s="765"/>
      <c r="D747" s="763"/>
      <c r="E747" s="764"/>
      <c r="F747" s="793"/>
      <c r="G747" s="763"/>
    </row>
    <row r="748" spans="1:7" s="839" customFormat="1">
      <c r="A748" s="765"/>
      <c r="B748" s="766"/>
      <c r="C748" s="765"/>
      <c r="D748" s="763"/>
      <c r="E748" s="764"/>
      <c r="F748" s="793"/>
      <c r="G748" s="763"/>
    </row>
    <row r="749" spans="1:7" s="839" customFormat="1">
      <c r="A749" s="765"/>
      <c r="B749" s="766"/>
      <c r="C749" s="765"/>
      <c r="D749" s="763"/>
      <c r="E749" s="764"/>
      <c r="F749" s="793"/>
      <c r="G749" s="763"/>
    </row>
    <row r="750" spans="1:7" s="839" customFormat="1">
      <c r="A750" s="765"/>
      <c r="B750" s="766"/>
      <c r="C750" s="765"/>
      <c r="D750" s="763"/>
      <c r="E750" s="764"/>
      <c r="F750" s="793"/>
      <c r="G750" s="763"/>
    </row>
    <row r="751" spans="1:7" s="839" customFormat="1">
      <c r="A751" s="765"/>
      <c r="B751" s="766"/>
      <c r="C751" s="765"/>
      <c r="D751" s="763"/>
      <c r="E751" s="764"/>
      <c r="F751" s="793"/>
      <c r="G751" s="763"/>
    </row>
    <row r="752" spans="1:7" s="839" customFormat="1">
      <c r="A752" s="765"/>
      <c r="B752" s="766"/>
      <c r="C752" s="765"/>
      <c r="D752" s="763"/>
      <c r="E752" s="764"/>
      <c r="F752" s="793"/>
      <c r="G752" s="763"/>
    </row>
    <row r="753" spans="1:7" s="839" customFormat="1">
      <c r="A753" s="765"/>
      <c r="B753" s="766"/>
      <c r="C753" s="765"/>
      <c r="D753" s="763"/>
      <c r="E753" s="764"/>
      <c r="F753" s="793"/>
      <c r="G753" s="763"/>
    </row>
    <row r="754" spans="1:7" s="839" customFormat="1">
      <c r="A754" s="765"/>
      <c r="B754" s="766"/>
      <c r="C754" s="765"/>
      <c r="D754" s="763"/>
      <c r="E754" s="764"/>
      <c r="F754" s="793"/>
      <c r="G754" s="763"/>
    </row>
    <row r="755" spans="1:7" s="839" customFormat="1">
      <c r="A755" s="765"/>
      <c r="B755" s="766"/>
      <c r="C755" s="765"/>
      <c r="D755" s="763"/>
      <c r="E755" s="764"/>
      <c r="F755" s="793"/>
      <c r="G755" s="763"/>
    </row>
    <row r="756" spans="1:7" s="839" customFormat="1">
      <c r="A756" s="765"/>
      <c r="B756" s="766"/>
      <c r="C756" s="765"/>
      <c r="D756" s="763"/>
      <c r="E756" s="764"/>
      <c r="F756" s="793"/>
      <c r="G756" s="763"/>
    </row>
    <row r="757" spans="1:7" s="839" customFormat="1">
      <c r="A757" s="765"/>
      <c r="B757" s="766"/>
      <c r="C757" s="765"/>
      <c r="D757" s="763"/>
      <c r="E757" s="764"/>
      <c r="F757" s="793"/>
      <c r="G757" s="763"/>
    </row>
    <row r="758" spans="1:7" s="839" customFormat="1">
      <c r="A758" s="765"/>
      <c r="B758" s="766"/>
      <c r="C758" s="765"/>
      <c r="D758" s="763"/>
      <c r="E758" s="764"/>
      <c r="F758" s="793"/>
      <c r="G758" s="763"/>
    </row>
    <row r="759" spans="1:7" s="839" customFormat="1">
      <c r="A759" s="765"/>
      <c r="B759" s="766"/>
      <c r="C759" s="765"/>
      <c r="D759" s="763"/>
      <c r="E759" s="764"/>
      <c r="F759" s="793"/>
      <c r="G759" s="763"/>
    </row>
    <row r="760" spans="1:7" s="839" customFormat="1">
      <c r="A760" s="765"/>
      <c r="B760" s="766"/>
      <c r="C760" s="765"/>
      <c r="D760" s="763"/>
      <c r="E760" s="764"/>
      <c r="F760" s="793"/>
      <c r="G760" s="763"/>
    </row>
    <row r="761" spans="1:7" s="839" customFormat="1">
      <c r="A761" s="765"/>
      <c r="B761" s="766"/>
      <c r="C761" s="765"/>
      <c r="D761" s="763"/>
      <c r="E761" s="764"/>
      <c r="F761" s="793"/>
      <c r="G761" s="763"/>
    </row>
    <row r="762" spans="1:7" s="839" customFormat="1">
      <c r="A762" s="765"/>
      <c r="B762" s="766"/>
      <c r="C762" s="765"/>
      <c r="D762" s="763"/>
      <c r="E762" s="764"/>
      <c r="F762" s="793"/>
      <c r="G762" s="763"/>
    </row>
    <row r="763" spans="1:7" s="839" customFormat="1">
      <c r="A763" s="765"/>
      <c r="B763" s="766"/>
      <c r="C763" s="765"/>
      <c r="D763" s="763"/>
      <c r="E763" s="764"/>
      <c r="F763" s="793"/>
      <c r="G763" s="763"/>
    </row>
    <row r="764" spans="1:7" s="839" customFormat="1">
      <c r="A764" s="765"/>
      <c r="B764" s="766"/>
      <c r="C764" s="765"/>
      <c r="D764" s="763"/>
      <c r="E764" s="764"/>
      <c r="F764" s="793"/>
      <c r="G764" s="763"/>
    </row>
    <row r="765" spans="1:7" s="839" customFormat="1">
      <c r="A765" s="765"/>
      <c r="B765" s="766"/>
      <c r="C765" s="765"/>
      <c r="D765" s="763"/>
      <c r="E765" s="764"/>
      <c r="F765" s="793"/>
      <c r="G765" s="763"/>
    </row>
    <row r="766" spans="1:7" s="839" customFormat="1">
      <c r="A766" s="765"/>
      <c r="B766" s="766"/>
      <c r="C766" s="765"/>
      <c r="D766" s="763"/>
      <c r="E766" s="764"/>
      <c r="F766" s="793"/>
      <c r="G766" s="763"/>
    </row>
    <row r="767" spans="1:7" s="839" customFormat="1">
      <c r="A767" s="765"/>
      <c r="B767" s="766"/>
      <c r="C767" s="765"/>
      <c r="D767" s="763"/>
      <c r="E767" s="764"/>
      <c r="F767" s="793"/>
      <c r="G767" s="763"/>
    </row>
    <row r="768" spans="1:7" s="839" customFormat="1">
      <c r="A768" s="765"/>
      <c r="B768" s="766"/>
      <c r="C768" s="765"/>
      <c r="D768" s="763"/>
      <c r="E768" s="764"/>
      <c r="F768" s="793"/>
      <c r="G768" s="763"/>
    </row>
    <row r="769" spans="1:7" s="839" customFormat="1">
      <c r="A769" s="765"/>
      <c r="B769" s="766"/>
      <c r="C769" s="765"/>
      <c r="D769" s="763"/>
      <c r="E769" s="764"/>
      <c r="F769" s="793"/>
      <c r="G769" s="763"/>
    </row>
    <row r="770" spans="1:7" s="839" customFormat="1">
      <c r="A770" s="765"/>
      <c r="B770" s="766"/>
      <c r="C770" s="765"/>
      <c r="D770" s="763"/>
      <c r="E770" s="764"/>
      <c r="F770" s="793"/>
      <c r="G770" s="763"/>
    </row>
    <row r="771" spans="1:7" s="839" customFormat="1">
      <c r="A771" s="765"/>
      <c r="B771" s="766"/>
      <c r="C771" s="765"/>
      <c r="D771" s="763"/>
      <c r="E771" s="764"/>
      <c r="F771" s="793"/>
      <c r="G771" s="763"/>
    </row>
    <row r="772" spans="1:7" s="839" customFormat="1">
      <c r="A772" s="765"/>
      <c r="B772" s="766"/>
      <c r="C772" s="765"/>
      <c r="D772" s="763"/>
      <c r="E772" s="764"/>
      <c r="F772" s="793"/>
      <c r="G772" s="763"/>
    </row>
    <row r="773" spans="1:7" s="839" customFormat="1">
      <c r="A773" s="765"/>
      <c r="B773" s="766"/>
      <c r="C773" s="765"/>
      <c r="D773" s="763"/>
      <c r="E773" s="764"/>
      <c r="F773" s="793"/>
      <c r="G773" s="763"/>
    </row>
    <row r="774" spans="1:7" s="839" customFormat="1">
      <c r="A774" s="765"/>
      <c r="B774" s="766"/>
      <c r="C774" s="765"/>
      <c r="D774" s="763"/>
      <c r="E774" s="764"/>
      <c r="F774" s="793"/>
      <c r="G774" s="763"/>
    </row>
    <row r="775" spans="1:7" s="839" customFormat="1">
      <c r="A775" s="765"/>
      <c r="B775" s="766"/>
      <c r="C775" s="765"/>
      <c r="D775" s="763"/>
      <c r="E775" s="764"/>
      <c r="F775" s="793"/>
      <c r="G775" s="763"/>
    </row>
    <row r="776" spans="1:7" s="839" customFormat="1">
      <c r="A776" s="765"/>
      <c r="B776" s="766"/>
      <c r="C776" s="765"/>
      <c r="D776" s="763"/>
      <c r="E776" s="764"/>
      <c r="F776" s="793"/>
      <c r="G776" s="763"/>
    </row>
    <row r="777" spans="1:7" s="839" customFormat="1">
      <c r="A777" s="765"/>
      <c r="B777" s="766"/>
      <c r="C777" s="765"/>
      <c r="D777" s="763"/>
      <c r="E777" s="764"/>
      <c r="F777" s="793"/>
      <c r="G777" s="763"/>
    </row>
    <row r="778" spans="1:7" s="839" customFormat="1">
      <c r="A778" s="765"/>
      <c r="B778" s="766"/>
      <c r="C778" s="765"/>
      <c r="D778" s="763"/>
      <c r="E778" s="764"/>
      <c r="F778" s="793"/>
      <c r="G778" s="763"/>
    </row>
    <row r="779" spans="1:7" s="839" customFormat="1">
      <c r="A779" s="765"/>
      <c r="B779" s="766"/>
      <c r="C779" s="765"/>
      <c r="D779" s="763"/>
      <c r="E779" s="764"/>
      <c r="F779" s="793"/>
      <c r="G779" s="763"/>
    </row>
    <row r="780" spans="1:7" s="839" customFormat="1">
      <c r="A780" s="765"/>
      <c r="B780" s="766"/>
      <c r="C780" s="765"/>
      <c r="D780" s="763"/>
      <c r="E780" s="764"/>
      <c r="F780" s="793"/>
      <c r="G780" s="763"/>
    </row>
    <row r="781" spans="1:7" s="839" customFormat="1">
      <c r="A781" s="765"/>
      <c r="B781" s="766"/>
      <c r="C781" s="765"/>
      <c r="D781" s="763"/>
      <c r="E781" s="764"/>
      <c r="F781" s="793"/>
      <c r="G781" s="763"/>
    </row>
    <row r="782" spans="1:7" s="839" customFormat="1">
      <c r="A782" s="765"/>
      <c r="B782" s="766"/>
      <c r="C782" s="765"/>
      <c r="D782" s="763"/>
      <c r="E782" s="764"/>
      <c r="F782" s="793"/>
      <c r="G782" s="763"/>
    </row>
    <row r="783" spans="1:7" s="839" customFormat="1">
      <c r="A783" s="765"/>
      <c r="B783" s="766"/>
      <c r="C783" s="765"/>
      <c r="D783" s="763"/>
      <c r="E783" s="764"/>
      <c r="F783" s="793"/>
      <c r="G783" s="763"/>
    </row>
    <row r="784" spans="1:7" s="839" customFormat="1">
      <c r="A784" s="765"/>
      <c r="B784" s="766"/>
      <c r="C784" s="765"/>
      <c r="D784" s="763"/>
      <c r="E784" s="764"/>
      <c r="F784" s="793"/>
      <c r="G784" s="763"/>
    </row>
    <row r="785" spans="1:7" s="839" customFormat="1">
      <c r="A785" s="765"/>
      <c r="B785" s="766"/>
      <c r="C785" s="765"/>
      <c r="D785" s="763"/>
      <c r="E785" s="764"/>
      <c r="F785" s="793"/>
      <c r="G785" s="763"/>
    </row>
    <row r="786" spans="1:7" s="839" customFormat="1">
      <c r="A786" s="765"/>
      <c r="B786" s="766"/>
      <c r="C786" s="765"/>
      <c r="D786" s="763"/>
      <c r="E786" s="764"/>
      <c r="F786" s="793"/>
      <c r="G786" s="763"/>
    </row>
    <row r="787" spans="1:7" s="839" customFormat="1">
      <c r="A787" s="765"/>
      <c r="B787" s="766"/>
      <c r="C787" s="765"/>
      <c r="D787" s="763"/>
      <c r="E787" s="764"/>
      <c r="F787" s="793"/>
      <c r="G787" s="763"/>
    </row>
    <row r="788" spans="1:7" s="839" customFormat="1">
      <c r="A788" s="765"/>
      <c r="B788" s="766"/>
      <c r="C788" s="765"/>
      <c r="D788" s="763"/>
      <c r="E788" s="764"/>
      <c r="F788" s="793"/>
      <c r="G788" s="763"/>
    </row>
    <row r="789" spans="1:7" s="839" customFormat="1">
      <c r="A789" s="765"/>
      <c r="B789" s="766"/>
      <c r="C789" s="765"/>
      <c r="D789" s="763"/>
      <c r="E789" s="764"/>
      <c r="F789" s="793"/>
      <c r="G789" s="763"/>
    </row>
    <row r="790" spans="1:7" s="839" customFormat="1">
      <c r="A790" s="765"/>
      <c r="B790" s="766"/>
      <c r="C790" s="765"/>
      <c r="D790" s="763"/>
      <c r="E790" s="764"/>
      <c r="F790" s="793"/>
      <c r="G790" s="763"/>
    </row>
    <row r="791" spans="1:7" s="839" customFormat="1">
      <c r="A791" s="765"/>
      <c r="B791" s="766"/>
      <c r="C791" s="765"/>
      <c r="D791" s="763"/>
      <c r="E791" s="764"/>
      <c r="F791" s="793"/>
      <c r="G791" s="763"/>
    </row>
    <row r="792" spans="1:7" s="839" customFormat="1">
      <c r="A792" s="765"/>
      <c r="B792" s="766"/>
      <c r="C792" s="765"/>
      <c r="D792" s="763"/>
      <c r="E792" s="764"/>
      <c r="F792" s="793"/>
      <c r="G792" s="763"/>
    </row>
    <row r="793" spans="1:7" s="839" customFormat="1">
      <c r="A793" s="765"/>
      <c r="B793" s="766"/>
      <c r="C793" s="765"/>
      <c r="D793" s="763"/>
      <c r="E793" s="764"/>
      <c r="F793" s="793"/>
      <c r="G793" s="763"/>
    </row>
    <row r="794" spans="1:7" s="839" customFormat="1">
      <c r="A794" s="765"/>
      <c r="B794" s="766"/>
      <c r="C794" s="765"/>
      <c r="D794" s="763"/>
      <c r="E794" s="764"/>
      <c r="F794" s="793"/>
      <c r="G794" s="763"/>
    </row>
    <row r="795" spans="1:7" s="839" customFormat="1">
      <c r="A795" s="765"/>
      <c r="B795" s="766"/>
      <c r="C795" s="765"/>
      <c r="D795" s="763"/>
      <c r="E795" s="764"/>
      <c r="F795" s="793"/>
      <c r="G795" s="763"/>
    </row>
    <row r="796" spans="1:7" s="839" customFormat="1">
      <c r="A796" s="765"/>
      <c r="B796" s="766"/>
      <c r="C796" s="765"/>
      <c r="D796" s="763"/>
      <c r="E796" s="764"/>
      <c r="F796" s="793"/>
      <c r="G796" s="763"/>
    </row>
    <row r="797" spans="1:7" s="839" customFormat="1">
      <c r="A797" s="765"/>
      <c r="B797" s="766"/>
      <c r="C797" s="765"/>
      <c r="D797" s="763"/>
      <c r="E797" s="764"/>
      <c r="F797" s="793"/>
      <c r="G797" s="763"/>
    </row>
    <row r="798" spans="1:7" s="839" customFormat="1">
      <c r="A798" s="765"/>
      <c r="B798" s="766"/>
      <c r="C798" s="765"/>
      <c r="D798" s="763"/>
      <c r="E798" s="764"/>
      <c r="F798" s="793"/>
      <c r="G798" s="763"/>
    </row>
    <row r="799" spans="1:7" s="839" customFormat="1">
      <c r="A799" s="765"/>
      <c r="B799" s="766"/>
      <c r="C799" s="765"/>
      <c r="D799" s="763"/>
      <c r="E799" s="764"/>
      <c r="F799" s="793"/>
      <c r="G799" s="763"/>
    </row>
    <row r="800" spans="1:7" s="839" customFormat="1">
      <c r="A800" s="765"/>
      <c r="B800" s="766"/>
      <c r="C800" s="765"/>
      <c r="D800" s="763"/>
      <c r="E800" s="764"/>
      <c r="F800" s="793"/>
      <c r="G800" s="763"/>
    </row>
    <row r="801" spans="1:7" s="839" customFormat="1">
      <c r="A801" s="765"/>
      <c r="B801" s="766"/>
      <c r="C801" s="765"/>
      <c r="D801" s="763"/>
      <c r="E801" s="764"/>
      <c r="F801" s="793"/>
      <c r="G801" s="763"/>
    </row>
    <row r="802" spans="1:7" s="839" customFormat="1">
      <c r="A802" s="765"/>
      <c r="B802" s="766"/>
      <c r="C802" s="765"/>
      <c r="D802" s="763"/>
      <c r="E802" s="764"/>
      <c r="F802" s="793"/>
      <c r="G802" s="763"/>
    </row>
    <row r="803" spans="1:7" s="839" customFormat="1">
      <c r="A803" s="765"/>
      <c r="B803" s="766"/>
      <c r="C803" s="765"/>
      <c r="D803" s="763"/>
      <c r="E803" s="764"/>
      <c r="F803" s="793"/>
      <c r="G803" s="763"/>
    </row>
    <row r="804" spans="1:7" s="839" customFormat="1">
      <c r="A804" s="765"/>
      <c r="B804" s="766"/>
      <c r="C804" s="765"/>
      <c r="D804" s="763"/>
      <c r="E804" s="764"/>
      <c r="F804" s="793"/>
      <c r="G804" s="763"/>
    </row>
    <row r="805" spans="1:7" s="839" customFormat="1">
      <c r="A805" s="765"/>
      <c r="B805" s="766"/>
      <c r="C805" s="765"/>
      <c r="D805" s="763"/>
      <c r="E805" s="764"/>
      <c r="F805" s="793"/>
      <c r="G805" s="763"/>
    </row>
    <row r="806" spans="1:7" s="839" customFormat="1">
      <c r="A806" s="765"/>
      <c r="B806" s="766"/>
      <c r="C806" s="765"/>
      <c r="D806" s="763"/>
      <c r="E806" s="764"/>
      <c r="F806" s="793"/>
      <c r="G806" s="763"/>
    </row>
    <row r="807" spans="1:7" s="839" customFormat="1">
      <c r="A807" s="765"/>
      <c r="B807" s="766"/>
      <c r="C807" s="765"/>
      <c r="D807" s="763"/>
      <c r="E807" s="764"/>
      <c r="F807" s="793"/>
      <c r="G807" s="763"/>
    </row>
    <row r="808" spans="1:7" s="839" customFormat="1">
      <c r="A808" s="765"/>
      <c r="B808" s="766"/>
      <c r="C808" s="765"/>
      <c r="D808" s="763"/>
      <c r="E808" s="764"/>
      <c r="F808" s="793"/>
      <c r="G808" s="763"/>
    </row>
    <row r="809" spans="1:7" s="839" customFormat="1">
      <c r="A809" s="765"/>
      <c r="B809" s="766"/>
      <c r="C809" s="765"/>
      <c r="D809" s="763"/>
      <c r="E809" s="764"/>
      <c r="F809" s="793"/>
      <c r="G809" s="763"/>
    </row>
    <row r="810" spans="1:7" s="839" customFormat="1">
      <c r="A810" s="765"/>
      <c r="B810" s="766"/>
      <c r="C810" s="765"/>
      <c r="D810" s="763"/>
      <c r="E810" s="764"/>
      <c r="F810" s="793"/>
      <c r="G810" s="763"/>
    </row>
    <row r="811" spans="1:7" s="839" customFormat="1">
      <c r="A811" s="765"/>
      <c r="B811" s="766"/>
      <c r="C811" s="765"/>
      <c r="D811" s="763"/>
      <c r="E811" s="764"/>
      <c r="F811" s="793"/>
      <c r="G811" s="763"/>
    </row>
    <row r="812" spans="1:7" s="839" customFormat="1">
      <c r="A812" s="765"/>
      <c r="B812" s="766"/>
      <c r="C812" s="765"/>
      <c r="D812" s="763"/>
      <c r="E812" s="764"/>
      <c r="F812" s="793"/>
      <c r="G812" s="763"/>
    </row>
    <row r="813" spans="1:7" s="839" customFormat="1">
      <c r="A813" s="765"/>
      <c r="B813" s="766"/>
      <c r="C813" s="765"/>
      <c r="D813" s="763"/>
      <c r="E813" s="764"/>
      <c r="F813" s="793"/>
      <c r="G813" s="763"/>
    </row>
    <row r="814" spans="1:7" s="839" customFormat="1">
      <c r="A814" s="765"/>
      <c r="B814" s="766"/>
      <c r="C814" s="765"/>
      <c r="D814" s="763"/>
      <c r="E814" s="764"/>
      <c r="F814" s="793"/>
      <c r="G814" s="763"/>
    </row>
    <row r="815" spans="1:7" s="839" customFormat="1">
      <c r="A815" s="765"/>
      <c r="B815" s="766"/>
      <c r="C815" s="765"/>
      <c r="D815" s="763"/>
      <c r="E815" s="764"/>
      <c r="F815" s="793"/>
      <c r="G815" s="763"/>
    </row>
    <row r="816" spans="1:7" s="839" customFormat="1">
      <c r="A816" s="765"/>
      <c r="B816" s="766"/>
      <c r="C816" s="765"/>
      <c r="D816" s="763"/>
      <c r="E816" s="764"/>
      <c r="F816" s="793"/>
      <c r="G816" s="763"/>
    </row>
    <row r="817" spans="1:7" s="839" customFormat="1">
      <c r="A817" s="765"/>
      <c r="B817" s="766"/>
      <c r="C817" s="765"/>
      <c r="D817" s="763"/>
      <c r="E817" s="764"/>
      <c r="F817" s="793"/>
      <c r="G817" s="763"/>
    </row>
    <row r="818" spans="1:7" s="839" customFormat="1">
      <c r="A818" s="765"/>
      <c r="B818" s="766"/>
      <c r="C818" s="765"/>
      <c r="D818" s="763"/>
      <c r="E818" s="764"/>
      <c r="F818" s="793"/>
      <c r="G818" s="763"/>
    </row>
    <row r="819" spans="1:7" s="839" customFormat="1">
      <c r="A819" s="765"/>
      <c r="B819" s="766"/>
      <c r="C819" s="765"/>
      <c r="D819" s="763"/>
      <c r="E819" s="764"/>
      <c r="F819" s="793"/>
      <c r="G819" s="763"/>
    </row>
    <row r="820" spans="1:7" s="839" customFormat="1">
      <c r="A820" s="765"/>
      <c r="B820" s="766"/>
      <c r="C820" s="765"/>
      <c r="D820" s="763"/>
      <c r="E820" s="764"/>
      <c r="F820" s="793"/>
      <c r="G820" s="763"/>
    </row>
    <row r="821" spans="1:7" s="839" customFormat="1">
      <c r="A821" s="765"/>
      <c r="B821" s="766"/>
      <c r="C821" s="765"/>
      <c r="D821" s="763"/>
      <c r="E821" s="764"/>
      <c r="F821" s="793"/>
      <c r="G821" s="763"/>
    </row>
    <row r="822" spans="1:7" s="839" customFormat="1">
      <c r="A822" s="765"/>
      <c r="B822" s="766"/>
      <c r="C822" s="765"/>
      <c r="D822" s="763"/>
      <c r="E822" s="764"/>
      <c r="F822" s="793"/>
      <c r="G822" s="763"/>
    </row>
    <row r="823" spans="1:7" s="839" customFormat="1">
      <c r="A823" s="765"/>
      <c r="B823" s="766"/>
      <c r="C823" s="765"/>
      <c r="D823" s="763"/>
      <c r="E823" s="764"/>
      <c r="F823" s="793"/>
      <c r="G823" s="763"/>
    </row>
    <row r="824" spans="1:7" s="839" customFormat="1">
      <c r="A824" s="765"/>
      <c r="B824" s="766"/>
      <c r="C824" s="765"/>
      <c r="D824" s="763"/>
      <c r="E824" s="764"/>
      <c r="F824" s="793"/>
      <c r="G824" s="763"/>
    </row>
    <row r="825" spans="1:7" s="839" customFormat="1">
      <c r="A825" s="765"/>
      <c r="B825" s="766"/>
      <c r="C825" s="765"/>
      <c r="D825" s="763"/>
      <c r="E825" s="764"/>
      <c r="F825" s="793"/>
      <c r="G825" s="763"/>
    </row>
    <row r="826" spans="1:7" s="839" customFormat="1">
      <c r="A826" s="765"/>
      <c r="B826" s="766"/>
      <c r="C826" s="765"/>
      <c r="D826" s="763"/>
      <c r="E826" s="764"/>
      <c r="F826" s="793"/>
      <c r="G826" s="763"/>
    </row>
    <row r="827" spans="1:7" s="839" customFormat="1">
      <c r="A827" s="765"/>
      <c r="B827" s="766"/>
      <c r="C827" s="765"/>
      <c r="D827" s="763"/>
      <c r="E827" s="764"/>
      <c r="F827" s="793"/>
      <c r="G827" s="763"/>
    </row>
    <row r="828" spans="1:7" s="839" customFormat="1">
      <c r="A828" s="765"/>
      <c r="B828" s="766"/>
      <c r="C828" s="765"/>
      <c r="D828" s="763"/>
      <c r="E828" s="764"/>
      <c r="F828" s="793"/>
      <c r="G828" s="763"/>
    </row>
    <row r="829" spans="1:7" s="839" customFormat="1">
      <c r="A829" s="765"/>
      <c r="B829" s="766"/>
      <c r="C829" s="765"/>
      <c r="D829" s="763"/>
      <c r="E829" s="764"/>
      <c r="F829" s="793"/>
      <c r="G829" s="763"/>
    </row>
    <row r="830" spans="1:7" s="839" customFormat="1">
      <c r="A830" s="765"/>
      <c r="B830" s="766"/>
      <c r="C830" s="765"/>
      <c r="D830" s="763"/>
      <c r="E830" s="764"/>
      <c r="F830" s="793"/>
      <c r="G830" s="763"/>
    </row>
    <row r="831" spans="1:7" s="839" customFormat="1">
      <c r="A831" s="765"/>
      <c r="B831" s="766"/>
      <c r="C831" s="765"/>
      <c r="D831" s="763"/>
      <c r="E831" s="764"/>
      <c r="F831" s="793"/>
      <c r="G831" s="763"/>
    </row>
    <row r="832" spans="1:7" s="839" customFormat="1">
      <c r="A832" s="765"/>
      <c r="B832" s="766"/>
      <c r="C832" s="765"/>
      <c r="D832" s="763"/>
      <c r="E832" s="764"/>
      <c r="F832" s="793"/>
      <c r="G832" s="763"/>
    </row>
    <row r="833" spans="1:7" s="839" customFormat="1">
      <c r="A833" s="765"/>
      <c r="B833" s="766"/>
      <c r="C833" s="765"/>
      <c r="D833" s="763"/>
      <c r="E833" s="764"/>
      <c r="F833" s="793"/>
      <c r="G833" s="763"/>
    </row>
    <row r="834" spans="1:7" s="839" customFormat="1">
      <c r="A834" s="765"/>
      <c r="B834" s="766"/>
      <c r="C834" s="765"/>
      <c r="D834" s="763"/>
      <c r="E834" s="764"/>
      <c r="F834" s="793"/>
      <c r="G834" s="763"/>
    </row>
    <row r="835" spans="1:7" s="839" customFormat="1">
      <c r="A835" s="765"/>
      <c r="B835" s="766"/>
      <c r="C835" s="765"/>
      <c r="D835" s="763"/>
      <c r="E835" s="764"/>
      <c r="F835" s="793"/>
      <c r="G835" s="763"/>
    </row>
    <row r="836" spans="1:7" s="839" customFormat="1">
      <c r="A836" s="765"/>
      <c r="B836" s="766"/>
      <c r="C836" s="765"/>
      <c r="D836" s="763"/>
      <c r="E836" s="764"/>
      <c r="F836" s="793"/>
      <c r="G836" s="763"/>
    </row>
    <row r="837" spans="1:7" s="839" customFormat="1">
      <c r="A837" s="765"/>
      <c r="B837" s="766"/>
      <c r="C837" s="765"/>
      <c r="D837" s="763"/>
      <c r="E837" s="764"/>
      <c r="F837" s="793"/>
      <c r="G837" s="763"/>
    </row>
    <row r="838" spans="1:7" s="839" customFormat="1">
      <c r="A838" s="765"/>
      <c r="B838" s="766"/>
      <c r="C838" s="765"/>
      <c r="D838" s="763"/>
      <c r="E838" s="764"/>
      <c r="F838" s="793"/>
      <c r="G838" s="763"/>
    </row>
    <row r="839" spans="1:7" s="839" customFormat="1">
      <c r="A839" s="765"/>
      <c r="B839" s="766"/>
      <c r="C839" s="765"/>
      <c r="D839" s="763"/>
      <c r="E839" s="764"/>
      <c r="F839" s="793"/>
      <c r="G839" s="763"/>
    </row>
    <row r="840" spans="1:7" s="839" customFormat="1">
      <c r="A840" s="765"/>
      <c r="B840" s="766"/>
      <c r="C840" s="765"/>
      <c r="D840" s="763"/>
      <c r="E840" s="764"/>
      <c r="F840" s="793"/>
      <c r="G840" s="763"/>
    </row>
    <row r="841" spans="1:7" s="839" customFormat="1">
      <c r="A841" s="765"/>
      <c r="B841" s="766"/>
      <c r="C841" s="765"/>
      <c r="D841" s="763"/>
      <c r="E841" s="764"/>
      <c r="F841" s="793"/>
      <c r="G841" s="763"/>
    </row>
    <row r="842" spans="1:7" s="839" customFormat="1">
      <c r="A842" s="765"/>
      <c r="B842" s="766"/>
      <c r="C842" s="765"/>
      <c r="D842" s="763"/>
      <c r="E842" s="764"/>
      <c r="F842" s="793"/>
      <c r="G842" s="763"/>
    </row>
    <row r="843" spans="1:7" s="839" customFormat="1">
      <c r="A843" s="765"/>
      <c r="B843" s="766"/>
      <c r="C843" s="765"/>
      <c r="D843" s="763"/>
      <c r="E843" s="764"/>
      <c r="F843" s="793"/>
      <c r="G843" s="763"/>
    </row>
    <row r="844" spans="1:7" s="839" customFormat="1">
      <c r="A844" s="765"/>
      <c r="B844" s="766"/>
      <c r="C844" s="765"/>
      <c r="D844" s="763"/>
      <c r="E844" s="764"/>
      <c r="F844" s="793"/>
      <c r="G844" s="763"/>
    </row>
    <row r="845" spans="1:7" s="839" customFormat="1">
      <c r="A845" s="765"/>
      <c r="B845" s="766"/>
      <c r="C845" s="765"/>
      <c r="D845" s="763"/>
      <c r="E845" s="764"/>
      <c r="F845" s="793"/>
      <c r="G845" s="763"/>
    </row>
    <row r="846" spans="1:7" s="839" customFormat="1">
      <c r="A846" s="765"/>
      <c r="B846" s="766"/>
      <c r="C846" s="765"/>
      <c r="D846" s="763"/>
      <c r="E846" s="764"/>
      <c r="F846" s="793"/>
      <c r="G846" s="763"/>
    </row>
    <row r="847" spans="1:7" s="839" customFormat="1">
      <c r="A847" s="765"/>
      <c r="B847" s="766"/>
      <c r="C847" s="765"/>
      <c r="D847" s="763"/>
      <c r="E847" s="764"/>
      <c r="F847" s="793"/>
      <c r="G847" s="763"/>
    </row>
    <row r="848" spans="1:7" s="839" customFormat="1">
      <c r="A848" s="765"/>
      <c r="B848" s="766"/>
      <c r="C848" s="765"/>
      <c r="D848" s="763"/>
      <c r="E848" s="764"/>
      <c r="F848" s="793"/>
      <c r="G848" s="763"/>
    </row>
    <row r="849" spans="1:7" s="839" customFormat="1">
      <c r="A849" s="765"/>
      <c r="B849" s="766"/>
      <c r="C849" s="765"/>
      <c r="D849" s="763"/>
      <c r="E849" s="764"/>
      <c r="F849" s="793"/>
      <c r="G849" s="763"/>
    </row>
    <row r="850" spans="1:7" s="839" customFormat="1">
      <c r="A850" s="765"/>
      <c r="B850" s="766"/>
      <c r="C850" s="765"/>
      <c r="D850" s="763"/>
      <c r="E850" s="764"/>
      <c r="F850" s="793"/>
      <c r="G850" s="763"/>
    </row>
    <row r="851" spans="1:7" s="839" customFormat="1">
      <c r="A851" s="765"/>
      <c r="B851" s="766"/>
      <c r="C851" s="765"/>
      <c r="D851" s="763"/>
      <c r="E851" s="764"/>
      <c r="F851" s="793"/>
      <c r="G851" s="763"/>
    </row>
    <row r="852" spans="1:7" s="839" customFormat="1">
      <c r="A852" s="765"/>
      <c r="B852" s="766"/>
      <c r="C852" s="765"/>
      <c r="D852" s="763"/>
      <c r="E852" s="764"/>
      <c r="F852" s="793"/>
      <c r="G852" s="763"/>
    </row>
    <row r="853" spans="1:7" s="839" customFormat="1">
      <c r="A853" s="765"/>
      <c r="B853" s="766"/>
      <c r="C853" s="765"/>
      <c r="D853" s="763"/>
      <c r="E853" s="764"/>
      <c r="F853" s="793"/>
      <c r="G853" s="763"/>
    </row>
    <row r="854" spans="1:7" s="839" customFormat="1">
      <c r="A854" s="765"/>
      <c r="B854" s="766"/>
      <c r="C854" s="765"/>
      <c r="D854" s="763"/>
      <c r="E854" s="764"/>
      <c r="F854" s="793"/>
      <c r="G854" s="763"/>
    </row>
    <row r="855" spans="1:7" s="839" customFormat="1">
      <c r="A855" s="765"/>
      <c r="B855" s="766"/>
      <c r="C855" s="765"/>
      <c r="D855" s="763"/>
      <c r="E855" s="764"/>
      <c r="F855" s="793"/>
      <c r="G855" s="763"/>
    </row>
    <row r="856" spans="1:7" s="839" customFormat="1">
      <c r="A856" s="765"/>
      <c r="B856" s="766"/>
      <c r="C856" s="765"/>
      <c r="D856" s="763"/>
      <c r="E856" s="764"/>
      <c r="F856" s="793"/>
      <c r="G856" s="763"/>
    </row>
    <row r="857" spans="1:7" s="839" customFormat="1">
      <c r="A857" s="765"/>
      <c r="B857" s="766"/>
      <c r="C857" s="765"/>
      <c r="D857" s="763"/>
      <c r="E857" s="764"/>
      <c r="F857" s="793"/>
      <c r="G857" s="763"/>
    </row>
    <row r="858" spans="1:7" s="839" customFormat="1">
      <c r="A858" s="765"/>
      <c r="B858" s="766"/>
      <c r="C858" s="765"/>
      <c r="D858" s="763"/>
      <c r="E858" s="764"/>
      <c r="F858" s="793"/>
      <c r="G858" s="763"/>
    </row>
    <row r="859" spans="1:7" s="839" customFormat="1">
      <c r="A859" s="765"/>
      <c r="B859" s="766"/>
      <c r="C859" s="765"/>
      <c r="D859" s="763"/>
      <c r="E859" s="764"/>
      <c r="F859" s="793"/>
      <c r="G859" s="763"/>
    </row>
    <row r="860" spans="1:7" s="839" customFormat="1">
      <c r="A860" s="765"/>
      <c r="B860" s="766"/>
      <c r="C860" s="765"/>
      <c r="D860" s="763"/>
      <c r="E860" s="764"/>
      <c r="F860" s="793"/>
      <c r="G860" s="763"/>
    </row>
    <row r="861" spans="1:7" s="839" customFormat="1">
      <c r="A861" s="765"/>
      <c r="B861" s="766"/>
      <c r="C861" s="765"/>
      <c r="D861" s="763"/>
      <c r="E861" s="764"/>
      <c r="F861" s="793"/>
      <c r="G861" s="763"/>
    </row>
    <row r="862" spans="1:7" s="839" customFormat="1">
      <c r="A862" s="765"/>
      <c r="B862" s="766"/>
      <c r="C862" s="765"/>
      <c r="D862" s="763"/>
      <c r="E862" s="764"/>
      <c r="F862" s="793"/>
      <c r="G862" s="763"/>
    </row>
    <row r="863" spans="1:7" s="839" customFormat="1">
      <c r="A863" s="765"/>
      <c r="B863" s="766"/>
      <c r="C863" s="765"/>
      <c r="D863" s="763"/>
      <c r="E863" s="764"/>
      <c r="F863" s="793"/>
      <c r="G863" s="763"/>
    </row>
    <row r="864" spans="1:7" s="839" customFormat="1">
      <c r="A864" s="765"/>
      <c r="B864" s="766"/>
      <c r="C864" s="765"/>
      <c r="D864" s="763"/>
      <c r="E864" s="764"/>
      <c r="F864" s="793"/>
      <c r="G864" s="763"/>
    </row>
    <row r="865" spans="1:7" s="839" customFormat="1">
      <c r="A865" s="765"/>
      <c r="B865" s="766"/>
      <c r="C865" s="765"/>
      <c r="D865" s="763"/>
      <c r="E865" s="764"/>
      <c r="F865" s="793"/>
      <c r="G865" s="763"/>
    </row>
    <row r="866" spans="1:7" s="839" customFormat="1">
      <c r="A866" s="765"/>
      <c r="B866" s="766"/>
      <c r="C866" s="765"/>
      <c r="D866" s="763"/>
      <c r="E866" s="764"/>
      <c r="F866" s="793"/>
      <c r="G866" s="763"/>
    </row>
    <row r="867" spans="1:7" s="839" customFormat="1">
      <c r="A867" s="765"/>
      <c r="B867" s="766"/>
      <c r="C867" s="765"/>
      <c r="D867" s="763"/>
      <c r="E867" s="764"/>
      <c r="F867" s="793"/>
      <c r="G867" s="763"/>
    </row>
    <row r="868" spans="1:7" s="839" customFormat="1">
      <c r="A868" s="765"/>
      <c r="B868" s="766"/>
      <c r="C868" s="765"/>
      <c r="D868" s="763"/>
      <c r="E868" s="764"/>
      <c r="F868" s="793"/>
      <c r="G868" s="763"/>
    </row>
    <row r="869" spans="1:7" s="839" customFormat="1">
      <c r="A869" s="765"/>
      <c r="B869" s="766"/>
      <c r="C869" s="765"/>
      <c r="D869" s="763"/>
      <c r="E869" s="764"/>
      <c r="F869" s="793"/>
      <c r="G869" s="763"/>
    </row>
    <row r="870" spans="1:7" s="839" customFormat="1">
      <c r="A870" s="765"/>
      <c r="B870" s="766"/>
      <c r="C870" s="765"/>
      <c r="D870" s="763"/>
      <c r="E870" s="764"/>
      <c r="F870" s="793"/>
      <c r="G870" s="763"/>
    </row>
    <row r="871" spans="1:7" s="839" customFormat="1">
      <c r="A871" s="765"/>
      <c r="B871" s="766"/>
      <c r="C871" s="765"/>
      <c r="D871" s="763"/>
      <c r="E871" s="764"/>
      <c r="F871" s="793"/>
      <c r="G871" s="763"/>
    </row>
    <row r="872" spans="1:7" s="839" customFormat="1">
      <c r="A872" s="765"/>
      <c r="B872" s="766"/>
      <c r="C872" s="765"/>
      <c r="D872" s="763"/>
      <c r="E872" s="764"/>
      <c r="F872" s="793"/>
      <c r="G872" s="763"/>
    </row>
    <row r="873" spans="1:7" s="839" customFormat="1">
      <c r="A873" s="765"/>
      <c r="B873" s="766"/>
      <c r="C873" s="765"/>
      <c r="D873" s="763"/>
      <c r="E873" s="764"/>
      <c r="F873" s="793"/>
      <c r="G873" s="763"/>
    </row>
    <row r="874" spans="1:7" s="839" customFormat="1">
      <c r="A874" s="765"/>
      <c r="B874" s="766"/>
      <c r="C874" s="765"/>
      <c r="D874" s="763"/>
      <c r="E874" s="764"/>
      <c r="F874" s="793"/>
      <c r="G874" s="763"/>
    </row>
    <row r="875" spans="1:7" s="839" customFormat="1">
      <c r="A875" s="765"/>
      <c r="B875" s="766"/>
      <c r="C875" s="765"/>
      <c r="D875" s="763"/>
      <c r="E875" s="764"/>
      <c r="F875" s="793"/>
      <c r="G875" s="763"/>
    </row>
    <row r="876" spans="1:7" s="839" customFormat="1">
      <c r="A876" s="765"/>
      <c r="B876" s="766"/>
      <c r="C876" s="765"/>
      <c r="D876" s="763"/>
      <c r="E876" s="764"/>
      <c r="F876" s="793"/>
      <c r="G876" s="763"/>
    </row>
    <row r="877" spans="1:7" s="839" customFormat="1">
      <c r="A877" s="765"/>
      <c r="B877" s="766"/>
      <c r="C877" s="765"/>
      <c r="D877" s="763"/>
      <c r="E877" s="764"/>
      <c r="F877" s="793"/>
      <c r="G877" s="763"/>
    </row>
    <row r="878" spans="1:7" s="839" customFormat="1">
      <c r="A878" s="765"/>
      <c r="B878" s="766"/>
      <c r="C878" s="765"/>
      <c r="D878" s="763"/>
      <c r="E878" s="764"/>
      <c r="F878" s="793"/>
      <c r="G878" s="763"/>
    </row>
    <row r="879" spans="1:7" s="839" customFormat="1">
      <c r="A879" s="765"/>
      <c r="B879" s="766"/>
      <c r="C879" s="765"/>
      <c r="D879" s="763"/>
      <c r="E879" s="764"/>
      <c r="F879" s="793"/>
      <c r="G879" s="763"/>
    </row>
    <row r="880" spans="1:7" s="839" customFormat="1">
      <c r="A880" s="765"/>
      <c r="B880" s="766"/>
      <c r="C880" s="765"/>
      <c r="D880" s="763"/>
      <c r="E880" s="764"/>
      <c r="F880" s="793"/>
      <c r="G880" s="763"/>
    </row>
    <row r="881" spans="1:7" s="839" customFormat="1">
      <c r="A881" s="765"/>
      <c r="B881" s="766"/>
      <c r="C881" s="765"/>
      <c r="D881" s="763"/>
      <c r="E881" s="764"/>
      <c r="F881" s="793"/>
      <c r="G881" s="763"/>
    </row>
    <row r="882" spans="1:7" s="839" customFormat="1">
      <c r="A882" s="765"/>
      <c r="B882" s="766"/>
      <c r="C882" s="765"/>
      <c r="D882" s="763"/>
      <c r="E882" s="764"/>
      <c r="F882" s="793"/>
      <c r="G882" s="763"/>
    </row>
    <row r="883" spans="1:7" s="839" customFormat="1">
      <c r="A883" s="765"/>
      <c r="B883" s="766"/>
      <c r="C883" s="765"/>
      <c r="D883" s="763"/>
      <c r="E883" s="764"/>
      <c r="F883" s="793"/>
      <c r="G883" s="763"/>
    </row>
    <row r="884" spans="1:7" s="839" customFormat="1">
      <c r="A884" s="765"/>
      <c r="B884" s="766"/>
      <c r="C884" s="765"/>
      <c r="D884" s="763"/>
      <c r="E884" s="764"/>
      <c r="F884" s="793"/>
      <c r="G884" s="763"/>
    </row>
    <row r="885" spans="1:7" s="839" customFormat="1">
      <c r="A885" s="765"/>
      <c r="B885" s="766"/>
      <c r="C885" s="765"/>
      <c r="D885" s="763"/>
      <c r="E885" s="764"/>
      <c r="F885" s="793"/>
      <c r="G885" s="763"/>
    </row>
    <row r="886" spans="1:7" s="839" customFormat="1">
      <c r="A886" s="765"/>
      <c r="B886" s="766"/>
      <c r="C886" s="765"/>
      <c r="D886" s="763"/>
      <c r="E886" s="764"/>
      <c r="F886" s="793"/>
      <c r="G886" s="763"/>
    </row>
    <row r="887" spans="1:7" s="839" customFormat="1">
      <c r="A887" s="765"/>
      <c r="B887" s="766"/>
      <c r="C887" s="765"/>
      <c r="D887" s="763"/>
      <c r="E887" s="764"/>
      <c r="F887" s="793"/>
      <c r="G887" s="763"/>
    </row>
    <row r="888" spans="1:7" s="839" customFormat="1">
      <c r="A888" s="765"/>
      <c r="B888" s="766"/>
      <c r="C888" s="765"/>
      <c r="D888" s="763"/>
      <c r="E888" s="764"/>
      <c r="F888" s="793"/>
      <c r="G888" s="763"/>
    </row>
    <row r="889" spans="1:7" s="839" customFormat="1">
      <c r="A889" s="765"/>
      <c r="B889" s="766"/>
      <c r="C889" s="765"/>
      <c r="D889" s="763"/>
      <c r="E889" s="764"/>
      <c r="F889" s="793"/>
      <c r="G889" s="763"/>
    </row>
    <row r="890" spans="1:7" s="839" customFormat="1">
      <c r="A890" s="765"/>
      <c r="B890" s="766"/>
      <c r="C890" s="765"/>
      <c r="D890" s="763"/>
      <c r="E890" s="764"/>
      <c r="F890" s="793"/>
      <c r="G890" s="763"/>
    </row>
    <row r="891" spans="1:7" s="839" customFormat="1">
      <c r="A891" s="765"/>
      <c r="B891" s="766"/>
      <c r="C891" s="765"/>
      <c r="D891" s="763"/>
      <c r="E891" s="764"/>
      <c r="F891" s="793"/>
      <c r="G891" s="763"/>
    </row>
    <row r="892" spans="1:7" s="839" customFormat="1">
      <c r="A892" s="765"/>
      <c r="B892" s="766"/>
      <c r="C892" s="765"/>
      <c r="D892" s="763"/>
      <c r="E892" s="764"/>
      <c r="F892" s="793"/>
      <c r="G892" s="763"/>
    </row>
    <row r="893" spans="1:7" s="839" customFormat="1">
      <c r="A893" s="765"/>
      <c r="B893" s="766"/>
      <c r="C893" s="765"/>
      <c r="D893" s="763"/>
      <c r="E893" s="764"/>
      <c r="F893" s="793"/>
      <c r="G893" s="763"/>
    </row>
    <row r="894" spans="1:7" s="839" customFormat="1">
      <c r="A894" s="765"/>
      <c r="B894" s="766"/>
      <c r="C894" s="765"/>
      <c r="D894" s="763"/>
      <c r="E894" s="764"/>
      <c r="F894" s="793"/>
      <c r="G894" s="763"/>
    </row>
    <row r="895" spans="1:7" s="839" customFormat="1">
      <c r="A895" s="765"/>
      <c r="B895" s="766"/>
      <c r="C895" s="765"/>
      <c r="D895" s="763"/>
      <c r="E895" s="764"/>
      <c r="F895" s="793"/>
      <c r="G895" s="763"/>
    </row>
    <row r="896" spans="1:7" s="839" customFormat="1">
      <c r="A896" s="765"/>
      <c r="B896" s="766"/>
      <c r="C896" s="765"/>
      <c r="D896" s="763"/>
      <c r="E896" s="764"/>
      <c r="F896" s="793"/>
      <c r="G896" s="763"/>
    </row>
    <row r="897" spans="1:7" s="839" customFormat="1">
      <c r="A897" s="765"/>
      <c r="B897" s="766"/>
      <c r="C897" s="765"/>
      <c r="D897" s="763"/>
      <c r="E897" s="764"/>
      <c r="F897" s="793"/>
      <c r="G897" s="763"/>
    </row>
    <row r="898" spans="1:7" s="839" customFormat="1">
      <c r="A898" s="765"/>
      <c r="B898" s="766"/>
      <c r="C898" s="765"/>
      <c r="D898" s="763"/>
      <c r="E898" s="764"/>
      <c r="F898" s="793"/>
      <c r="G898" s="763"/>
    </row>
    <row r="899" spans="1:7" s="839" customFormat="1">
      <c r="A899" s="765"/>
      <c r="B899" s="766"/>
      <c r="C899" s="765"/>
      <c r="D899" s="763"/>
      <c r="E899" s="764"/>
      <c r="F899" s="793"/>
      <c r="G899" s="763"/>
    </row>
    <row r="900" spans="1:7" s="839" customFormat="1">
      <c r="A900" s="765"/>
      <c r="B900" s="766"/>
      <c r="C900" s="765"/>
      <c r="D900" s="763"/>
      <c r="E900" s="764"/>
      <c r="F900" s="793"/>
      <c r="G900" s="763"/>
    </row>
    <row r="901" spans="1:7" s="839" customFormat="1">
      <c r="A901" s="765"/>
      <c r="B901" s="766"/>
      <c r="C901" s="765"/>
      <c r="D901" s="763"/>
      <c r="E901" s="764"/>
      <c r="F901" s="793"/>
      <c r="G901" s="763"/>
    </row>
    <row r="902" spans="1:7" s="839" customFormat="1">
      <c r="A902" s="765"/>
      <c r="B902" s="766"/>
      <c r="C902" s="765"/>
      <c r="D902" s="763"/>
      <c r="E902" s="764"/>
      <c r="F902" s="793"/>
      <c r="G902" s="763"/>
    </row>
    <row r="903" spans="1:7" s="839" customFormat="1">
      <c r="A903" s="765"/>
      <c r="B903" s="766"/>
      <c r="C903" s="765"/>
      <c r="D903" s="763"/>
      <c r="E903" s="764"/>
      <c r="F903" s="793"/>
      <c r="G903" s="763"/>
    </row>
    <row r="904" spans="1:7" s="839" customFormat="1">
      <c r="A904" s="765"/>
      <c r="B904" s="766"/>
      <c r="C904" s="765"/>
      <c r="D904" s="763"/>
      <c r="E904" s="764"/>
      <c r="F904" s="793"/>
      <c r="G904" s="763"/>
    </row>
    <row r="905" spans="1:7" s="839" customFormat="1">
      <c r="A905" s="765"/>
      <c r="B905" s="766"/>
      <c r="C905" s="765"/>
      <c r="D905" s="763"/>
      <c r="E905" s="764"/>
      <c r="F905" s="793"/>
      <c r="G905" s="763"/>
    </row>
    <row r="906" spans="1:7" s="839" customFormat="1">
      <c r="A906" s="765"/>
      <c r="B906" s="766"/>
      <c r="C906" s="765"/>
      <c r="D906" s="763"/>
      <c r="E906" s="764"/>
      <c r="F906" s="793"/>
      <c r="G906" s="763"/>
    </row>
    <row r="907" spans="1:7" s="839" customFormat="1">
      <c r="A907" s="765"/>
      <c r="B907" s="766"/>
      <c r="C907" s="765"/>
      <c r="D907" s="763"/>
      <c r="E907" s="764"/>
      <c r="F907" s="793"/>
      <c r="G907" s="763"/>
    </row>
    <row r="908" spans="1:7" s="839" customFormat="1">
      <c r="A908" s="765"/>
      <c r="B908" s="766"/>
      <c r="C908" s="765"/>
      <c r="D908" s="763"/>
      <c r="E908" s="764"/>
      <c r="F908" s="793"/>
      <c r="G908" s="763"/>
    </row>
    <row r="909" spans="1:7" s="839" customFormat="1">
      <c r="A909" s="765"/>
      <c r="B909" s="766"/>
      <c r="C909" s="765"/>
      <c r="D909" s="763"/>
      <c r="E909" s="764"/>
      <c r="F909" s="793"/>
      <c r="G909" s="763"/>
    </row>
    <row r="910" spans="1:7" s="839" customFormat="1">
      <c r="A910" s="765"/>
      <c r="B910" s="766"/>
      <c r="C910" s="765"/>
      <c r="D910" s="763"/>
      <c r="E910" s="764"/>
      <c r="F910" s="793"/>
      <c r="G910" s="763"/>
    </row>
    <row r="911" spans="1:7" s="839" customFormat="1">
      <c r="A911" s="765"/>
      <c r="B911" s="766"/>
      <c r="C911" s="765"/>
      <c r="D911" s="763"/>
      <c r="E911" s="764"/>
      <c r="F911" s="793"/>
      <c r="G911" s="763"/>
    </row>
    <row r="912" spans="1:7" s="839" customFormat="1">
      <c r="A912" s="765"/>
      <c r="B912" s="766"/>
      <c r="C912" s="765"/>
      <c r="D912" s="763"/>
      <c r="E912" s="764"/>
      <c r="F912" s="793"/>
      <c r="G912" s="763"/>
    </row>
    <row r="913" spans="1:7" s="839" customFormat="1">
      <c r="A913" s="765"/>
      <c r="B913" s="766"/>
      <c r="C913" s="765"/>
      <c r="D913" s="763"/>
      <c r="E913" s="764"/>
      <c r="F913" s="793"/>
      <c r="G913" s="763"/>
    </row>
    <row r="914" spans="1:7" s="839" customFormat="1">
      <c r="A914" s="765"/>
      <c r="B914" s="766"/>
      <c r="C914" s="765"/>
      <c r="D914" s="763"/>
      <c r="E914" s="764"/>
      <c r="F914" s="793"/>
      <c r="G914" s="763"/>
    </row>
    <row r="915" spans="1:7" s="839" customFormat="1">
      <c r="A915" s="765"/>
      <c r="B915" s="766"/>
      <c r="C915" s="765"/>
      <c r="D915" s="763"/>
      <c r="E915" s="764"/>
      <c r="F915" s="793"/>
      <c r="G915" s="763"/>
    </row>
    <row r="916" spans="1:7" s="839" customFormat="1">
      <c r="A916" s="765"/>
      <c r="B916" s="766"/>
      <c r="C916" s="765"/>
      <c r="D916" s="763"/>
      <c r="E916" s="764"/>
      <c r="F916" s="793"/>
      <c r="G916" s="763"/>
    </row>
    <row r="917" spans="1:7" s="839" customFormat="1">
      <c r="A917" s="765"/>
      <c r="B917" s="766"/>
      <c r="C917" s="765"/>
      <c r="D917" s="763"/>
      <c r="E917" s="764"/>
      <c r="F917" s="793"/>
      <c r="G917" s="763"/>
    </row>
    <row r="918" spans="1:7" s="839" customFormat="1">
      <c r="A918" s="765"/>
      <c r="B918" s="766"/>
      <c r="C918" s="765"/>
      <c r="D918" s="763"/>
      <c r="E918" s="764"/>
      <c r="F918" s="793"/>
      <c r="G918" s="763"/>
    </row>
    <row r="919" spans="1:7" s="839" customFormat="1">
      <c r="A919" s="765"/>
      <c r="B919" s="766"/>
      <c r="C919" s="765"/>
      <c r="D919" s="763"/>
      <c r="E919" s="764"/>
      <c r="F919" s="793"/>
      <c r="G919" s="763"/>
    </row>
    <row r="920" spans="1:7" s="839" customFormat="1">
      <c r="A920" s="765"/>
      <c r="B920" s="766"/>
      <c r="C920" s="765"/>
      <c r="D920" s="763"/>
      <c r="E920" s="764"/>
      <c r="F920" s="793"/>
      <c r="G920" s="763"/>
    </row>
    <row r="921" spans="1:7" s="839" customFormat="1">
      <c r="A921" s="765"/>
      <c r="B921" s="766"/>
      <c r="C921" s="765"/>
      <c r="D921" s="763"/>
      <c r="E921" s="764"/>
      <c r="F921" s="793"/>
      <c r="G921" s="763"/>
    </row>
    <row r="922" spans="1:7" s="839" customFormat="1">
      <c r="A922" s="765"/>
      <c r="B922" s="766"/>
      <c r="C922" s="765"/>
      <c r="D922" s="763"/>
      <c r="E922" s="764"/>
      <c r="F922" s="793"/>
      <c r="G922" s="763"/>
    </row>
    <row r="923" spans="1:7" s="839" customFormat="1">
      <c r="A923" s="765"/>
      <c r="B923" s="766"/>
      <c r="C923" s="765"/>
      <c r="D923" s="763"/>
      <c r="E923" s="764"/>
      <c r="F923" s="793"/>
      <c r="G923" s="763"/>
    </row>
    <row r="924" spans="1:7" s="839" customFormat="1">
      <c r="A924" s="765"/>
      <c r="B924" s="766"/>
      <c r="C924" s="765"/>
      <c r="D924" s="763"/>
      <c r="E924" s="764"/>
      <c r="F924" s="793"/>
      <c r="G924" s="763"/>
    </row>
    <row r="925" spans="1:7" s="839" customFormat="1">
      <c r="A925" s="765"/>
      <c r="B925" s="766"/>
      <c r="C925" s="765"/>
      <c r="D925" s="763"/>
      <c r="E925" s="764"/>
      <c r="F925" s="793"/>
      <c r="G925" s="763"/>
    </row>
    <row r="926" spans="1:7" s="839" customFormat="1">
      <c r="A926" s="765"/>
      <c r="B926" s="766"/>
      <c r="C926" s="765"/>
      <c r="D926" s="763"/>
      <c r="E926" s="764"/>
      <c r="F926" s="793"/>
      <c r="G926" s="763"/>
    </row>
    <row r="927" spans="1:7" s="839" customFormat="1">
      <c r="A927" s="765"/>
      <c r="B927" s="766"/>
      <c r="C927" s="765"/>
      <c r="D927" s="763"/>
      <c r="E927" s="764"/>
      <c r="F927" s="793"/>
      <c r="G927" s="763"/>
    </row>
    <row r="928" spans="1:7" s="839" customFormat="1">
      <c r="A928" s="765"/>
      <c r="B928" s="766"/>
      <c r="C928" s="765"/>
      <c r="D928" s="763"/>
      <c r="E928" s="764"/>
      <c r="F928" s="793"/>
      <c r="G928" s="763"/>
    </row>
    <row r="929" spans="1:7" s="839" customFormat="1">
      <c r="A929" s="765"/>
      <c r="B929" s="766"/>
      <c r="C929" s="765"/>
      <c r="D929" s="763"/>
      <c r="E929" s="764"/>
      <c r="F929" s="793"/>
      <c r="G929" s="763"/>
    </row>
    <row r="930" spans="1:7" s="839" customFormat="1">
      <c r="A930" s="765"/>
      <c r="B930" s="766"/>
      <c r="C930" s="765"/>
      <c r="D930" s="763"/>
      <c r="E930" s="764"/>
      <c r="F930" s="793"/>
      <c r="G930" s="763"/>
    </row>
    <row r="931" spans="1:7" s="839" customFormat="1">
      <c r="A931" s="765"/>
      <c r="B931" s="766"/>
      <c r="C931" s="765"/>
      <c r="D931" s="763"/>
      <c r="E931" s="764"/>
      <c r="F931" s="793"/>
      <c r="G931" s="763"/>
    </row>
    <row r="932" spans="1:7" s="839" customFormat="1">
      <c r="A932" s="765"/>
      <c r="B932" s="766"/>
      <c r="C932" s="765"/>
      <c r="D932" s="763"/>
      <c r="E932" s="764"/>
      <c r="F932" s="793"/>
      <c r="G932" s="763"/>
    </row>
    <row r="933" spans="1:7" s="839" customFormat="1">
      <c r="A933" s="765"/>
      <c r="B933" s="766"/>
      <c r="C933" s="765"/>
      <c r="D933" s="763"/>
      <c r="E933" s="764"/>
      <c r="F933" s="793"/>
      <c r="G933" s="763"/>
    </row>
    <row r="934" spans="1:7" s="839" customFormat="1">
      <c r="A934" s="765"/>
      <c r="B934" s="766"/>
      <c r="C934" s="765"/>
      <c r="D934" s="763"/>
      <c r="E934" s="764"/>
      <c r="F934" s="793"/>
      <c r="G934" s="763"/>
    </row>
    <row r="935" spans="1:7" s="839" customFormat="1">
      <c r="A935" s="765"/>
      <c r="B935" s="766"/>
      <c r="C935" s="765"/>
      <c r="D935" s="763"/>
      <c r="E935" s="764"/>
      <c r="F935" s="793"/>
      <c r="G935" s="763"/>
    </row>
    <row r="936" spans="1:7" s="839" customFormat="1">
      <c r="A936" s="765"/>
      <c r="B936" s="766"/>
      <c r="C936" s="765"/>
      <c r="D936" s="763"/>
      <c r="E936" s="764"/>
      <c r="F936" s="793"/>
      <c r="G936" s="763"/>
    </row>
    <row r="937" spans="1:7" s="839" customFormat="1">
      <c r="A937" s="765"/>
      <c r="B937" s="766"/>
      <c r="C937" s="765"/>
      <c r="D937" s="763"/>
      <c r="E937" s="764"/>
      <c r="F937" s="793"/>
      <c r="G937" s="763"/>
    </row>
    <row r="938" spans="1:7" s="839" customFormat="1">
      <c r="A938" s="765"/>
      <c r="B938" s="766"/>
      <c r="C938" s="765"/>
      <c r="D938" s="763"/>
      <c r="E938" s="764"/>
      <c r="F938" s="793"/>
      <c r="G938" s="763"/>
    </row>
    <row r="939" spans="1:7" s="839" customFormat="1">
      <c r="A939" s="765"/>
      <c r="B939" s="766"/>
      <c r="C939" s="765"/>
      <c r="D939" s="763"/>
      <c r="E939" s="764"/>
      <c r="F939" s="793"/>
      <c r="G939" s="763"/>
    </row>
    <row r="940" spans="1:7" s="839" customFormat="1">
      <c r="A940" s="765"/>
      <c r="B940" s="766"/>
      <c r="C940" s="765"/>
      <c r="D940" s="763"/>
      <c r="E940" s="764"/>
      <c r="F940" s="793"/>
      <c r="G940" s="763"/>
    </row>
    <row r="941" spans="1:7" s="839" customFormat="1">
      <c r="A941" s="765"/>
      <c r="B941" s="766"/>
      <c r="C941" s="765"/>
      <c r="D941" s="763"/>
      <c r="E941" s="764"/>
      <c r="F941" s="793"/>
      <c r="G941" s="763"/>
    </row>
    <row r="942" spans="1:7" s="839" customFormat="1">
      <c r="A942" s="765"/>
      <c r="B942" s="766"/>
      <c r="C942" s="765"/>
      <c r="D942" s="763"/>
      <c r="E942" s="764"/>
      <c r="F942" s="793"/>
      <c r="G942" s="763"/>
    </row>
    <row r="943" spans="1:7" s="839" customFormat="1">
      <c r="A943" s="765"/>
      <c r="B943" s="766"/>
      <c r="C943" s="765"/>
      <c r="D943" s="763"/>
      <c r="E943" s="764"/>
      <c r="F943" s="793"/>
      <c r="G943" s="763"/>
    </row>
    <row r="944" spans="1:7" s="839" customFormat="1">
      <c r="A944" s="765"/>
      <c r="B944" s="766"/>
      <c r="C944" s="765"/>
      <c r="D944" s="763"/>
      <c r="E944" s="764"/>
      <c r="F944" s="793"/>
      <c r="G944" s="763"/>
    </row>
    <row r="945" spans="1:7" s="839" customFormat="1">
      <c r="A945" s="765"/>
      <c r="B945" s="766"/>
      <c r="C945" s="765"/>
      <c r="D945" s="763"/>
      <c r="E945" s="764"/>
      <c r="F945" s="793"/>
      <c r="G945" s="763"/>
    </row>
    <row r="946" spans="1:7" s="839" customFormat="1">
      <c r="A946" s="765"/>
      <c r="B946" s="766"/>
      <c r="C946" s="765"/>
      <c r="D946" s="763"/>
      <c r="E946" s="764"/>
      <c r="F946" s="793"/>
      <c r="G946" s="763"/>
    </row>
    <row r="947" spans="1:7" s="839" customFormat="1">
      <c r="A947" s="765"/>
      <c r="B947" s="766"/>
      <c r="C947" s="765"/>
      <c r="D947" s="763"/>
      <c r="E947" s="764"/>
      <c r="F947" s="793"/>
      <c r="G947" s="763"/>
    </row>
    <row r="948" spans="1:7" s="839" customFormat="1">
      <c r="A948" s="765"/>
      <c r="B948" s="766"/>
      <c r="C948" s="765"/>
      <c r="D948" s="763"/>
      <c r="E948" s="764"/>
      <c r="F948" s="793"/>
      <c r="G948" s="763"/>
    </row>
    <row r="949" spans="1:7" s="839" customFormat="1">
      <c r="A949" s="765"/>
      <c r="B949" s="766"/>
      <c r="C949" s="765"/>
      <c r="D949" s="763"/>
      <c r="E949" s="764"/>
      <c r="F949" s="793"/>
      <c r="G949" s="763"/>
    </row>
    <row r="950" spans="1:7" s="839" customFormat="1">
      <c r="A950" s="765"/>
      <c r="B950" s="766"/>
      <c r="C950" s="765"/>
      <c r="D950" s="763"/>
      <c r="E950" s="764"/>
      <c r="F950" s="793"/>
      <c r="G950" s="763"/>
    </row>
    <row r="951" spans="1:7" s="839" customFormat="1">
      <c r="A951" s="765"/>
      <c r="B951" s="766"/>
      <c r="C951" s="765"/>
      <c r="D951" s="763"/>
      <c r="E951" s="764"/>
      <c r="F951" s="793"/>
      <c r="G951" s="763"/>
    </row>
    <row r="952" spans="1:7" s="839" customFormat="1">
      <c r="A952" s="765"/>
      <c r="B952" s="766"/>
      <c r="C952" s="765"/>
      <c r="D952" s="763"/>
      <c r="E952" s="764"/>
      <c r="F952" s="793"/>
      <c r="G952" s="763"/>
    </row>
    <row r="953" spans="1:7" s="839" customFormat="1">
      <c r="A953" s="765"/>
      <c r="B953" s="766"/>
      <c r="C953" s="765"/>
      <c r="D953" s="763"/>
      <c r="E953" s="764"/>
      <c r="F953" s="793"/>
      <c r="G953" s="763"/>
    </row>
    <row r="954" spans="1:7" s="839" customFormat="1">
      <c r="A954" s="765"/>
      <c r="B954" s="766"/>
      <c r="C954" s="765"/>
      <c r="D954" s="763"/>
      <c r="E954" s="764"/>
      <c r="F954" s="793"/>
      <c r="G954" s="763"/>
    </row>
    <row r="955" spans="1:7" s="839" customFormat="1">
      <c r="A955" s="765"/>
      <c r="B955" s="766"/>
      <c r="C955" s="765"/>
      <c r="D955" s="763"/>
      <c r="E955" s="764"/>
      <c r="F955" s="793"/>
      <c r="G955" s="763"/>
    </row>
    <row r="956" spans="1:7" s="839" customFormat="1">
      <c r="A956" s="765"/>
      <c r="B956" s="766"/>
      <c r="C956" s="765"/>
      <c r="D956" s="763"/>
      <c r="E956" s="764"/>
      <c r="F956" s="793"/>
      <c r="G956" s="763"/>
    </row>
    <row r="957" spans="1:7" s="839" customFormat="1">
      <c r="A957" s="765"/>
      <c r="B957" s="766"/>
      <c r="C957" s="765"/>
      <c r="D957" s="763"/>
      <c r="E957" s="764"/>
      <c r="F957" s="793"/>
      <c r="G957" s="763"/>
    </row>
    <row r="958" spans="1:7" s="839" customFormat="1">
      <c r="A958" s="765"/>
      <c r="B958" s="766"/>
      <c r="C958" s="765"/>
      <c r="D958" s="763"/>
      <c r="E958" s="764"/>
      <c r="F958" s="793"/>
      <c r="G958" s="763"/>
    </row>
    <row r="959" spans="1:7" s="839" customFormat="1">
      <c r="A959" s="765"/>
      <c r="B959" s="766"/>
      <c r="C959" s="765"/>
      <c r="D959" s="763"/>
      <c r="E959" s="764"/>
      <c r="F959" s="793"/>
      <c r="G959" s="763"/>
    </row>
    <row r="960" spans="1:7" s="839" customFormat="1">
      <c r="A960" s="765"/>
      <c r="B960" s="766"/>
      <c r="C960" s="765"/>
      <c r="D960" s="763"/>
      <c r="E960" s="764"/>
      <c r="F960" s="793"/>
      <c r="G960" s="763"/>
    </row>
    <row r="961" spans="1:7" s="839" customFormat="1">
      <c r="A961" s="765"/>
      <c r="B961" s="766"/>
      <c r="C961" s="765"/>
      <c r="D961" s="763"/>
      <c r="E961" s="764"/>
      <c r="F961" s="793"/>
      <c r="G961" s="763"/>
    </row>
    <row r="962" spans="1:7" s="839" customFormat="1">
      <c r="A962" s="765"/>
      <c r="B962" s="766"/>
      <c r="C962" s="765"/>
      <c r="D962" s="763"/>
      <c r="E962" s="764"/>
      <c r="F962" s="793"/>
      <c r="G962" s="763"/>
    </row>
    <row r="963" spans="1:7" s="839" customFormat="1">
      <c r="A963" s="765"/>
      <c r="B963" s="766"/>
      <c r="C963" s="765"/>
      <c r="D963" s="763"/>
      <c r="E963" s="764"/>
      <c r="F963" s="793"/>
      <c r="G963" s="763"/>
    </row>
    <row r="964" spans="1:7" s="839" customFormat="1">
      <c r="A964" s="765"/>
      <c r="B964" s="766"/>
      <c r="C964" s="765"/>
      <c r="D964" s="763"/>
      <c r="E964" s="764"/>
      <c r="F964" s="793"/>
      <c r="G964" s="763"/>
    </row>
    <row r="965" spans="1:7" s="839" customFormat="1">
      <c r="A965" s="765"/>
      <c r="B965" s="766"/>
      <c r="C965" s="765"/>
      <c r="D965" s="763"/>
      <c r="E965" s="764"/>
      <c r="F965" s="793"/>
      <c r="G965" s="763"/>
    </row>
    <row r="966" spans="1:7" s="839" customFormat="1">
      <c r="A966" s="765"/>
      <c r="B966" s="766"/>
      <c r="C966" s="765"/>
      <c r="D966" s="763"/>
      <c r="E966" s="764"/>
      <c r="F966" s="793"/>
      <c r="G966" s="763"/>
    </row>
    <row r="967" spans="1:7" s="839" customFormat="1">
      <c r="A967" s="765"/>
      <c r="B967" s="766"/>
      <c r="C967" s="765"/>
      <c r="D967" s="763"/>
      <c r="E967" s="764"/>
      <c r="F967" s="793"/>
      <c r="G967" s="763"/>
    </row>
    <row r="968" spans="1:7" s="839" customFormat="1">
      <c r="A968" s="765"/>
      <c r="B968" s="766"/>
      <c r="C968" s="765"/>
      <c r="D968" s="763"/>
      <c r="E968" s="764"/>
      <c r="F968" s="793"/>
      <c r="G968" s="763"/>
    </row>
    <row r="969" spans="1:7" s="839" customFormat="1">
      <c r="A969" s="765"/>
      <c r="B969" s="766"/>
      <c r="C969" s="765"/>
      <c r="D969" s="763"/>
      <c r="E969" s="764"/>
      <c r="F969" s="793"/>
      <c r="G969" s="763"/>
    </row>
    <row r="970" spans="1:7" s="839" customFormat="1">
      <c r="A970" s="765"/>
      <c r="B970" s="766"/>
      <c r="C970" s="765"/>
      <c r="D970" s="763"/>
      <c r="E970" s="764"/>
      <c r="F970" s="793"/>
      <c r="G970" s="763"/>
    </row>
    <row r="971" spans="1:7" s="839" customFormat="1">
      <c r="A971" s="765"/>
      <c r="B971" s="766"/>
      <c r="C971" s="765"/>
      <c r="D971" s="763"/>
      <c r="E971" s="764"/>
      <c r="F971" s="793"/>
      <c r="G971" s="763"/>
    </row>
    <row r="972" spans="1:7" s="839" customFormat="1">
      <c r="A972" s="765"/>
      <c r="B972" s="766"/>
      <c r="C972" s="765"/>
      <c r="D972" s="763"/>
      <c r="E972" s="764"/>
      <c r="F972" s="793"/>
      <c r="G972" s="763"/>
    </row>
    <row r="973" spans="1:7" s="839" customFormat="1">
      <c r="A973" s="765"/>
      <c r="B973" s="766"/>
      <c r="C973" s="765"/>
      <c r="D973" s="763"/>
      <c r="E973" s="764"/>
      <c r="F973" s="793"/>
      <c r="G973" s="763"/>
    </row>
    <row r="974" spans="1:7" s="839" customFormat="1">
      <c r="A974" s="765"/>
      <c r="B974" s="766"/>
      <c r="C974" s="765"/>
      <c r="D974" s="763"/>
      <c r="E974" s="764"/>
      <c r="F974" s="793"/>
      <c r="G974" s="763"/>
    </row>
    <row r="975" spans="1:7" s="839" customFormat="1">
      <c r="A975" s="765"/>
      <c r="B975" s="766"/>
      <c r="C975" s="765"/>
      <c r="D975" s="763"/>
      <c r="E975" s="764"/>
      <c r="F975" s="793"/>
      <c r="G975" s="763"/>
    </row>
    <row r="976" spans="1:7" s="839" customFormat="1">
      <c r="A976" s="765"/>
      <c r="B976" s="766"/>
      <c r="C976" s="765"/>
      <c r="D976" s="763"/>
      <c r="E976" s="764"/>
      <c r="F976" s="793"/>
      <c r="G976" s="763"/>
    </row>
    <row r="977" spans="1:7" s="839" customFormat="1">
      <c r="A977" s="765"/>
      <c r="B977" s="766"/>
      <c r="C977" s="765"/>
      <c r="D977" s="763"/>
      <c r="E977" s="764"/>
      <c r="F977" s="793"/>
      <c r="G977" s="763"/>
    </row>
    <row r="978" spans="1:7" s="839" customFormat="1">
      <c r="A978" s="765"/>
      <c r="B978" s="766"/>
      <c r="C978" s="765"/>
      <c r="D978" s="763"/>
      <c r="E978" s="764"/>
      <c r="F978" s="793"/>
      <c r="G978" s="763"/>
    </row>
    <row r="979" spans="1:7" s="839" customFormat="1">
      <c r="A979" s="765"/>
      <c r="B979" s="766"/>
      <c r="C979" s="765"/>
      <c r="D979" s="763"/>
      <c r="E979" s="764"/>
      <c r="F979" s="793"/>
      <c r="G979" s="763"/>
    </row>
    <row r="980" spans="1:7" s="839" customFormat="1">
      <c r="A980" s="765"/>
      <c r="B980" s="766"/>
      <c r="C980" s="765"/>
      <c r="D980" s="763"/>
      <c r="E980" s="764"/>
      <c r="F980" s="793"/>
      <c r="G980" s="763"/>
    </row>
    <row r="981" spans="1:7" s="839" customFormat="1">
      <c r="A981" s="765"/>
      <c r="B981" s="766"/>
      <c r="C981" s="765"/>
      <c r="D981" s="763"/>
      <c r="E981" s="764"/>
      <c r="F981" s="793"/>
      <c r="G981" s="763"/>
    </row>
    <row r="982" spans="1:7" s="839" customFormat="1">
      <c r="A982" s="765"/>
      <c r="B982" s="766"/>
      <c r="C982" s="765"/>
      <c r="D982" s="763"/>
      <c r="E982" s="764"/>
      <c r="F982" s="793"/>
      <c r="G982" s="763"/>
    </row>
    <row r="983" spans="1:7" s="839" customFormat="1">
      <c r="A983" s="765"/>
      <c r="B983" s="766"/>
      <c r="C983" s="765"/>
      <c r="D983" s="763"/>
      <c r="E983" s="764"/>
      <c r="F983" s="793"/>
      <c r="G983" s="763"/>
    </row>
    <row r="984" spans="1:7" s="839" customFormat="1">
      <c r="A984" s="765"/>
      <c r="B984" s="766"/>
      <c r="C984" s="765"/>
      <c r="D984" s="763"/>
      <c r="E984" s="764"/>
      <c r="F984" s="793"/>
      <c r="G984" s="763"/>
    </row>
    <row r="985" spans="1:7" s="839" customFormat="1">
      <c r="A985" s="765"/>
      <c r="B985" s="766"/>
      <c r="C985" s="765"/>
      <c r="D985" s="763"/>
      <c r="E985" s="764"/>
      <c r="F985" s="793"/>
      <c r="G985" s="763"/>
    </row>
    <row r="986" spans="1:7" s="839" customFormat="1">
      <c r="A986" s="765"/>
      <c r="B986" s="766"/>
      <c r="C986" s="765"/>
      <c r="D986" s="763"/>
      <c r="E986" s="764"/>
      <c r="F986" s="793"/>
      <c r="G986" s="763"/>
    </row>
    <row r="987" spans="1:7" s="839" customFormat="1">
      <c r="A987" s="765"/>
      <c r="B987" s="766"/>
      <c r="C987" s="765"/>
      <c r="D987" s="763"/>
      <c r="E987" s="764"/>
      <c r="F987" s="793"/>
      <c r="G987" s="763"/>
    </row>
    <row r="988" spans="1:7" s="839" customFormat="1">
      <c r="A988" s="765"/>
      <c r="B988" s="766"/>
      <c r="C988" s="765"/>
      <c r="D988" s="763"/>
      <c r="E988" s="764"/>
      <c r="F988" s="793"/>
      <c r="G988" s="763"/>
    </row>
    <row r="989" spans="1:7" s="839" customFormat="1">
      <c r="A989" s="765"/>
      <c r="B989" s="766"/>
      <c r="C989" s="765"/>
      <c r="D989" s="763"/>
      <c r="E989" s="764"/>
      <c r="F989" s="793"/>
      <c r="G989" s="763"/>
    </row>
    <row r="990" spans="1:7" s="839" customFormat="1">
      <c r="A990" s="765"/>
      <c r="B990" s="766"/>
      <c r="C990" s="765"/>
      <c r="D990" s="763"/>
      <c r="E990" s="764"/>
      <c r="F990" s="793"/>
      <c r="G990" s="763"/>
    </row>
    <row r="991" spans="1:7" s="839" customFormat="1">
      <c r="A991" s="765"/>
      <c r="B991" s="766"/>
      <c r="C991" s="765"/>
      <c r="D991" s="763"/>
      <c r="E991" s="764"/>
      <c r="F991" s="793"/>
      <c r="G991" s="763"/>
    </row>
    <row r="992" spans="1:7" s="839" customFormat="1">
      <c r="A992" s="765"/>
      <c r="B992" s="766"/>
      <c r="C992" s="765"/>
      <c r="D992" s="763"/>
      <c r="E992" s="764"/>
      <c r="F992" s="793"/>
      <c r="G992" s="763"/>
    </row>
    <row r="993" spans="1:7" s="839" customFormat="1">
      <c r="A993" s="765"/>
      <c r="B993" s="766"/>
      <c r="C993" s="765"/>
      <c r="D993" s="763"/>
      <c r="E993" s="764"/>
      <c r="F993" s="793"/>
      <c r="G993" s="763"/>
    </row>
    <row r="994" spans="1:7" s="839" customFormat="1">
      <c r="A994" s="765"/>
      <c r="B994" s="766"/>
      <c r="C994" s="765"/>
      <c r="D994" s="763"/>
      <c r="E994" s="764"/>
      <c r="F994" s="793"/>
      <c r="G994" s="763"/>
    </row>
    <row r="995" spans="1:7" s="839" customFormat="1">
      <c r="A995" s="765"/>
      <c r="B995" s="766"/>
      <c r="C995" s="765"/>
      <c r="D995" s="763"/>
      <c r="E995" s="764"/>
      <c r="F995" s="793"/>
      <c r="G995" s="763"/>
    </row>
    <row r="996" spans="1:7" s="839" customFormat="1">
      <c r="A996" s="765"/>
      <c r="B996" s="766"/>
      <c r="C996" s="765"/>
      <c r="D996" s="763"/>
      <c r="E996" s="764"/>
      <c r="F996" s="793"/>
      <c r="G996" s="763"/>
    </row>
    <row r="997" spans="1:7" s="839" customFormat="1">
      <c r="A997" s="765"/>
      <c r="B997" s="766"/>
      <c r="C997" s="765"/>
      <c r="D997" s="763"/>
      <c r="E997" s="764"/>
      <c r="F997" s="793"/>
      <c r="G997" s="763"/>
    </row>
    <row r="998" spans="1:7" s="839" customFormat="1">
      <c r="A998" s="765"/>
      <c r="B998" s="766"/>
      <c r="C998" s="765"/>
      <c r="D998" s="763"/>
      <c r="E998" s="764"/>
      <c r="F998" s="793"/>
      <c r="G998" s="763"/>
    </row>
    <row r="999" spans="1:7" s="839" customFormat="1">
      <c r="A999" s="765"/>
      <c r="B999" s="766"/>
      <c r="C999" s="765"/>
      <c r="D999" s="763"/>
      <c r="E999" s="764"/>
      <c r="F999" s="793"/>
      <c r="G999" s="763"/>
    </row>
    <row r="1000" spans="1:7" s="839" customFormat="1">
      <c r="A1000" s="765"/>
      <c r="B1000" s="766"/>
      <c r="C1000" s="765"/>
      <c r="D1000" s="763"/>
      <c r="E1000" s="764"/>
      <c r="F1000" s="793"/>
      <c r="G1000" s="763"/>
    </row>
    <row r="1001" spans="1:7" s="839" customFormat="1">
      <c r="A1001" s="765"/>
      <c r="B1001" s="766"/>
      <c r="C1001" s="765"/>
      <c r="D1001" s="763"/>
      <c r="E1001" s="764"/>
      <c r="F1001" s="793"/>
      <c r="G1001" s="763"/>
    </row>
    <row r="1002" spans="1:7" s="839" customFormat="1">
      <c r="A1002" s="765"/>
      <c r="B1002" s="766"/>
      <c r="C1002" s="765"/>
      <c r="D1002" s="763"/>
      <c r="E1002" s="764"/>
      <c r="F1002" s="793"/>
      <c r="G1002" s="763"/>
    </row>
    <row r="1003" spans="1:7" s="839" customFormat="1">
      <c r="A1003" s="765"/>
      <c r="B1003" s="766"/>
      <c r="C1003" s="765"/>
      <c r="D1003" s="763"/>
      <c r="E1003" s="764"/>
      <c r="F1003" s="793"/>
      <c r="G1003" s="763"/>
    </row>
    <row r="1004" spans="1:7" s="839" customFormat="1">
      <c r="A1004" s="765"/>
      <c r="B1004" s="766"/>
      <c r="C1004" s="765"/>
      <c r="D1004" s="763"/>
      <c r="E1004" s="764"/>
      <c r="F1004" s="793"/>
      <c r="G1004" s="763"/>
    </row>
    <row r="1005" spans="1:7" s="839" customFormat="1">
      <c r="A1005" s="765"/>
      <c r="B1005" s="766"/>
      <c r="C1005" s="765"/>
      <c r="D1005" s="763"/>
      <c r="E1005" s="764"/>
      <c r="F1005" s="793"/>
      <c r="G1005" s="763"/>
    </row>
    <row r="1006" spans="1:7" s="839" customFormat="1">
      <c r="A1006" s="765"/>
      <c r="B1006" s="766"/>
      <c r="C1006" s="765"/>
      <c r="D1006" s="763"/>
      <c r="E1006" s="764"/>
      <c r="F1006" s="793"/>
      <c r="G1006" s="763"/>
    </row>
    <row r="1007" spans="1:7" s="839" customFormat="1">
      <c r="A1007" s="765"/>
      <c r="B1007" s="766"/>
      <c r="C1007" s="765"/>
      <c r="D1007" s="763"/>
      <c r="E1007" s="764"/>
      <c r="F1007" s="793"/>
      <c r="G1007" s="763"/>
    </row>
    <row r="1008" spans="1:7" s="839" customFormat="1">
      <c r="A1008" s="765"/>
      <c r="B1008" s="766"/>
      <c r="C1008" s="765"/>
      <c r="D1008" s="763"/>
      <c r="E1008" s="764"/>
      <c r="F1008" s="793"/>
      <c r="G1008" s="763"/>
    </row>
    <row r="1009" spans="1:7" s="839" customFormat="1">
      <c r="A1009" s="765"/>
      <c r="B1009" s="766"/>
      <c r="C1009" s="765"/>
      <c r="D1009" s="763"/>
      <c r="E1009" s="764"/>
      <c r="F1009" s="793"/>
      <c r="G1009" s="763"/>
    </row>
    <row r="1010" spans="1:7" s="839" customFormat="1">
      <c r="A1010" s="765"/>
      <c r="B1010" s="766"/>
      <c r="C1010" s="765"/>
      <c r="D1010" s="763"/>
      <c r="E1010" s="764"/>
      <c r="F1010" s="793"/>
      <c r="G1010" s="763"/>
    </row>
    <row r="1011" spans="1:7" s="839" customFormat="1">
      <c r="A1011" s="765"/>
      <c r="B1011" s="766"/>
      <c r="C1011" s="765"/>
      <c r="D1011" s="763"/>
      <c r="E1011" s="764"/>
      <c r="F1011" s="793"/>
      <c r="G1011" s="763"/>
    </row>
    <row r="1012" spans="1:7" s="839" customFormat="1">
      <c r="A1012" s="765"/>
      <c r="B1012" s="766"/>
      <c r="C1012" s="765"/>
      <c r="D1012" s="763"/>
      <c r="E1012" s="764"/>
      <c r="F1012" s="793"/>
      <c r="G1012" s="763"/>
    </row>
    <row r="1013" spans="1:7" s="839" customFormat="1">
      <c r="A1013" s="765"/>
      <c r="B1013" s="766"/>
      <c r="C1013" s="765"/>
      <c r="D1013" s="763"/>
      <c r="E1013" s="764"/>
      <c r="F1013" s="793"/>
      <c r="G1013" s="763"/>
    </row>
    <row r="1014" spans="1:7" s="839" customFormat="1">
      <c r="A1014" s="765"/>
      <c r="B1014" s="766"/>
      <c r="C1014" s="765"/>
      <c r="D1014" s="763"/>
      <c r="E1014" s="764"/>
      <c r="F1014" s="793"/>
      <c r="G1014" s="763"/>
    </row>
    <row r="1015" spans="1:7" s="839" customFormat="1">
      <c r="A1015" s="765"/>
      <c r="B1015" s="766"/>
      <c r="C1015" s="765"/>
      <c r="D1015" s="763"/>
      <c r="E1015" s="764"/>
      <c r="F1015" s="793"/>
      <c r="G1015" s="763"/>
    </row>
    <row r="1016" spans="1:7" s="839" customFormat="1">
      <c r="A1016" s="765"/>
      <c r="B1016" s="766"/>
      <c r="C1016" s="765"/>
      <c r="D1016" s="763"/>
      <c r="E1016" s="764"/>
      <c r="F1016" s="793"/>
      <c r="G1016" s="763"/>
    </row>
    <row r="1017" spans="1:7" s="839" customFormat="1">
      <c r="A1017" s="765"/>
      <c r="B1017" s="766"/>
      <c r="C1017" s="765"/>
      <c r="D1017" s="763"/>
      <c r="E1017" s="764"/>
      <c r="F1017" s="793"/>
      <c r="G1017" s="763"/>
    </row>
    <row r="1018" spans="1:7" s="839" customFormat="1">
      <c r="A1018" s="765"/>
      <c r="B1018" s="766"/>
      <c r="C1018" s="765"/>
      <c r="D1018" s="763"/>
      <c r="E1018" s="764"/>
      <c r="F1018" s="793"/>
      <c r="G1018" s="763"/>
    </row>
    <row r="1019" spans="1:7" s="839" customFormat="1">
      <c r="A1019" s="765"/>
      <c r="B1019" s="766"/>
      <c r="C1019" s="765"/>
      <c r="D1019" s="763"/>
      <c r="E1019" s="764"/>
      <c r="F1019" s="793"/>
      <c r="G1019" s="763"/>
    </row>
    <row r="1020" spans="1:7" s="839" customFormat="1">
      <c r="A1020" s="765"/>
      <c r="B1020" s="766"/>
      <c r="C1020" s="765"/>
      <c r="D1020" s="763"/>
      <c r="E1020" s="764"/>
      <c r="F1020" s="793"/>
      <c r="G1020" s="763"/>
    </row>
    <row r="1021" spans="1:7" s="839" customFormat="1">
      <c r="A1021" s="765"/>
      <c r="B1021" s="766"/>
      <c r="C1021" s="765"/>
      <c r="D1021" s="763"/>
      <c r="E1021" s="764"/>
      <c r="F1021" s="793"/>
      <c r="G1021" s="763"/>
    </row>
    <row r="1022" spans="1:7" s="839" customFormat="1">
      <c r="A1022" s="765"/>
      <c r="B1022" s="766"/>
      <c r="C1022" s="765"/>
      <c r="D1022" s="763"/>
      <c r="E1022" s="764"/>
      <c r="F1022" s="793"/>
      <c r="G1022" s="763"/>
    </row>
    <row r="1023" spans="1:7" s="839" customFormat="1">
      <c r="A1023" s="765"/>
      <c r="B1023" s="766"/>
      <c r="C1023" s="765"/>
      <c r="D1023" s="763"/>
      <c r="E1023" s="764"/>
      <c r="F1023" s="793"/>
      <c r="G1023" s="763"/>
    </row>
    <row r="1024" spans="1:7" s="839" customFormat="1">
      <c r="A1024" s="765"/>
      <c r="B1024" s="766"/>
      <c r="C1024" s="765"/>
      <c r="D1024" s="763"/>
      <c r="E1024" s="764"/>
      <c r="F1024" s="793"/>
      <c r="G1024" s="763"/>
    </row>
    <row r="1025" spans="1:7" s="839" customFormat="1">
      <c r="A1025" s="765"/>
      <c r="B1025" s="766"/>
      <c r="C1025" s="765"/>
      <c r="D1025" s="763"/>
      <c r="E1025" s="764"/>
      <c r="F1025" s="793"/>
      <c r="G1025" s="763"/>
    </row>
    <row r="1026" spans="1:7" s="839" customFormat="1">
      <c r="A1026" s="765"/>
      <c r="B1026" s="766"/>
      <c r="C1026" s="765"/>
      <c r="D1026" s="763"/>
      <c r="E1026" s="764"/>
      <c r="F1026" s="793"/>
      <c r="G1026" s="763"/>
    </row>
    <row r="1027" spans="1:7" s="839" customFormat="1">
      <c r="A1027" s="765"/>
      <c r="B1027" s="766"/>
      <c r="C1027" s="765"/>
      <c r="D1027" s="763"/>
      <c r="E1027" s="764"/>
      <c r="F1027" s="793"/>
      <c r="G1027" s="763"/>
    </row>
    <row r="1028" spans="1:7" s="839" customFormat="1">
      <c r="A1028" s="765"/>
      <c r="B1028" s="766"/>
      <c r="C1028" s="765"/>
      <c r="D1028" s="763"/>
      <c r="E1028" s="764"/>
      <c r="F1028" s="793"/>
      <c r="G1028" s="763"/>
    </row>
    <row r="1029" spans="1:7" s="839" customFormat="1">
      <c r="A1029" s="765"/>
      <c r="B1029" s="766"/>
      <c r="C1029" s="765"/>
      <c r="D1029" s="763"/>
      <c r="E1029" s="764"/>
      <c r="F1029" s="793"/>
      <c r="G1029" s="763"/>
    </row>
    <row r="1030" spans="1:7" s="839" customFormat="1">
      <c r="A1030" s="765"/>
      <c r="B1030" s="766"/>
      <c r="C1030" s="765"/>
      <c r="D1030" s="763"/>
      <c r="E1030" s="764"/>
      <c r="F1030" s="793"/>
      <c r="G1030" s="763"/>
    </row>
    <row r="1031" spans="1:7" s="839" customFormat="1">
      <c r="A1031" s="765"/>
      <c r="B1031" s="766"/>
      <c r="C1031" s="765"/>
      <c r="D1031" s="763"/>
      <c r="E1031" s="764"/>
      <c r="F1031" s="793"/>
      <c r="G1031" s="763"/>
    </row>
    <row r="1032" spans="1:7" s="839" customFormat="1">
      <c r="A1032" s="765"/>
      <c r="B1032" s="766"/>
      <c r="C1032" s="765"/>
      <c r="D1032" s="763"/>
      <c r="E1032" s="764"/>
      <c r="F1032" s="793"/>
      <c r="G1032" s="763"/>
    </row>
    <row r="1033" spans="1:7" s="839" customFormat="1">
      <c r="A1033" s="765"/>
      <c r="B1033" s="766"/>
      <c r="C1033" s="765"/>
      <c r="D1033" s="763"/>
      <c r="E1033" s="764"/>
      <c r="F1033" s="793"/>
      <c r="G1033" s="763"/>
    </row>
    <row r="1034" spans="1:7" s="839" customFormat="1">
      <c r="A1034" s="765"/>
      <c r="B1034" s="766"/>
      <c r="C1034" s="765"/>
      <c r="D1034" s="763"/>
      <c r="E1034" s="764"/>
      <c r="F1034" s="793"/>
      <c r="G1034" s="763"/>
    </row>
    <row r="1035" spans="1:7" s="839" customFormat="1">
      <c r="A1035" s="765"/>
      <c r="B1035" s="766"/>
      <c r="C1035" s="765"/>
      <c r="D1035" s="763"/>
      <c r="E1035" s="764"/>
      <c r="F1035" s="793"/>
      <c r="G1035" s="763"/>
    </row>
    <row r="1036" spans="1:7" s="839" customFormat="1">
      <c r="A1036" s="765"/>
      <c r="B1036" s="766"/>
      <c r="C1036" s="765"/>
      <c r="D1036" s="763"/>
      <c r="E1036" s="764"/>
      <c r="F1036" s="793"/>
      <c r="G1036" s="763"/>
    </row>
    <row r="1037" spans="1:7" s="839" customFormat="1">
      <c r="A1037" s="765"/>
      <c r="B1037" s="766"/>
      <c r="C1037" s="765"/>
      <c r="D1037" s="763"/>
      <c r="E1037" s="764"/>
      <c r="F1037" s="793"/>
      <c r="G1037" s="763"/>
    </row>
    <row r="1038" spans="1:7" s="839" customFormat="1">
      <c r="A1038" s="765"/>
      <c r="B1038" s="766"/>
      <c r="C1038" s="765"/>
      <c r="D1038" s="763"/>
      <c r="E1038" s="764"/>
      <c r="F1038" s="793"/>
      <c r="G1038" s="763"/>
    </row>
    <row r="1039" spans="1:7" s="839" customFormat="1">
      <c r="A1039" s="765"/>
      <c r="B1039" s="766"/>
      <c r="C1039" s="765"/>
      <c r="D1039" s="763"/>
      <c r="E1039" s="764"/>
      <c r="F1039" s="793"/>
      <c r="G1039" s="763"/>
    </row>
    <row r="1040" spans="1:7" s="839" customFormat="1">
      <c r="A1040" s="765"/>
      <c r="B1040" s="766"/>
      <c r="C1040" s="765"/>
      <c r="D1040" s="763"/>
      <c r="E1040" s="764"/>
      <c r="F1040" s="793"/>
      <c r="G1040" s="763"/>
    </row>
    <row r="1041" spans="1:7" s="839" customFormat="1">
      <c r="A1041" s="765"/>
      <c r="B1041" s="766"/>
      <c r="C1041" s="765"/>
      <c r="D1041" s="763"/>
      <c r="E1041" s="764"/>
      <c r="F1041" s="793"/>
      <c r="G1041" s="763"/>
    </row>
    <row r="1042" spans="1:7" s="839" customFormat="1">
      <c r="A1042" s="765"/>
      <c r="B1042" s="766"/>
      <c r="C1042" s="765"/>
      <c r="D1042" s="763"/>
      <c r="E1042" s="764"/>
      <c r="F1042" s="793"/>
      <c r="G1042" s="763"/>
    </row>
    <row r="1043" spans="1:7" s="839" customFormat="1">
      <c r="A1043" s="765"/>
      <c r="B1043" s="766"/>
      <c r="C1043" s="765"/>
      <c r="D1043" s="763"/>
      <c r="E1043" s="764"/>
      <c r="F1043" s="793"/>
      <c r="G1043" s="763"/>
    </row>
    <row r="1044" spans="1:7" s="839" customFormat="1">
      <c r="A1044" s="765"/>
      <c r="B1044" s="766"/>
      <c r="C1044" s="765"/>
      <c r="D1044" s="763"/>
      <c r="E1044" s="764"/>
      <c r="F1044" s="793"/>
      <c r="G1044" s="763"/>
    </row>
    <row r="1045" spans="1:7" s="839" customFormat="1">
      <c r="A1045" s="765"/>
      <c r="B1045" s="766"/>
      <c r="C1045" s="765"/>
      <c r="D1045" s="763"/>
      <c r="E1045" s="764"/>
      <c r="F1045" s="793"/>
      <c r="G1045" s="763"/>
    </row>
    <row r="1046" spans="1:7" s="839" customFormat="1">
      <c r="A1046" s="765"/>
      <c r="B1046" s="766"/>
      <c r="C1046" s="765"/>
      <c r="D1046" s="763"/>
      <c r="E1046" s="764"/>
      <c r="F1046" s="793"/>
      <c r="G1046" s="763"/>
    </row>
    <row r="1047" spans="1:7" s="839" customFormat="1">
      <c r="A1047" s="765"/>
      <c r="B1047" s="766"/>
      <c r="C1047" s="765"/>
      <c r="D1047" s="763"/>
      <c r="E1047" s="764"/>
      <c r="F1047" s="793"/>
      <c r="G1047" s="763"/>
    </row>
    <row r="1048" spans="1:7" s="839" customFormat="1">
      <c r="A1048" s="765"/>
      <c r="B1048" s="766"/>
      <c r="C1048" s="765"/>
      <c r="D1048" s="763"/>
      <c r="E1048" s="764"/>
      <c r="F1048" s="793"/>
      <c r="G1048" s="763"/>
    </row>
    <row r="1049" spans="1:7" s="839" customFormat="1">
      <c r="A1049" s="765"/>
      <c r="B1049" s="766"/>
      <c r="C1049" s="765"/>
      <c r="D1049" s="763"/>
      <c r="E1049" s="764"/>
      <c r="F1049" s="793"/>
      <c r="G1049" s="763"/>
    </row>
    <row r="1050" spans="1:7" s="839" customFormat="1">
      <c r="A1050" s="765"/>
      <c r="B1050" s="766"/>
      <c r="C1050" s="765"/>
      <c r="D1050" s="763"/>
      <c r="E1050" s="764"/>
      <c r="F1050" s="793"/>
      <c r="G1050" s="763"/>
    </row>
    <row r="1051" spans="1:7" s="839" customFormat="1">
      <c r="A1051" s="765"/>
      <c r="B1051" s="766"/>
      <c r="C1051" s="765"/>
      <c r="D1051" s="763"/>
      <c r="E1051" s="764"/>
      <c r="F1051" s="793"/>
      <c r="G1051" s="763"/>
    </row>
    <row r="1052" spans="1:7" s="839" customFormat="1">
      <c r="A1052" s="765"/>
      <c r="B1052" s="766"/>
      <c r="C1052" s="765"/>
      <c r="D1052" s="763"/>
      <c r="E1052" s="764"/>
      <c r="F1052" s="793"/>
      <c r="G1052" s="763"/>
    </row>
    <row r="1053" spans="1:7" s="839" customFormat="1">
      <c r="A1053" s="765"/>
      <c r="B1053" s="766"/>
      <c r="C1053" s="765"/>
      <c r="D1053" s="763"/>
      <c r="E1053" s="764"/>
      <c r="F1053" s="793"/>
      <c r="G1053" s="763"/>
    </row>
    <row r="1054" spans="1:7" s="839" customFormat="1">
      <c r="A1054" s="765"/>
      <c r="B1054" s="766"/>
      <c r="C1054" s="765"/>
      <c r="D1054" s="763"/>
      <c r="E1054" s="764"/>
      <c r="F1054" s="793"/>
      <c r="G1054" s="763"/>
    </row>
    <row r="1055" spans="1:7" s="839" customFormat="1">
      <c r="A1055" s="765"/>
      <c r="B1055" s="766"/>
      <c r="C1055" s="765"/>
      <c r="D1055" s="763"/>
      <c r="E1055" s="764"/>
      <c r="F1055" s="793"/>
      <c r="G1055" s="763"/>
    </row>
    <row r="1056" spans="1:7" s="839" customFormat="1">
      <c r="A1056" s="765"/>
      <c r="B1056" s="766"/>
      <c r="C1056" s="765"/>
      <c r="D1056" s="763"/>
      <c r="E1056" s="764"/>
      <c r="F1056" s="793"/>
      <c r="G1056" s="763"/>
    </row>
    <row r="1057" spans="1:7" s="839" customFormat="1">
      <c r="A1057" s="765"/>
      <c r="B1057" s="766"/>
      <c r="C1057" s="765"/>
      <c r="D1057" s="763"/>
      <c r="E1057" s="764"/>
      <c r="F1057" s="793"/>
      <c r="G1057" s="763"/>
    </row>
    <row r="1058" spans="1:7" s="839" customFormat="1">
      <c r="A1058" s="765"/>
      <c r="B1058" s="766"/>
      <c r="C1058" s="765"/>
      <c r="D1058" s="763"/>
      <c r="E1058" s="764"/>
      <c r="F1058" s="793"/>
      <c r="G1058" s="763"/>
    </row>
    <row r="1059" spans="1:7" s="839" customFormat="1">
      <c r="A1059" s="765"/>
      <c r="B1059" s="766"/>
      <c r="C1059" s="765"/>
      <c r="D1059" s="763"/>
      <c r="E1059" s="764"/>
      <c r="F1059" s="793"/>
      <c r="G1059" s="763"/>
    </row>
    <row r="1060" spans="1:7" s="839" customFormat="1">
      <c r="A1060" s="765"/>
      <c r="B1060" s="766"/>
      <c r="C1060" s="765"/>
      <c r="D1060" s="763"/>
      <c r="E1060" s="764"/>
      <c r="F1060" s="793"/>
      <c r="G1060" s="763"/>
    </row>
    <row r="1061" spans="1:7" s="839" customFormat="1">
      <c r="A1061" s="765"/>
      <c r="B1061" s="766"/>
      <c r="C1061" s="765"/>
      <c r="D1061" s="763"/>
      <c r="E1061" s="764"/>
      <c r="F1061" s="793"/>
      <c r="G1061" s="763"/>
    </row>
    <row r="1062" spans="1:7" s="839" customFormat="1">
      <c r="A1062" s="765"/>
      <c r="B1062" s="766"/>
      <c r="C1062" s="765"/>
      <c r="D1062" s="763"/>
      <c r="E1062" s="764"/>
      <c r="F1062" s="793"/>
      <c r="G1062" s="763"/>
    </row>
    <row r="1063" spans="1:7" s="839" customFormat="1">
      <c r="A1063" s="765"/>
      <c r="B1063" s="766"/>
      <c r="C1063" s="765"/>
      <c r="D1063" s="763"/>
      <c r="E1063" s="764"/>
      <c r="F1063" s="793"/>
      <c r="G1063" s="763"/>
    </row>
    <row r="1064" spans="1:7" s="839" customFormat="1">
      <c r="A1064" s="765"/>
      <c r="B1064" s="766"/>
      <c r="C1064" s="765"/>
      <c r="D1064" s="763"/>
      <c r="E1064" s="764"/>
      <c r="F1064" s="793"/>
      <c r="G1064" s="763"/>
    </row>
    <row r="1065" spans="1:7" s="839" customFormat="1">
      <c r="A1065" s="765"/>
      <c r="B1065" s="766"/>
      <c r="C1065" s="765"/>
      <c r="D1065" s="763"/>
      <c r="E1065" s="764"/>
      <c r="F1065" s="793"/>
      <c r="G1065" s="763"/>
    </row>
    <row r="1066" spans="1:7" s="839" customFormat="1">
      <c r="A1066" s="765"/>
      <c r="B1066" s="766"/>
      <c r="C1066" s="765"/>
      <c r="D1066" s="763"/>
      <c r="E1066" s="764"/>
      <c r="F1066" s="793"/>
      <c r="G1066" s="763"/>
    </row>
    <row r="1067" spans="1:7" s="839" customFormat="1">
      <c r="A1067" s="765"/>
      <c r="B1067" s="766"/>
      <c r="C1067" s="765"/>
      <c r="D1067" s="763"/>
      <c r="E1067" s="764"/>
      <c r="F1067" s="793"/>
      <c r="G1067" s="763"/>
    </row>
    <row r="1068" spans="1:7" s="839" customFormat="1">
      <c r="A1068" s="765"/>
      <c r="B1068" s="766"/>
      <c r="C1068" s="765"/>
      <c r="D1068" s="763"/>
      <c r="E1068" s="764"/>
      <c r="F1068" s="793"/>
      <c r="G1068" s="763"/>
    </row>
    <row r="1069" spans="1:7" s="839" customFormat="1">
      <c r="A1069" s="765"/>
      <c r="B1069" s="766"/>
      <c r="C1069" s="765"/>
      <c r="D1069" s="763"/>
      <c r="E1069" s="764"/>
      <c r="F1069" s="793"/>
      <c r="G1069" s="763"/>
    </row>
    <row r="1070" spans="1:7" s="839" customFormat="1">
      <c r="A1070" s="765"/>
      <c r="B1070" s="766"/>
      <c r="C1070" s="765"/>
      <c r="D1070" s="763"/>
      <c r="E1070" s="764"/>
      <c r="F1070" s="793"/>
      <c r="G1070" s="763"/>
    </row>
    <row r="1071" spans="1:7" s="839" customFormat="1">
      <c r="A1071" s="765"/>
      <c r="B1071" s="766"/>
      <c r="C1071" s="765"/>
      <c r="D1071" s="763"/>
      <c r="E1071" s="764"/>
      <c r="F1071" s="793"/>
      <c r="G1071" s="763"/>
    </row>
    <row r="1072" spans="1:7" s="839" customFormat="1">
      <c r="A1072" s="765"/>
      <c r="B1072" s="766"/>
      <c r="C1072" s="765"/>
      <c r="D1072" s="763"/>
      <c r="E1072" s="764"/>
      <c r="F1072" s="793"/>
      <c r="G1072" s="763"/>
    </row>
    <row r="1073" spans="1:7" s="839" customFormat="1">
      <c r="A1073" s="765"/>
      <c r="B1073" s="766"/>
      <c r="C1073" s="765"/>
      <c r="D1073" s="763"/>
      <c r="E1073" s="764"/>
      <c r="F1073" s="793"/>
      <c r="G1073" s="763"/>
    </row>
    <row r="1074" spans="1:7" s="839" customFormat="1">
      <c r="A1074" s="765"/>
      <c r="B1074" s="766"/>
      <c r="C1074" s="765"/>
      <c r="D1074" s="763"/>
      <c r="E1074" s="764"/>
      <c r="F1074" s="793"/>
      <c r="G1074" s="763"/>
    </row>
    <row r="1075" spans="1:7" s="839" customFormat="1">
      <c r="A1075" s="765"/>
      <c r="B1075" s="766"/>
      <c r="C1075" s="765"/>
      <c r="D1075" s="763"/>
      <c r="E1075" s="764"/>
      <c r="F1075" s="793"/>
      <c r="G1075" s="763"/>
    </row>
    <row r="1076" spans="1:7" s="839" customFormat="1">
      <c r="A1076" s="765"/>
      <c r="B1076" s="766"/>
      <c r="C1076" s="765"/>
      <c r="D1076" s="763"/>
      <c r="E1076" s="764"/>
      <c r="F1076" s="793"/>
      <c r="G1076" s="763"/>
    </row>
    <row r="1077" spans="1:7" s="839" customFormat="1">
      <c r="A1077" s="765"/>
      <c r="B1077" s="766"/>
      <c r="C1077" s="765"/>
      <c r="D1077" s="763"/>
      <c r="E1077" s="764"/>
      <c r="F1077" s="793"/>
      <c r="G1077" s="763"/>
    </row>
    <row r="1078" spans="1:7" s="839" customFormat="1">
      <c r="A1078" s="765"/>
      <c r="B1078" s="766"/>
      <c r="C1078" s="765"/>
      <c r="D1078" s="763"/>
      <c r="E1078" s="764"/>
      <c r="F1078" s="793"/>
      <c r="G1078" s="763"/>
    </row>
    <row r="1079" spans="1:7" s="839" customFormat="1">
      <c r="A1079" s="765"/>
      <c r="B1079" s="766"/>
      <c r="C1079" s="765"/>
      <c r="D1079" s="763"/>
      <c r="E1079" s="764"/>
      <c r="F1079" s="793"/>
      <c r="G1079" s="763"/>
    </row>
    <row r="1080" spans="1:7" s="839" customFormat="1">
      <c r="A1080" s="765"/>
      <c r="B1080" s="766"/>
      <c r="C1080" s="765"/>
      <c r="D1080" s="763"/>
      <c r="E1080" s="764"/>
      <c r="F1080" s="793"/>
      <c r="G1080" s="763"/>
    </row>
    <row r="1081" spans="1:7" s="839" customFormat="1">
      <c r="A1081" s="765"/>
      <c r="B1081" s="766"/>
      <c r="C1081" s="765"/>
      <c r="D1081" s="763"/>
      <c r="E1081" s="764"/>
      <c r="F1081" s="793"/>
      <c r="G1081" s="763"/>
    </row>
    <row r="1082" spans="1:7" s="839" customFormat="1">
      <c r="A1082" s="765"/>
      <c r="B1082" s="766"/>
      <c r="C1082" s="765"/>
      <c r="D1082" s="763"/>
      <c r="E1082" s="764"/>
      <c r="F1082" s="793"/>
      <c r="G1082" s="763"/>
    </row>
    <row r="1083" spans="1:7" s="839" customFormat="1">
      <c r="A1083" s="765"/>
      <c r="B1083" s="766"/>
      <c r="C1083" s="765"/>
      <c r="D1083" s="763"/>
      <c r="E1083" s="764"/>
      <c r="F1083" s="793"/>
      <c r="G1083" s="763"/>
    </row>
    <row r="1084" spans="1:7" s="839" customFormat="1">
      <c r="A1084" s="765"/>
      <c r="B1084" s="766"/>
      <c r="C1084" s="765"/>
      <c r="D1084" s="763"/>
      <c r="E1084" s="764"/>
      <c r="F1084" s="793"/>
      <c r="G1084" s="763"/>
    </row>
    <row r="1085" spans="1:7" s="839" customFormat="1">
      <c r="A1085" s="765"/>
      <c r="B1085" s="766"/>
      <c r="C1085" s="765"/>
      <c r="D1085" s="763"/>
      <c r="E1085" s="764"/>
      <c r="F1085" s="793"/>
      <c r="G1085" s="763"/>
    </row>
    <row r="1086" spans="1:7" s="839" customFormat="1">
      <c r="A1086" s="765"/>
      <c r="B1086" s="766"/>
      <c r="C1086" s="765"/>
      <c r="D1086" s="763"/>
      <c r="E1086" s="764"/>
      <c r="F1086" s="793"/>
      <c r="G1086" s="763"/>
    </row>
    <row r="1087" spans="1:7" s="839" customFormat="1">
      <c r="A1087" s="765"/>
      <c r="B1087" s="766"/>
      <c r="C1087" s="765"/>
      <c r="D1087" s="763"/>
      <c r="E1087" s="764"/>
      <c r="F1087" s="793"/>
      <c r="G1087" s="763"/>
    </row>
    <row r="1088" spans="1:7" s="839" customFormat="1">
      <c r="A1088" s="765"/>
      <c r="B1088" s="766"/>
      <c r="C1088" s="765"/>
      <c r="D1088" s="763"/>
      <c r="E1088" s="764"/>
      <c r="F1088" s="793"/>
      <c r="G1088" s="763"/>
    </row>
    <row r="1089" spans="1:7" s="839" customFormat="1">
      <c r="A1089" s="765"/>
      <c r="B1089" s="766"/>
      <c r="C1089" s="765"/>
      <c r="D1089" s="763"/>
      <c r="E1089" s="764"/>
      <c r="F1089" s="793"/>
      <c r="G1089" s="763"/>
    </row>
    <row r="1090" spans="1:7" s="839" customFormat="1">
      <c r="A1090" s="765"/>
      <c r="B1090" s="766"/>
      <c r="C1090" s="765"/>
      <c r="D1090" s="763"/>
      <c r="E1090" s="764"/>
      <c r="F1090" s="793"/>
      <c r="G1090" s="763"/>
    </row>
    <row r="1091" spans="1:7" s="839" customFormat="1">
      <c r="A1091" s="765"/>
      <c r="B1091" s="766"/>
      <c r="C1091" s="765"/>
      <c r="D1091" s="763"/>
      <c r="E1091" s="764"/>
      <c r="F1091" s="793"/>
      <c r="G1091" s="763"/>
    </row>
    <row r="1092" spans="1:7" s="839" customFormat="1">
      <c r="A1092" s="765"/>
      <c r="B1092" s="766"/>
      <c r="C1092" s="765"/>
      <c r="D1092" s="763"/>
      <c r="E1092" s="764"/>
      <c r="F1092" s="793"/>
      <c r="G1092" s="763"/>
    </row>
    <row r="1093" spans="1:7" s="839" customFormat="1">
      <c r="A1093" s="765"/>
      <c r="B1093" s="766"/>
      <c r="C1093" s="765"/>
      <c r="D1093" s="763"/>
      <c r="E1093" s="764"/>
      <c r="F1093" s="793"/>
      <c r="G1093" s="763"/>
    </row>
    <row r="1094" spans="1:7" s="839" customFormat="1">
      <c r="A1094" s="765"/>
      <c r="B1094" s="766"/>
      <c r="C1094" s="765"/>
      <c r="D1094" s="763"/>
      <c r="E1094" s="764"/>
      <c r="F1094" s="793"/>
      <c r="G1094" s="763"/>
    </row>
    <row r="1095" spans="1:7" s="839" customFormat="1">
      <c r="A1095" s="765"/>
      <c r="B1095" s="766"/>
      <c r="C1095" s="765"/>
      <c r="D1095" s="763"/>
      <c r="E1095" s="764"/>
      <c r="F1095" s="793"/>
      <c r="G1095" s="763"/>
    </row>
    <row r="1096" spans="1:7" s="839" customFormat="1">
      <c r="A1096" s="765"/>
      <c r="B1096" s="766"/>
      <c r="C1096" s="765"/>
      <c r="D1096" s="763"/>
      <c r="E1096" s="764"/>
      <c r="F1096" s="793"/>
      <c r="G1096" s="763"/>
    </row>
    <row r="1097" spans="1:7" s="839" customFormat="1">
      <c r="A1097" s="765"/>
      <c r="B1097" s="766"/>
      <c r="C1097" s="765"/>
      <c r="D1097" s="763"/>
      <c r="E1097" s="764"/>
      <c r="F1097" s="793"/>
      <c r="G1097" s="763"/>
    </row>
    <row r="1098" spans="1:7" s="839" customFormat="1">
      <c r="A1098" s="765"/>
      <c r="B1098" s="766"/>
      <c r="C1098" s="765"/>
      <c r="D1098" s="763"/>
      <c r="E1098" s="764"/>
      <c r="F1098" s="793"/>
      <c r="G1098" s="763"/>
    </row>
    <row r="1099" spans="1:7" s="839" customFormat="1">
      <c r="A1099" s="765"/>
      <c r="B1099" s="766"/>
      <c r="C1099" s="765"/>
      <c r="D1099" s="763"/>
      <c r="E1099" s="764"/>
      <c r="F1099" s="793"/>
      <c r="G1099" s="763"/>
    </row>
    <row r="1100" spans="1:7" s="839" customFormat="1">
      <c r="A1100" s="765"/>
      <c r="B1100" s="766"/>
      <c r="C1100" s="765"/>
      <c r="D1100" s="763"/>
      <c r="E1100" s="764"/>
      <c r="F1100" s="793"/>
      <c r="G1100" s="763"/>
    </row>
    <row r="1101" spans="1:7" s="839" customFormat="1">
      <c r="A1101" s="765"/>
      <c r="B1101" s="766"/>
      <c r="C1101" s="765"/>
      <c r="D1101" s="763"/>
      <c r="E1101" s="764"/>
      <c r="F1101" s="793"/>
      <c r="G1101" s="763"/>
    </row>
    <row r="1102" spans="1:7" s="839" customFormat="1">
      <c r="A1102" s="765"/>
      <c r="B1102" s="766"/>
      <c r="C1102" s="765"/>
      <c r="D1102" s="763"/>
      <c r="E1102" s="764"/>
      <c r="F1102" s="793"/>
      <c r="G1102" s="763"/>
    </row>
    <row r="1103" spans="1:7" s="839" customFormat="1">
      <c r="A1103" s="765"/>
      <c r="B1103" s="766"/>
      <c r="C1103" s="765"/>
      <c r="D1103" s="763"/>
      <c r="E1103" s="764"/>
      <c r="F1103" s="793"/>
      <c r="G1103" s="763"/>
    </row>
    <row r="1104" spans="1:7" s="839" customFormat="1">
      <c r="A1104" s="765"/>
      <c r="B1104" s="766"/>
      <c r="C1104" s="765"/>
      <c r="D1104" s="763"/>
      <c r="E1104" s="764"/>
      <c r="F1104" s="793"/>
      <c r="G1104" s="763"/>
    </row>
    <row r="1105" spans="1:7" s="839" customFormat="1">
      <c r="A1105" s="765"/>
      <c r="B1105" s="766"/>
      <c r="C1105" s="765"/>
      <c r="D1105" s="763"/>
      <c r="E1105" s="764"/>
      <c r="F1105" s="793"/>
      <c r="G1105" s="763"/>
    </row>
    <row r="1106" spans="1:7" s="839" customFormat="1">
      <c r="A1106" s="765"/>
      <c r="B1106" s="766"/>
      <c r="C1106" s="765"/>
      <c r="D1106" s="763"/>
      <c r="E1106" s="764"/>
      <c r="F1106" s="793"/>
      <c r="G1106" s="763"/>
    </row>
    <row r="1107" spans="1:7" s="839" customFormat="1">
      <c r="A1107" s="765"/>
      <c r="B1107" s="766"/>
      <c r="C1107" s="765"/>
      <c r="D1107" s="763"/>
      <c r="E1107" s="764"/>
      <c r="F1107" s="793"/>
      <c r="G1107" s="763"/>
    </row>
    <row r="1108" spans="1:7" s="839" customFormat="1">
      <c r="A1108" s="765"/>
      <c r="B1108" s="766"/>
      <c r="C1108" s="765"/>
      <c r="D1108" s="763"/>
      <c r="E1108" s="764"/>
      <c r="F1108" s="793"/>
      <c r="G1108" s="763"/>
    </row>
    <row r="1109" spans="1:7" s="839" customFormat="1">
      <c r="A1109" s="765"/>
      <c r="B1109" s="766"/>
      <c r="C1109" s="765"/>
      <c r="D1109" s="763"/>
      <c r="E1109" s="764"/>
      <c r="F1109" s="793"/>
      <c r="G1109" s="763"/>
    </row>
    <row r="1110" spans="1:7" s="839" customFormat="1">
      <c r="A1110" s="765"/>
      <c r="B1110" s="766"/>
      <c r="C1110" s="765"/>
      <c r="D1110" s="763"/>
      <c r="E1110" s="764"/>
      <c r="F1110" s="793"/>
      <c r="G1110" s="763"/>
    </row>
    <row r="1111" spans="1:7" s="839" customFormat="1">
      <c r="A1111" s="765"/>
      <c r="B1111" s="766"/>
      <c r="C1111" s="765"/>
      <c r="D1111" s="763"/>
      <c r="E1111" s="764"/>
      <c r="F1111" s="793"/>
      <c r="G1111" s="763"/>
    </row>
    <row r="1112" spans="1:7" s="839" customFormat="1">
      <c r="A1112" s="765"/>
      <c r="B1112" s="766"/>
      <c r="C1112" s="765"/>
      <c r="D1112" s="763"/>
      <c r="E1112" s="764"/>
      <c r="F1112" s="793"/>
      <c r="G1112" s="763"/>
    </row>
    <row r="1113" spans="1:7" s="839" customFormat="1">
      <c r="A1113" s="765"/>
      <c r="B1113" s="766"/>
      <c r="C1113" s="765"/>
      <c r="D1113" s="763"/>
      <c r="E1113" s="764"/>
      <c r="F1113" s="793"/>
      <c r="G1113" s="763"/>
    </row>
    <row r="1114" spans="1:7" s="839" customFormat="1">
      <c r="A1114" s="765"/>
      <c r="B1114" s="766"/>
      <c r="C1114" s="765"/>
      <c r="D1114" s="763"/>
      <c r="E1114" s="764"/>
      <c r="F1114" s="793"/>
      <c r="G1114" s="763"/>
    </row>
    <row r="1115" spans="1:7" s="839" customFormat="1">
      <c r="A1115" s="765"/>
      <c r="B1115" s="766"/>
      <c r="C1115" s="765"/>
      <c r="D1115" s="763"/>
      <c r="E1115" s="764"/>
      <c r="F1115" s="793"/>
      <c r="G1115" s="763"/>
    </row>
    <row r="1116" spans="1:7" s="839" customFormat="1">
      <c r="A1116" s="765"/>
      <c r="B1116" s="766"/>
      <c r="C1116" s="765"/>
      <c r="D1116" s="763"/>
      <c r="E1116" s="764"/>
      <c r="F1116" s="793"/>
      <c r="G1116" s="763"/>
    </row>
    <row r="1117" spans="1:7" s="839" customFormat="1">
      <c r="A1117" s="765"/>
      <c r="B1117" s="766"/>
      <c r="C1117" s="765"/>
      <c r="D1117" s="763"/>
      <c r="E1117" s="764"/>
      <c r="F1117" s="793"/>
      <c r="G1117" s="763"/>
    </row>
    <row r="1118" spans="1:7" s="839" customFormat="1">
      <c r="A1118" s="765"/>
      <c r="B1118" s="766"/>
      <c r="C1118" s="765"/>
      <c r="D1118" s="763"/>
      <c r="E1118" s="764"/>
      <c r="F1118" s="793"/>
      <c r="G1118" s="763"/>
    </row>
    <row r="1119" spans="1:7" s="839" customFormat="1">
      <c r="A1119" s="765"/>
      <c r="B1119" s="766"/>
      <c r="C1119" s="765"/>
      <c r="D1119" s="763"/>
      <c r="E1119" s="764"/>
      <c r="F1119" s="793"/>
      <c r="G1119" s="763"/>
    </row>
    <row r="1120" spans="1:7" s="839" customFormat="1">
      <c r="A1120" s="765"/>
      <c r="B1120" s="766"/>
      <c r="C1120" s="765"/>
      <c r="D1120" s="763"/>
      <c r="E1120" s="764"/>
      <c r="F1120" s="793"/>
      <c r="G1120" s="763"/>
    </row>
    <row r="1121" spans="1:7" s="839" customFormat="1">
      <c r="A1121" s="765"/>
      <c r="B1121" s="766"/>
      <c r="C1121" s="765"/>
      <c r="D1121" s="763"/>
      <c r="E1121" s="764"/>
      <c r="F1121" s="793"/>
      <c r="G1121" s="763"/>
    </row>
    <row r="1122" spans="1:7" s="839" customFormat="1">
      <c r="A1122" s="765"/>
      <c r="B1122" s="766"/>
      <c r="C1122" s="765"/>
      <c r="D1122" s="763"/>
      <c r="E1122" s="764"/>
      <c r="F1122" s="793"/>
      <c r="G1122" s="763"/>
    </row>
    <row r="1123" spans="1:7" s="839" customFormat="1">
      <c r="A1123" s="765"/>
      <c r="B1123" s="766"/>
      <c r="C1123" s="765"/>
      <c r="D1123" s="763"/>
      <c r="E1123" s="764"/>
      <c r="F1123" s="793"/>
      <c r="G1123" s="763"/>
    </row>
    <row r="1124" spans="1:7" s="839" customFormat="1">
      <c r="A1124" s="765"/>
      <c r="B1124" s="766"/>
      <c r="C1124" s="765"/>
      <c r="D1124" s="763"/>
      <c r="E1124" s="764"/>
      <c r="F1124" s="793"/>
      <c r="G1124" s="763"/>
    </row>
    <row r="1125" spans="1:7" s="839" customFormat="1">
      <c r="A1125" s="765"/>
      <c r="B1125" s="766"/>
      <c r="C1125" s="765"/>
      <c r="D1125" s="763"/>
      <c r="E1125" s="764"/>
      <c r="F1125" s="793"/>
      <c r="G1125" s="763"/>
    </row>
    <row r="1126" spans="1:7" s="839" customFormat="1">
      <c r="A1126" s="765"/>
      <c r="B1126" s="766"/>
      <c r="C1126" s="765"/>
      <c r="D1126" s="763"/>
      <c r="E1126" s="764"/>
      <c r="F1126" s="793"/>
      <c r="G1126" s="763"/>
    </row>
    <row r="1127" spans="1:7" s="839" customFormat="1">
      <c r="A1127" s="765"/>
      <c r="B1127" s="766"/>
      <c r="C1127" s="765"/>
      <c r="D1127" s="763"/>
      <c r="E1127" s="764"/>
      <c r="F1127" s="793"/>
      <c r="G1127" s="763"/>
    </row>
    <row r="1128" spans="1:7" s="839" customFormat="1">
      <c r="A1128" s="765"/>
      <c r="B1128" s="766"/>
      <c r="C1128" s="765"/>
      <c r="D1128" s="763"/>
      <c r="E1128" s="764"/>
      <c r="F1128" s="793"/>
      <c r="G1128" s="763"/>
    </row>
    <row r="1129" spans="1:7" s="839" customFormat="1">
      <c r="A1129" s="765"/>
      <c r="B1129" s="766"/>
      <c r="C1129" s="765"/>
      <c r="D1129" s="763"/>
      <c r="E1129" s="764"/>
      <c r="F1129" s="793"/>
      <c r="G1129" s="763"/>
    </row>
    <row r="1130" spans="1:7" s="839" customFormat="1">
      <c r="A1130" s="765"/>
      <c r="B1130" s="766"/>
      <c r="C1130" s="765"/>
      <c r="D1130" s="763"/>
      <c r="E1130" s="764"/>
      <c r="F1130" s="793"/>
      <c r="G1130" s="763"/>
    </row>
    <row r="1131" spans="1:7" s="839" customFormat="1">
      <c r="A1131" s="765"/>
      <c r="B1131" s="766"/>
      <c r="C1131" s="765"/>
      <c r="D1131" s="763"/>
      <c r="E1131" s="764"/>
      <c r="F1131" s="793"/>
      <c r="G1131" s="763"/>
    </row>
    <row r="1132" spans="1:7" s="839" customFormat="1">
      <c r="A1132" s="765"/>
      <c r="B1132" s="766"/>
      <c r="C1132" s="765"/>
      <c r="D1132" s="763"/>
      <c r="E1132" s="764"/>
      <c r="F1132" s="793"/>
      <c r="G1132" s="763"/>
    </row>
    <row r="1133" spans="1:7" s="839" customFormat="1">
      <c r="A1133" s="765"/>
      <c r="B1133" s="766"/>
      <c r="C1133" s="765"/>
      <c r="D1133" s="763"/>
      <c r="E1133" s="764"/>
      <c r="F1133" s="793"/>
      <c r="G1133" s="763"/>
    </row>
    <row r="1134" spans="1:7" s="839" customFormat="1">
      <c r="A1134" s="765"/>
      <c r="B1134" s="766"/>
      <c r="C1134" s="765"/>
      <c r="D1134" s="763"/>
      <c r="E1134" s="764"/>
      <c r="F1134" s="793"/>
      <c r="G1134" s="763"/>
    </row>
    <row r="1135" spans="1:7" s="839" customFormat="1">
      <c r="A1135" s="765"/>
      <c r="B1135" s="766"/>
      <c r="C1135" s="765"/>
      <c r="D1135" s="763"/>
      <c r="E1135" s="764"/>
      <c r="F1135" s="793"/>
      <c r="G1135" s="763"/>
    </row>
    <row r="1136" spans="1:7" s="839" customFormat="1">
      <c r="A1136" s="765"/>
      <c r="B1136" s="766"/>
      <c r="C1136" s="765"/>
      <c r="D1136" s="763"/>
      <c r="E1136" s="764"/>
      <c r="F1136" s="793"/>
      <c r="G1136" s="763"/>
    </row>
    <row r="1137" spans="1:7" s="839" customFormat="1">
      <c r="A1137" s="765"/>
      <c r="B1137" s="766"/>
      <c r="C1137" s="765"/>
      <c r="D1137" s="763"/>
      <c r="E1137" s="764"/>
      <c r="F1137" s="793"/>
      <c r="G1137" s="763"/>
    </row>
    <row r="1138" spans="1:7" s="839" customFormat="1">
      <c r="A1138" s="765"/>
      <c r="B1138" s="766"/>
      <c r="C1138" s="765"/>
      <c r="D1138" s="763"/>
      <c r="E1138" s="764"/>
      <c r="F1138" s="793"/>
      <c r="G1138" s="763"/>
    </row>
    <row r="1139" spans="1:7" s="839" customFormat="1">
      <c r="A1139" s="765"/>
      <c r="B1139" s="766"/>
      <c r="C1139" s="765"/>
      <c r="D1139" s="763"/>
      <c r="E1139" s="764"/>
      <c r="F1139" s="793"/>
      <c r="G1139" s="763"/>
    </row>
    <row r="1140" spans="1:7" s="839" customFormat="1">
      <c r="A1140" s="765"/>
      <c r="B1140" s="766"/>
      <c r="C1140" s="765"/>
      <c r="D1140" s="763"/>
      <c r="E1140" s="764"/>
      <c r="F1140" s="793"/>
      <c r="G1140" s="763"/>
    </row>
    <row r="1141" spans="1:7" s="839" customFormat="1">
      <c r="A1141" s="765"/>
      <c r="B1141" s="766"/>
      <c r="C1141" s="765"/>
      <c r="D1141" s="763"/>
      <c r="E1141" s="764"/>
      <c r="F1141" s="793"/>
      <c r="G1141" s="763"/>
    </row>
    <row r="1142" spans="1:7" s="839" customFormat="1">
      <c r="A1142" s="765"/>
      <c r="B1142" s="766"/>
      <c r="C1142" s="765"/>
      <c r="D1142" s="763"/>
      <c r="E1142" s="764"/>
      <c r="F1142" s="793"/>
      <c r="G1142" s="763"/>
    </row>
    <row r="1143" spans="1:7" s="839" customFormat="1">
      <c r="A1143" s="765"/>
      <c r="B1143" s="766"/>
      <c r="C1143" s="765"/>
      <c r="D1143" s="763"/>
      <c r="E1143" s="764"/>
      <c r="F1143" s="793"/>
      <c r="G1143" s="763"/>
    </row>
    <row r="1144" spans="1:7" s="839" customFormat="1">
      <c r="A1144" s="765"/>
      <c r="B1144" s="766"/>
      <c r="C1144" s="765"/>
      <c r="D1144" s="763"/>
      <c r="E1144" s="764"/>
      <c r="F1144" s="793"/>
      <c r="G1144" s="763"/>
    </row>
    <row r="1145" spans="1:7" s="839" customFormat="1">
      <c r="A1145" s="765"/>
      <c r="B1145" s="766"/>
      <c r="C1145" s="765"/>
      <c r="D1145" s="763"/>
      <c r="E1145" s="764"/>
      <c r="F1145" s="793"/>
      <c r="G1145" s="763"/>
    </row>
    <row r="1146" spans="1:7" s="839" customFormat="1">
      <c r="A1146" s="765"/>
      <c r="B1146" s="766"/>
      <c r="C1146" s="765"/>
      <c r="D1146" s="763"/>
      <c r="E1146" s="764"/>
      <c r="F1146" s="793"/>
      <c r="G1146" s="763"/>
    </row>
    <row r="1147" spans="1:7" s="839" customFormat="1">
      <c r="A1147" s="765"/>
      <c r="B1147" s="766"/>
      <c r="C1147" s="765"/>
      <c r="D1147" s="763"/>
      <c r="E1147" s="764"/>
      <c r="F1147" s="793"/>
      <c r="G1147" s="763"/>
    </row>
    <row r="1148" spans="1:7" s="839" customFormat="1">
      <c r="A1148" s="765"/>
      <c r="B1148" s="766"/>
      <c r="C1148" s="765"/>
      <c r="D1148" s="763"/>
      <c r="E1148" s="764"/>
      <c r="F1148" s="793"/>
      <c r="G1148" s="763"/>
    </row>
    <row r="1149" spans="1:7" s="839" customFormat="1">
      <c r="A1149" s="765"/>
      <c r="B1149" s="766"/>
      <c r="C1149" s="765"/>
      <c r="D1149" s="763"/>
      <c r="E1149" s="764"/>
      <c r="F1149" s="793"/>
      <c r="G1149" s="763"/>
    </row>
    <row r="1150" spans="1:7" s="839" customFormat="1">
      <c r="A1150" s="765"/>
      <c r="B1150" s="766"/>
      <c r="C1150" s="765"/>
      <c r="D1150" s="763"/>
      <c r="E1150" s="764"/>
      <c r="F1150" s="793"/>
      <c r="G1150" s="763"/>
    </row>
    <row r="1151" spans="1:7" s="839" customFormat="1">
      <c r="A1151" s="765"/>
      <c r="B1151" s="766"/>
      <c r="C1151" s="765"/>
      <c r="D1151" s="763"/>
      <c r="E1151" s="764"/>
      <c r="F1151" s="793"/>
      <c r="G1151" s="763"/>
    </row>
    <row r="1152" spans="1:7" s="839" customFormat="1">
      <c r="A1152" s="765"/>
      <c r="B1152" s="766"/>
      <c r="C1152" s="765"/>
      <c r="D1152" s="763"/>
      <c r="E1152" s="764"/>
      <c r="F1152" s="793"/>
      <c r="G1152" s="763"/>
    </row>
    <row r="1153" spans="1:7" s="839" customFormat="1">
      <c r="A1153" s="765"/>
      <c r="B1153" s="766"/>
      <c r="C1153" s="765"/>
      <c r="D1153" s="763"/>
      <c r="E1153" s="764"/>
      <c r="F1153" s="793"/>
      <c r="G1153" s="763"/>
    </row>
    <row r="1154" spans="1:7" s="839" customFormat="1">
      <c r="A1154" s="765"/>
      <c r="B1154" s="766"/>
      <c r="C1154" s="765"/>
      <c r="D1154" s="763"/>
      <c r="E1154" s="764"/>
      <c r="F1154" s="793"/>
      <c r="G1154" s="763"/>
    </row>
    <row r="1155" spans="1:7" s="839" customFormat="1">
      <c r="A1155" s="765"/>
      <c r="B1155" s="766"/>
      <c r="C1155" s="765"/>
      <c r="D1155" s="763"/>
      <c r="E1155" s="764"/>
      <c r="F1155" s="793"/>
      <c r="G1155" s="763"/>
    </row>
    <row r="1156" spans="1:7" s="839" customFormat="1">
      <c r="A1156" s="765"/>
      <c r="B1156" s="766"/>
      <c r="C1156" s="765"/>
      <c r="D1156" s="763"/>
      <c r="E1156" s="764"/>
      <c r="F1156" s="793"/>
      <c r="G1156" s="763"/>
    </row>
    <row r="1157" spans="1:7" s="839" customFormat="1">
      <c r="A1157" s="765"/>
      <c r="B1157" s="766"/>
      <c r="C1157" s="765"/>
      <c r="D1157" s="763"/>
      <c r="E1157" s="764"/>
      <c r="F1157" s="793"/>
      <c r="G1157" s="763"/>
    </row>
    <row r="1158" spans="1:7" s="839" customFormat="1">
      <c r="A1158" s="765"/>
      <c r="B1158" s="766"/>
      <c r="C1158" s="765"/>
      <c r="D1158" s="763"/>
      <c r="E1158" s="764"/>
      <c r="F1158" s="793"/>
      <c r="G1158" s="763"/>
    </row>
    <row r="1159" spans="1:7" s="839" customFormat="1">
      <c r="A1159" s="765"/>
      <c r="B1159" s="766"/>
      <c r="C1159" s="765"/>
      <c r="D1159" s="763"/>
      <c r="E1159" s="764"/>
      <c r="F1159" s="793"/>
      <c r="G1159" s="763"/>
    </row>
    <row r="1160" spans="1:7" s="839" customFormat="1">
      <c r="A1160" s="765"/>
      <c r="B1160" s="766"/>
      <c r="C1160" s="765"/>
      <c r="D1160" s="763"/>
      <c r="E1160" s="764"/>
      <c r="F1160" s="793"/>
      <c r="G1160" s="763"/>
    </row>
    <row r="1161" spans="1:7" s="839" customFormat="1">
      <c r="A1161" s="765"/>
      <c r="B1161" s="766"/>
      <c r="C1161" s="765"/>
      <c r="D1161" s="763"/>
      <c r="E1161" s="764"/>
      <c r="F1161" s="793"/>
      <c r="G1161" s="763"/>
    </row>
    <row r="1162" spans="1:7" s="839" customFormat="1">
      <c r="A1162" s="765"/>
      <c r="B1162" s="766"/>
      <c r="C1162" s="765"/>
      <c r="D1162" s="763"/>
      <c r="E1162" s="764"/>
      <c r="F1162" s="793"/>
      <c r="G1162" s="763"/>
    </row>
    <row r="1163" spans="1:7" s="839" customFormat="1">
      <c r="A1163" s="765"/>
      <c r="B1163" s="766"/>
      <c r="C1163" s="765"/>
      <c r="D1163" s="763"/>
      <c r="E1163" s="764"/>
      <c r="F1163" s="793"/>
      <c r="G1163" s="763"/>
    </row>
    <row r="1164" spans="1:7" s="839" customFormat="1">
      <c r="A1164" s="765"/>
      <c r="B1164" s="766"/>
      <c r="C1164" s="765"/>
      <c r="D1164" s="763"/>
      <c r="E1164" s="764"/>
      <c r="F1164" s="793"/>
      <c r="G1164" s="763"/>
    </row>
    <row r="1165" spans="1:7" s="839" customFormat="1">
      <c r="A1165" s="765"/>
      <c r="B1165" s="766"/>
      <c r="C1165" s="765"/>
      <c r="D1165" s="763"/>
      <c r="E1165" s="764"/>
      <c r="F1165" s="793"/>
      <c r="G1165" s="763"/>
    </row>
    <row r="1166" spans="1:7" s="839" customFormat="1">
      <c r="A1166" s="765"/>
      <c r="B1166" s="766"/>
      <c r="C1166" s="765"/>
      <c r="D1166" s="763"/>
      <c r="E1166" s="764"/>
      <c r="F1166" s="793"/>
      <c r="G1166" s="763"/>
    </row>
    <row r="1167" spans="1:7" s="839" customFormat="1">
      <c r="A1167" s="765"/>
      <c r="B1167" s="766"/>
      <c r="C1167" s="765"/>
      <c r="D1167" s="763"/>
      <c r="E1167" s="764"/>
      <c r="F1167" s="793"/>
      <c r="G1167" s="763"/>
    </row>
    <row r="1168" spans="1:7" s="839" customFormat="1">
      <c r="A1168" s="765"/>
      <c r="B1168" s="766"/>
      <c r="C1168" s="765"/>
      <c r="D1168" s="763"/>
      <c r="E1168" s="764"/>
      <c r="F1168" s="793"/>
      <c r="G1168" s="763"/>
    </row>
    <row r="1169" spans="1:7" s="839" customFormat="1">
      <c r="A1169" s="765"/>
      <c r="B1169" s="766"/>
      <c r="C1169" s="765"/>
      <c r="D1169" s="763"/>
      <c r="E1169" s="764"/>
      <c r="F1169" s="793"/>
      <c r="G1169" s="763"/>
    </row>
    <row r="1170" spans="1:7" s="839" customFormat="1">
      <c r="A1170" s="765"/>
      <c r="B1170" s="766"/>
      <c r="C1170" s="765"/>
      <c r="D1170" s="763"/>
      <c r="E1170" s="764"/>
      <c r="F1170" s="793"/>
      <c r="G1170" s="763"/>
    </row>
    <row r="1171" spans="1:7" s="839" customFormat="1">
      <c r="A1171" s="765"/>
      <c r="B1171" s="766"/>
      <c r="C1171" s="765"/>
      <c r="D1171" s="763"/>
      <c r="E1171" s="764"/>
      <c r="F1171" s="793"/>
      <c r="G1171" s="763"/>
    </row>
    <row r="1172" spans="1:7" s="839" customFormat="1">
      <c r="A1172" s="765"/>
      <c r="B1172" s="766"/>
      <c r="C1172" s="765"/>
      <c r="D1172" s="763"/>
      <c r="E1172" s="764"/>
      <c r="F1172" s="793"/>
      <c r="G1172" s="763"/>
    </row>
    <row r="1173" spans="1:7" s="839" customFormat="1">
      <c r="A1173" s="765"/>
      <c r="B1173" s="766"/>
      <c r="C1173" s="765"/>
      <c r="D1173" s="763"/>
      <c r="E1173" s="764"/>
      <c r="F1173" s="793"/>
      <c r="G1173" s="763"/>
    </row>
    <row r="1174" spans="1:7" s="839" customFormat="1">
      <c r="A1174" s="765"/>
      <c r="B1174" s="766"/>
      <c r="C1174" s="765"/>
      <c r="D1174" s="763"/>
      <c r="E1174" s="764"/>
      <c r="F1174" s="793"/>
      <c r="G1174" s="763"/>
    </row>
    <row r="1175" spans="1:7" s="839" customFormat="1">
      <c r="A1175" s="765"/>
      <c r="B1175" s="766"/>
      <c r="C1175" s="765"/>
      <c r="D1175" s="763"/>
      <c r="E1175" s="764"/>
      <c r="F1175" s="793"/>
      <c r="G1175" s="763"/>
    </row>
    <row r="1176" spans="1:7" s="839" customFormat="1">
      <c r="A1176" s="765"/>
      <c r="B1176" s="766"/>
      <c r="C1176" s="765"/>
      <c r="D1176" s="763"/>
      <c r="E1176" s="764"/>
      <c r="F1176" s="793"/>
      <c r="G1176" s="763"/>
    </row>
    <row r="1177" spans="1:7" s="839" customFormat="1">
      <c r="A1177" s="765"/>
      <c r="B1177" s="766"/>
      <c r="C1177" s="765"/>
      <c r="D1177" s="763"/>
      <c r="E1177" s="764"/>
      <c r="F1177" s="793"/>
      <c r="G1177" s="763"/>
    </row>
    <row r="1178" spans="1:7" s="839" customFormat="1">
      <c r="A1178" s="765"/>
      <c r="B1178" s="766"/>
      <c r="C1178" s="765"/>
      <c r="D1178" s="763"/>
      <c r="E1178" s="764"/>
      <c r="F1178" s="793"/>
      <c r="G1178" s="763"/>
    </row>
    <row r="1179" spans="1:7" s="839" customFormat="1">
      <c r="A1179" s="765"/>
      <c r="B1179" s="766"/>
      <c r="C1179" s="765"/>
      <c r="D1179" s="763"/>
      <c r="E1179" s="764"/>
      <c r="F1179" s="793"/>
      <c r="G1179" s="763"/>
    </row>
    <row r="1180" spans="1:7" s="839" customFormat="1">
      <c r="A1180" s="765"/>
      <c r="B1180" s="766"/>
      <c r="C1180" s="765"/>
      <c r="D1180" s="763"/>
      <c r="E1180" s="764"/>
      <c r="F1180" s="793"/>
      <c r="G1180" s="763"/>
    </row>
    <row r="1181" spans="1:7" s="839" customFormat="1">
      <c r="A1181" s="765"/>
      <c r="B1181" s="766"/>
      <c r="C1181" s="765"/>
      <c r="D1181" s="763"/>
      <c r="E1181" s="764"/>
      <c r="F1181" s="793"/>
      <c r="G1181" s="763"/>
    </row>
    <row r="1182" spans="1:7" s="839" customFormat="1">
      <c r="A1182" s="765"/>
      <c r="B1182" s="766"/>
      <c r="C1182" s="765"/>
      <c r="D1182" s="763"/>
      <c r="E1182" s="764"/>
      <c r="F1182" s="793"/>
      <c r="G1182" s="763"/>
    </row>
    <row r="1183" spans="1:7" s="839" customFormat="1">
      <c r="A1183" s="765"/>
      <c r="B1183" s="766"/>
      <c r="C1183" s="765"/>
      <c r="D1183" s="763"/>
      <c r="E1183" s="764"/>
      <c r="F1183" s="793"/>
      <c r="G1183" s="763"/>
    </row>
    <row r="1184" spans="1:7" s="839" customFormat="1">
      <c r="A1184" s="765"/>
      <c r="B1184" s="766"/>
      <c r="C1184" s="765"/>
      <c r="D1184" s="763"/>
      <c r="E1184" s="764"/>
      <c r="F1184" s="793"/>
      <c r="G1184" s="763"/>
    </row>
    <row r="1185" spans="1:7" s="839" customFormat="1">
      <c r="A1185" s="765"/>
      <c r="B1185" s="766"/>
      <c r="C1185" s="765"/>
      <c r="D1185" s="763"/>
      <c r="E1185" s="764"/>
      <c r="F1185" s="793"/>
      <c r="G1185" s="763"/>
    </row>
    <row r="1186" spans="1:7" s="839" customFormat="1">
      <c r="A1186" s="765"/>
      <c r="B1186" s="766"/>
      <c r="C1186" s="765"/>
      <c r="D1186" s="763"/>
      <c r="E1186" s="764"/>
      <c r="F1186" s="793"/>
      <c r="G1186" s="763"/>
    </row>
    <row r="1187" spans="1:7" s="839" customFormat="1">
      <c r="A1187" s="765"/>
      <c r="B1187" s="766"/>
      <c r="C1187" s="765"/>
      <c r="D1187" s="763"/>
      <c r="E1187" s="764"/>
      <c r="F1187" s="793"/>
      <c r="G1187" s="763"/>
    </row>
    <row r="1188" spans="1:7" s="839" customFormat="1">
      <c r="A1188" s="765"/>
      <c r="B1188" s="766"/>
      <c r="C1188" s="765"/>
      <c r="D1188" s="763"/>
      <c r="E1188" s="764"/>
      <c r="F1188" s="793"/>
      <c r="G1188" s="763"/>
    </row>
    <row r="1189" spans="1:7" s="839" customFormat="1">
      <c r="A1189" s="765"/>
      <c r="B1189" s="766"/>
      <c r="C1189" s="765"/>
      <c r="D1189" s="763"/>
      <c r="E1189" s="764"/>
      <c r="F1189" s="793"/>
      <c r="G1189" s="763"/>
    </row>
    <row r="1190" spans="1:7" s="839" customFormat="1">
      <c r="A1190" s="765"/>
      <c r="B1190" s="766"/>
      <c r="C1190" s="765"/>
      <c r="D1190" s="763"/>
      <c r="E1190" s="764"/>
      <c r="F1190" s="793"/>
      <c r="G1190" s="763"/>
    </row>
    <row r="1191" spans="1:7" s="839" customFormat="1">
      <c r="A1191" s="765"/>
      <c r="B1191" s="766"/>
      <c r="C1191" s="765"/>
      <c r="D1191" s="763"/>
      <c r="E1191" s="764"/>
      <c r="F1191" s="793"/>
      <c r="G1191" s="763"/>
    </row>
    <row r="1192" spans="1:7" s="839" customFormat="1">
      <c r="A1192" s="765"/>
      <c r="B1192" s="766"/>
      <c r="C1192" s="765"/>
      <c r="D1192" s="763"/>
      <c r="E1192" s="764"/>
      <c r="F1192" s="793"/>
      <c r="G1192" s="763"/>
    </row>
    <row r="1193" spans="1:7" s="839" customFormat="1">
      <c r="A1193" s="765"/>
      <c r="B1193" s="766"/>
      <c r="C1193" s="765"/>
      <c r="D1193" s="763"/>
      <c r="E1193" s="764"/>
      <c r="F1193" s="793"/>
      <c r="G1193" s="763"/>
    </row>
    <row r="1194" spans="1:7" s="839" customFormat="1">
      <c r="A1194" s="765"/>
      <c r="B1194" s="766"/>
      <c r="C1194" s="765"/>
      <c r="D1194" s="763"/>
      <c r="E1194" s="764"/>
      <c r="F1194" s="793"/>
      <c r="G1194" s="763"/>
    </row>
    <row r="1195" spans="1:7" s="839" customFormat="1">
      <c r="A1195" s="765"/>
      <c r="B1195" s="766"/>
      <c r="C1195" s="765"/>
      <c r="D1195" s="763"/>
      <c r="E1195" s="764"/>
      <c r="F1195" s="793"/>
      <c r="G1195" s="763"/>
    </row>
    <row r="1196" spans="1:7" s="839" customFormat="1">
      <c r="A1196" s="765"/>
      <c r="B1196" s="766"/>
      <c r="C1196" s="765"/>
      <c r="D1196" s="763"/>
      <c r="E1196" s="764"/>
      <c r="F1196" s="793"/>
      <c r="G1196" s="763"/>
    </row>
    <row r="1197" spans="1:7" s="839" customFormat="1">
      <c r="A1197" s="765"/>
      <c r="B1197" s="766"/>
      <c r="C1197" s="765"/>
      <c r="D1197" s="763"/>
      <c r="E1197" s="764"/>
      <c r="F1197" s="793"/>
      <c r="G1197" s="763"/>
    </row>
    <row r="1198" spans="1:7" s="839" customFormat="1">
      <c r="A1198" s="765"/>
      <c r="B1198" s="766"/>
      <c r="C1198" s="765"/>
      <c r="D1198" s="763"/>
      <c r="E1198" s="764"/>
      <c r="F1198" s="793"/>
      <c r="G1198" s="763"/>
    </row>
    <row r="1199" spans="1:7" s="839" customFormat="1">
      <c r="A1199" s="765"/>
      <c r="B1199" s="766"/>
      <c r="C1199" s="765"/>
      <c r="D1199" s="763"/>
      <c r="E1199" s="764"/>
      <c r="F1199" s="793"/>
      <c r="G1199" s="763"/>
    </row>
    <row r="1200" spans="1:7" s="839" customFormat="1">
      <c r="A1200" s="765"/>
      <c r="B1200" s="766"/>
      <c r="C1200" s="765"/>
      <c r="D1200" s="763"/>
      <c r="E1200" s="764"/>
      <c r="F1200" s="793"/>
      <c r="G1200" s="763"/>
    </row>
    <row r="1201" spans="1:7" s="839" customFormat="1">
      <c r="A1201" s="765"/>
      <c r="B1201" s="766"/>
      <c r="C1201" s="765"/>
      <c r="D1201" s="763"/>
      <c r="E1201" s="764"/>
      <c r="F1201" s="793"/>
      <c r="G1201" s="763"/>
    </row>
    <row r="1202" spans="1:7" s="839" customFormat="1">
      <c r="A1202" s="765"/>
      <c r="B1202" s="766"/>
      <c r="C1202" s="765"/>
      <c r="D1202" s="763"/>
      <c r="E1202" s="764"/>
      <c r="F1202" s="793"/>
      <c r="G1202" s="763"/>
    </row>
    <row r="1203" spans="1:7" s="839" customFormat="1">
      <c r="A1203" s="765"/>
      <c r="B1203" s="766"/>
      <c r="C1203" s="765"/>
      <c r="D1203" s="763"/>
      <c r="E1203" s="764"/>
      <c r="F1203" s="793"/>
      <c r="G1203" s="763"/>
    </row>
    <row r="1204" spans="1:7" s="839" customFormat="1">
      <c r="A1204" s="765"/>
      <c r="B1204" s="766"/>
      <c r="C1204" s="765"/>
      <c r="D1204" s="763"/>
      <c r="E1204" s="764"/>
      <c r="F1204" s="793"/>
      <c r="G1204" s="763"/>
    </row>
    <row r="1205" spans="1:7" s="839" customFormat="1">
      <c r="A1205" s="765"/>
      <c r="B1205" s="766"/>
      <c r="C1205" s="765"/>
      <c r="D1205" s="763"/>
      <c r="E1205" s="764"/>
      <c r="F1205" s="793"/>
      <c r="G1205" s="763"/>
    </row>
    <row r="1206" spans="1:7" s="839" customFormat="1">
      <c r="A1206" s="765"/>
      <c r="B1206" s="766"/>
      <c r="C1206" s="765"/>
      <c r="D1206" s="763"/>
      <c r="E1206" s="764"/>
      <c r="F1206" s="793"/>
      <c r="G1206" s="763"/>
    </row>
    <row r="1207" spans="1:7" s="839" customFormat="1">
      <c r="A1207" s="765"/>
      <c r="B1207" s="766"/>
      <c r="C1207" s="765"/>
      <c r="D1207" s="763"/>
      <c r="E1207" s="764"/>
      <c r="F1207" s="793"/>
      <c r="G1207" s="763"/>
    </row>
    <row r="1208" spans="1:7" s="839" customFormat="1">
      <c r="A1208" s="765"/>
      <c r="B1208" s="766"/>
      <c r="C1208" s="765"/>
      <c r="D1208" s="763"/>
      <c r="E1208" s="764"/>
      <c r="F1208" s="793"/>
      <c r="G1208" s="763"/>
    </row>
    <row r="1209" spans="1:7" s="839" customFormat="1">
      <c r="A1209" s="765"/>
      <c r="B1209" s="766"/>
      <c r="C1209" s="765"/>
      <c r="D1209" s="763"/>
      <c r="E1209" s="764"/>
      <c r="F1209" s="793"/>
      <c r="G1209" s="763"/>
    </row>
    <row r="1210" spans="1:7" s="839" customFormat="1">
      <c r="A1210" s="765"/>
      <c r="B1210" s="766"/>
      <c r="C1210" s="765"/>
      <c r="D1210" s="763"/>
      <c r="E1210" s="764"/>
      <c r="F1210" s="793"/>
      <c r="G1210" s="763"/>
    </row>
    <row r="1211" spans="1:7" s="839" customFormat="1">
      <c r="A1211" s="765"/>
      <c r="B1211" s="766"/>
      <c r="C1211" s="765"/>
      <c r="D1211" s="763"/>
      <c r="E1211" s="764"/>
      <c r="F1211" s="793"/>
      <c r="G1211" s="763"/>
    </row>
    <row r="1212" spans="1:7" s="839" customFormat="1">
      <c r="A1212" s="765"/>
      <c r="B1212" s="766"/>
      <c r="C1212" s="765"/>
      <c r="D1212" s="763"/>
      <c r="E1212" s="764"/>
      <c r="F1212" s="793"/>
      <c r="G1212" s="763"/>
    </row>
    <row r="1213" spans="1:7" s="839" customFormat="1">
      <c r="A1213" s="765"/>
      <c r="B1213" s="766"/>
      <c r="C1213" s="765"/>
      <c r="D1213" s="763"/>
      <c r="E1213" s="764"/>
      <c r="F1213" s="793"/>
      <c r="G1213" s="763"/>
    </row>
    <row r="1214" spans="1:7" s="839" customFormat="1">
      <c r="A1214" s="765"/>
      <c r="B1214" s="766"/>
      <c r="C1214" s="765"/>
      <c r="D1214" s="763"/>
      <c r="E1214" s="764"/>
      <c r="F1214" s="793"/>
      <c r="G1214" s="763"/>
    </row>
    <row r="1215" spans="1:7" s="839" customFormat="1">
      <c r="A1215" s="765"/>
      <c r="B1215" s="766"/>
      <c r="C1215" s="765"/>
      <c r="D1215" s="763"/>
      <c r="E1215" s="764"/>
      <c r="F1215" s="793"/>
      <c r="G1215" s="763"/>
    </row>
    <row r="1216" spans="1:7" s="839" customFormat="1">
      <c r="A1216" s="765"/>
      <c r="B1216" s="766"/>
      <c r="C1216" s="765"/>
      <c r="D1216" s="763"/>
      <c r="E1216" s="764"/>
      <c r="F1216" s="793"/>
      <c r="G1216" s="763"/>
    </row>
    <row r="1217" spans="1:87" s="839" customFormat="1">
      <c r="A1217" s="765"/>
      <c r="B1217" s="766"/>
      <c r="C1217" s="765"/>
      <c r="D1217" s="763"/>
      <c r="E1217" s="764"/>
      <c r="F1217" s="793"/>
      <c r="G1217" s="763"/>
    </row>
    <row r="1218" spans="1:87" s="839" customFormat="1">
      <c r="A1218" s="765"/>
      <c r="B1218" s="766"/>
      <c r="C1218" s="765"/>
      <c r="D1218" s="763"/>
      <c r="E1218" s="764"/>
      <c r="F1218" s="793"/>
      <c r="G1218" s="763"/>
    </row>
    <row r="1219" spans="1:87" s="839" customFormat="1">
      <c r="A1219" s="765"/>
      <c r="B1219" s="766"/>
      <c r="C1219" s="765"/>
      <c r="D1219" s="763"/>
      <c r="E1219" s="764"/>
      <c r="F1219" s="793"/>
      <c r="G1219" s="763"/>
    </row>
    <row r="1220" spans="1:87" s="839" customFormat="1">
      <c r="A1220" s="765"/>
      <c r="B1220" s="766"/>
      <c r="C1220" s="765"/>
      <c r="D1220" s="763"/>
      <c r="E1220" s="764"/>
      <c r="F1220" s="793"/>
      <c r="G1220" s="763"/>
    </row>
    <row r="1221" spans="1:87" s="839" customFormat="1">
      <c r="A1221" s="765"/>
      <c r="B1221" s="766"/>
      <c r="C1221" s="765"/>
      <c r="D1221" s="763"/>
      <c r="E1221" s="764"/>
      <c r="F1221" s="793"/>
      <c r="G1221" s="763"/>
    </row>
    <row r="1222" spans="1:87" s="839" customFormat="1">
      <c r="A1222" s="765"/>
      <c r="B1222" s="766"/>
      <c r="C1222" s="765"/>
      <c r="D1222" s="763"/>
      <c r="E1222" s="764"/>
      <c r="F1222" s="793"/>
      <c r="G1222" s="763"/>
    </row>
    <row r="1223" spans="1:87" s="839" customFormat="1">
      <c r="A1223" s="765"/>
      <c r="B1223" s="766"/>
      <c r="C1223" s="765"/>
      <c r="D1223" s="763"/>
      <c r="E1223" s="764"/>
      <c r="F1223" s="793"/>
      <c r="G1223" s="763"/>
    </row>
    <row r="1224" spans="1:87" s="839" customFormat="1">
      <c r="A1224" s="765"/>
      <c r="B1224" s="766"/>
      <c r="C1224" s="765"/>
      <c r="D1224" s="763"/>
      <c r="E1224" s="764"/>
      <c r="F1224" s="793"/>
      <c r="G1224" s="763"/>
    </row>
    <row r="1225" spans="1:87" s="840" customFormat="1">
      <c r="A1225" s="780"/>
      <c r="B1225" s="781"/>
      <c r="C1225" s="782"/>
      <c r="D1225" s="783"/>
      <c r="E1225" s="784"/>
      <c r="F1225" s="794"/>
      <c r="G1225" s="783"/>
      <c r="J1225" s="841"/>
      <c r="K1225" s="839"/>
      <c r="L1225" s="839"/>
      <c r="M1225" s="839"/>
      <c r="N1225" s="839"/>
      <c r="O1225" s="839"/>
      <c r="P1225" s="839"/>
      <c r="Q1225" s="839"/>
      <c r="R1225" s="839"/>
      <c r="S1225" s="839"/>
      <c r="T1225" s="839"/>
      <c r="U1225" s="839"/>
      <c r="V1225" s="839"/>
      <c r="W1225" s="839"/>
      <c r="X1225" s="839"/>
      <c r="Y1225" s="839"/>
      <c r="Z1225" s="839"/>
      <c r="AA1225" s="839"/>
      <c r="AB1225" s="839"/>
      <c r="AC1225" s="839"/>
      <c r="AD1225" s="839"/>
      <c r="AE1225" s="839"/>
      <c r="AF1225" s="839"/>
      <c r="AG1225" s="839"/>
      <c r="AH1225" s="839"/>
      <c r="AI1225" s="839"/>
      <c r="AJ1225" s="839"/>
      <c r="AK1225" s="839"/>
      <c r="AL1225" s="839"/>
      <c r="AM1225" s="839"/>
      <c r="AN1225" s="839"/>
      <c r="AO1225" s="839"/>
      <c r="AP1225" s="839"/>
      <c r="AQ1225" s="839"/>
      <c r="AR1225" s="839"/>
      <c r="AS1225" s="839"/>
      <c r="AT1225" s="839"/>
      <c r="AU1225" s="839"/>
      <c r="AV1225" s="839"/>
      <c r="AW1225" s="839"/>
      <c r="AX1225" s="839"/>
      <c r="AY1225" s="839"/>
      <c r="AZ1225" s="839"/>
      <c r="BA1225" s="839"/>
      <c r="BB1225" s="839"/>
      <c r="BC1225" s="839"/>
      <c r="BD1225" s="839"/>
      <c r="BE1225" s="839"/>
      <c r="BF1225" s="839"/>
      <c r="BG1225" s="839"/>
      <c r="BH1225" s="839"/>
      <c r="BI1225" s="839"/>
      <c r="BJ1225" s="839"/>
      <c r="BK1225" s="839"/>
      <c r="BL1225" s="839"/>
      <c r="BM1225" s="839"/>
      <c r="BN1225" s="839"/>
      <c r="BO1225" s="839"/>
      <c r="BP1225" s="839"/>
      <c r="BQ1225" s="839"/>
      <c r="BR1225" s="839"/>
      <c r="BS1225" s="839"/>
      <c r="BT1225" s="839"/>
      <c r="BU1225" s="839"/>
      <c r="BV1225" s="839"/>
      <c r="BW1225" s="839"/>
      <c r="BX1225" s="839"/>
      <c r="BY1225" s="839"/>
      <c r="BZ1225" s="839"/>
      <c r="CA1225" s="839"/>
      <c r="CB1225" s="839"/>
      <c r="CC1225" s="839"/>
      <c r="CD1225" s="839"/>
      <c r="CE1225" s="839"/>
      <c r="CF1225" s="839"/>
      <c r="CG1225" s="839"/>
      <c r="CH1225" s="839"/>
      <c r="CI1225" s="839"/>
    </row>
    <row r="1226" spans="1:87">
      <c r="A1226" s="779"/>
    </row>
    <row r="1227" spans="1:87">
      <c r="A1227" s="779"/>
    </row>
    <row r="1228" spans="1:87">
      <c r="A1228" s="779"/>
    </row>
    <row r="1229" spans="1:87">
      <c r="A1229" s="779"/>
    </row>
    <row r="1230" spans="1:87">
      <c r="A1230" s="779"/>
    </row>
    <row r="1231" spans="1:87">
      <c r="A1231" s="779"/>
    </row>
    <row r="1232" spans="1:87">
      <c r="A1232" s="779"/>
    </row>
    <row r="1233" spans="1:1">
      <c r="A1233" s="779"/>
    </row>
    <row r="1234" spans="1:1">
      <c r="A1234" s="779"/>
    </row>
    <row r="1235" spans="1:1">
      <c r="A1235" s="779"/>
    </row>
    <row r="1236" spans="1:1">
      <c r="A1236" s="779"/>
    </row>
    <row r="1237" spans="1:1">
      <c r="A1237" s="779"/>
    </row>
    <row r="1238" spans="1:1">
      <c r="A1238" s="779"/>
    </row>
    <row r="1239" spans="1:1">
      <c r="A1239" s="779"/>
    </row>
    <row r="1240" spans="1:1">
      <c r="A1240" s="779"/>
    </row>
    <row r="1241" spans="1:1">
      <c r="A1241" s="779"/>
    </row>
    <row r="1242" spans="1:1">
      <c r="A1242" s="779"/>
    </row>
    <row r="1243" spans="1:1">
      <c r="A1243" s="779"/>
    </row>
    <row r="1244" spans="1:1">
      <c r="A1244" s="779"/>
    </row>
    <row r="1245" spans="1:1">
      <c r="A1245" s="779"/>
    </row>
    <row r="1246" spans="1:1">
      <c r="A1246" s="779"/>
    </row>
    <row r="1247" spans="1:1">
      <c r="A1247" s="779"/>
    </row>
    <row r="1248" spans="1:1">
      <c r="A1248" s="779"/>
    </row>
    <row r="1249" spans="1:1">
      <c r="A1249" s="779"/>
    </row>
    <row r="1250" spans="1:1">
      <c r="A1250" s="779"/>
    </row>
    <row r="1251" spans="1:1">
      <c r="A1251" s="779"/>
    </row>
    <row r="1252" spans="1:1">
      <c r="A1252" s="779"/>
    </row>
    <row r="1253" spans="1:1">
      <c r="A1253" s="779"/>
    </row>
    <row r="1254" spans="1:1">
      <c r="A1254" s="779"/>
    </row>
    <row r="1255" spans="1:1">
      <c r="A1255" s="779"/>
    </row>
    <row r="1256" spans="1:1">
      <c r="A1256" s="779"/>
    </row>
    <row r="1257" spans="1:1">
      <c r="A1257" s="779"/>
    </row>
    <row r="1258" spans="1:1">
      <c r="A1258" s="779"/>
    </row>
    <row r="1259" spans="1:1">
      <c r="A1259" s="779"/>
    </row>
    <row r="1260" spans="1:1">
      <c r="A1260" s="779"/>
    </row>
    <row r="1261" spans="1:1">
      <c r="A1261" s="779"/>
    </row>
    <row r="1262" spans="1:1">
      <c r="A1262" s="779"/>
    </row>
    <row r="1263" spans="1:1">
      <c r="A1263" s="779"/>
    </row>
    <row r="1264" spans="1:1">
      <c r="A1264" s="779"/>
    </row>
    <row r="1265" spans="1:1">
      <c r="A1265" s="779"/>
    </row>
    <row r="1266" spans="1:1">
      <c r="A1266" s="779"/>
    </row>
    <row r="1267" spans="1:1">
      <c r="A1267" s="779"/>
    </row>
    <row r="1268" spans="1:1">
      <c r="A1268" s="779"/>
    </row>
    <row r="1269" spans="1:1">
      <c r="A1269" s="779"/>
    </row>
    <row r="1270" spans="1:1">
      <c r="A1270" s="779"/>
    </row>
    <row r="1271" spans="1:1">
      <c r="A1271" s="779"/>
    </row>
    <row r="1272" spans="1:1">
      <c r="A1272" s="779"/>
    </row>
    <row r="1273" spans="1:1">
      <c r="A1273" s="779"/>
    </row>
    <row r="1274" spans="1:1">
      <c r="A1274" s="779"/>
    </row>
    <row r="1275" spans="1:1">
      <c r="A1275" s="779"/>
    </row>
    <row r="1276" spans="1:1">
      <c r="A1276" s="779"/>
    </row>
    <row r="1277" spans="1:1">
      <c r="A1277" s="779"/>
    </row>
    <row r="1278" spans="1:1">
      <c r="A1278" s="779"/>
    </row>
    <row r="1279" spans="1:1">
      <c r="A1279" s="779"/>
    </row>
    <row r="1280" spans="1:1">
      <c r="A1280" s="779"/>
    </row>
    <row r="1281" spans="1:1">
      <c r="A1281" s="779"/>
    </row>
    <row r="1282" spans="1:1">
      <c r="A1282" s="779"/>
    </row>
    <row r="1283" spans="1:1">
      <c r="A1283" s="779"/>
    </row>
    <row r="1284" spans="1:1">
      <c r="A1284" s="779"/>
    </row>
    <row r="1285" spans="1:1">
      <c r="A1285" s="779"/>
    </row>
    <row r="1286" spans="1:1">
      <c r="A1286" s="779"/>
    </row>
    <row r="1287" spans="1:1">
      <c r="A1287" s="779"/>
    </row>
    <row r="1288" spans="1:1">
      <c r="A1288" s="779"/>
    </row>
    <row r="1289" spans="1:1">
      <c r="A1289" s="779"/>
    </row>
    <row r="1290" spans="1:1">
      <c r="A1290" s="779"/>
    </row>
    <row r="1291" spans="1:1">
      <c r="A1291" s="779"/>
    </row>
    <row r="1292" spans="1:1">
      <c r="A1292" s="779"/>
    </row>
    <row r="1293" spans="1:1">
      <c r="A1293" s="779"/>
    </row>
    <row r="1294" spans="1:1">
      <c r="A1294" s="779"/>
    </row>
    <row r="1295" spans="1:1">
      <c r="A1295" s="779"/>
    </row>
    <row r="1296" spans="1:1">
      <c r="A1296" s="779"/>
    </row>
    <row r="1297" spans="1:1">
      <c r="A1297" s="779"/>
    </row>
    <row r="1298" spans="1:1">
      <c r="A1298" s="779"/>
    </row>
    <row r="1299" spans="1:1">
      <c r="A1299" s="779"/>
    </row>
    <row r="1300" spans="1:1">
      <c r="A1300" s="779"/>
    </row>
    <row r="1301" spans="1:1">
      <c r="A1301" s="779"/>
    </row>
    <row r="1302" spans="1:1">
      <c r="A1302" s="779"/>
    </row>
    <row r="1303" spans="1:1">
      <c r="A1303" s="779"/>
    </row>
    <row r="1304" spans="1:1">
      <c r="A1304" s="779"/>
    </row>
    <row r="1305" spans="1:1">
      <c r="A1305" s="779"/>
    </row>
    <row r="1306" spans="1:1">
      <c r="A1306" s="779"/>
    </row>
    <row r="1307" spans="1:1">
      <c r="A1307" s="779"/>
    </row>
    <row r="1308" spans="1:1">
      <c r="A1308" s="779"/>
    </row>
    <row r="1309" spans="1:1">
      <c r="A1309" s="779"/>
    </row>
    <row r="1310" spans="1:1">
      <c r="A1310" s="779"/>
    </row>
    <row r="1311" spans="1:1">
      <c r="A1311" s="779"/>
    </row>
    <row r="1312" spans="1:1">
      <c r="A1312" s="779"/>
    </row>
    <row r="1313" spans="1:1">
      <c r="A1313" s="779"/>
    </row>
    <row r="1314" spans="1:1">
      <c r="A1314" s="779"/>
    </row>
    <row r="1315" spans="1:1">
      <c r="A1315" s="779"/>
    </row>
    <row r="1316" spans="1:1">
      <c r="A1316" s="779"/>
    </row>
    <row r="1317" spans="1:1">
      <c r="A1317" s="779"/>
    </row>
    <row r="1318" spans="1:1">
      <c r="A1318" s="779"/>
    </row>
    <row r="1319" spans="1:1">
      <c r="A1319" s="779"/>
    </row>
    <row r="1320" spans="1:1">
      <c r="A1320" s="779"/>
    </row>
    <row r="1321" spans="1:1">
      <c r="A1321" s="779"/>
    </row>
    <row r="1322" spans="1:1">
      <c r="A1322" s="779"/>
    </row>
    <row r="1323" spans="1:1">
      <c r="A1323" s="779"/>
    </row>
    <row r="1324" spans="1:1">
      <c r="A1324" s="779"/>
    </row>
    <row r="1325" spans="1:1">
      <c r="A1325" s="779"/>
    </row>
    <row r="1326" spans="1:1">
      <c r="A1326" s="779"/>
    </row>
    <row r="1327" spans="1:1">
      <c r="A1327" s="779"/>
    </row>
    <row r="1328" spans="1:1">
      <c r="A1328" s="779"/>
    </row>
    <row r="1329" spans="1:1">
      <c r="A1329" s="779"/>
    </row>
    <row r="1330" spans="1:1">
      <c r="A1330" s="779"/>
    </row>
    <row r="1331" spans="1:1">
      <c r="A1331" s="779"/>
    </row>
    <row r="1332" spans="1:1">
      <c r="A1332" s="779"/>
    </row>
    <row r="1333" spans="1:1">
      <c r="A1333" s="779"/>
    </row>
    <row r="1334" spans="1:1">
      <c r="A1334" s="779"/>
    </row>
    <row r="1335" spans="1:1">
      <c r="A1335" s="779"/>
    </row>
    <row r="1336" spans="1:1">
      <c r="A1336" s="779"/>
    </row>
    <row r="1337" spans="1:1">
      <c r="A1337" s="779"/>
    </row>
    <row r="1338" spans="1:1">
      <c r="A1338" s="779"/>
    </row>
    <row r="1339" spans="1:1">
      <c r="A1339" s="779"/>
    </row>
    <row r="1340" spans="1:1">
      <c r="A1340" s="779"/>
    </row>
    <row r="1341" spans="1:1">
      <c r="A1341" s="779"/>
    </row>
    <row r="1342" spans="1:1">
      <c r="A1342" s="779"/>
    </row>
    <row r="1343" spans="1:1">
      <c r="A1343" s="779"/>
    </row>
    <row r="1344" spans="1:1">
      <c r="A1344" s="779"/>
    </row>
    <row r="1345" spans="1:1">
      <c r="A1345" s="779"/>
    </row>
    <row r="1346" spans="1:1">
      <c r="A1346" s="779"/>
    </row>
    <row r="1347" spans="1:1">
      <c r="A1347" s="779"/>
    </row>
    <row r="1348" spans="1:1">
      <c r="A1348" s="779"/>
    </row>
    <row r="1349" spans="1:1">
      <c r="A1349" s="779"/>
    </row>
    <row r="1350" spans="1:1">
      <c r="A1350" s="779"/>
    </row>
    <row r="1351" spans="1:1">
      <c r="A1351" s="779"/>
    </row>
    <row r="1352" spans="1:1">
      <c r="A1352" s="779"/>
    </row>
    <row r="1353" spans="1:1">
      <c r="A1353" s="779"/>
    </row>
    <row r="1354" spans="1:1">
      <c r="A1354" s="779"/>
    </row>
    <row r="1355" spans="1:1">
      <c r="A1355" s="779"/>
    </row>
    <row r="1356" spans="1:1">
      <c r="A1356" s="779"/>
    </row>
    <row r="1357" spans="1:1">
      <c r="A1357" s="779"/>
    </row>
    <row r="1358" spans="1:1">
      <c r="A1358" s="779"/>
    </row>
    <row r="1359" spans="1:1">
      <c r="A1359" s="779"/>
    </row>
    <row r="1360" spans="1:1">
      <c r="A1360" s="779"/>
    </row>
    <row r="1361" spans="1:1">
      <c r="A1361" s="779"/>
    </row>
    <row r="1362" spans="1:1">
      <c r="A1362" s="779"/>
    </row>
    <row r="1363" spans="1:1">
      <c r="A1363" s="779"/>
    </row>
    <row r="1364" spans="1:1">
      <c r="A1364" s="779"/>
    </row>
    <row r="1365" spans="1:1">
      <c r="A1365" s="779"/>
    </row>
    <row r="1366" spans="1:1">
      <c r="A1366" s="779"/>
    </row>
    <row r="1367" spans="1:1">
      <c r="A1367" s="779"/>
    </row>
    <row r="1368" spans="1:1">
      <c r="A1368" s="779"/>
    </row>
    <row r="1369" spans="1:1">
      <c r="A1369" s="779"/>
    </row>
    <row r="1370" spans="1:1">
      <c r="A1370" s="779"/>
    </row>
    <row r="1371" spans="1:1">
      <c r="A1371" s="779"/>
    </row>
    <row r="1372" spans="1:1">
      <c r="A1372" s="779"/>
    </row>
    <row r="1373" spans="1:1">
      <c r="A1373" s="779"/>
    </row>
    <row r="1374" spans="1:1">
      <c r="A1374" s="779"/>
    </row>
    <row r="1375" spans="1:1">
      <c r="A1375" s="779"/>
    </row>
    <row r="1376" spans="1:1">
      <c r="A1376" s="779"/>
    </row>
    <row r="1377" spans="1:1">
      <c r="A1377" s="779"/>
    </row>
    <row r="1378" spans="1:1">
      <c r="A1378" s="779"/>
    </row>
    <row r="1379" spans="1:1">
      <c r="A1379" s="779"/>
    </row>
    <row r="1380" spans="1:1">
      <c r="A1380" s="779"/>
    </row>
    <row r="1381" spans="1:1">
      <c r="A1381" s="779"/>
    </row>
    <row r="1382" spans="1:1">
      <c r="A1382" s="779"/>
    </row>
    <row r="1383" spans="1:1">
      <c r="A1383" s="779"/>
    </row>
    <row r="1384" spans="1:1">
      <c r="A1384" s="779"/>
    </row>
    <row r="1385" spans="1:1">
      <c r="A1385" s="779"/>
    </row>
    <row r="1386" spans="1:1">
      <c r="A1386" s="779"/>
    </row>
    <row r="1387" spans="1:1">
      <c r="A1387" s="779"/>
    </row>
    <row r="1388" spans="1:1">
      <c r="A1388" s="779"/>
    </row>
    <row r="1389" spans="1:1">
      <c r="A1389" s="779"/>
    </row>
    <row r="1390" spans="1:1">
      <c r="A1390" s="779"/>
    </row>
    <row r="1391" spans="1:1">
      <c r="A1391" s="779"/>
    </row>
    <row r="1392" spans="1:1">
      <c r="A1392" s="779"/>
    </row>
    <row r="1393" spans="1:1">
      <c r="A1393" s="779"/>
    </row>
    <row r="1394" spans="1:1">
      <c r="A1394" s="779"/>
    </row>
    <row r="1395" spans="1:1">
      <c r="A1395" s="779"/>
    </row>
    <row r="1396" spans="1:1">
      <c r="A1396" s="779"/>
    </row>
    <row r="1397" spans="1:1">
      <c r="A1397" s="779"/>
    </row>
    <row r="1398" spans="1:1">
      <c r="A1398" s="779"/>
    </row>
    <row r="1399" spans="1:1">
      <c r="A1399" s="779"/>
    </row>
    <row r="1400" spans="1:1">
      <c r="A1400" s="779"/>
    </row>
    <row r="1401" spans="1:1">
      <c r="A1401" s="779"/>
    </row>
    <row r="1402" spans="1:1">
      <c r="A1402" s="779"/>
    </row>
    <row r="1403" spans="1:1">
      <c r="A1403" s="779"/>
    </row>
    <row r="1404" spans="1:1">
      <c r="A1404" s="779"/>
    </row>
    <row r="1405" spans="1:1">
      <c r="A1405" s="779"/>
    </row>
    <row r="1406" spans="1:1">
      <c r="A1406" s="779"/>
    </row>
    <row r="1407" spans="1:1">
      <c r="A1407" s="779"/>
    </row>
    <row r="1408" spans="1:1">
      <c r="A1408" s="779"/>
    </row>
    <row r="1409" spans="1:1">
      <c r="A1409" s="779"/>
    </row>
    <row r="1410" spans="1:1">
      <c r="A1410" s="779"/>
    </row>
    <row r="1411" spans="1:1">
      <c r="A1411" s="779"/>
    </row>
    <row r="1412" spans="1:1">
      <c r="A1412" s="779"/>
    </row>
    <row r="1413" spans="1:1">
      <c r="A1413" s="779"/>
    </row>
    <row r="1414" spans="1:1">
      <c r="A1414" s="779"/>
    </row>
    <row r="1415" spans="1:1">
      <c r="A1415" s="779"/>
    </row>
    <row r="1416" spans="1:1">
      <c r="A1416" s="779"/>
    </row>
    <row r="1417" spans="1:1">
      <c r="A1417" s="779"/>
    </row>
    <row r="1418" spans="1:1">
      <c r="A1418" s="779"/>
    </row>
    <row r="1419" spans="1:1">
      <c r="A1419" s="779"/>
    </row>
    <row r="1420" spans="1:1">
      <c r="A1420" s="779"/>
    </row>
    <row r="1421" spans="1:1">
      <c r="A1421" s="779"/>
    </row>
    <row r="1422" spans="1:1">
      <c r="A1422" s="779"/>
    </row>
    <row r="1423" spans="1:1">
      <c r="A1423" s="779"/>
    </row>
    <row r="1424" spans="1:1">
      <c r="A1424" s="779"/>
    </row>
    <row r="1425" spans="1:1">
      <c r="A1425" s="779"/>
    </row>
    <row r="1426" spans="1:1">
      <c r="A1426" s="779"/>
    </row>
    <row r="1427" spans="1:1">
      <c r="A1427" s="779"/>
    </row>
    <row r="1428" spans="1:1">
      <c r="A1428" s="779"/>
    </row>
    <row r="1429" spans="1:1">
      <c r="A1429" s="779"/>
    </row>
    <row r="1430" spans="1:1">
      <c r="A1430" s="779"/>
    </row>
    <row r="1431" spans="1:1">
      <c r="A1431" s="779"/>
    </row>
    <row r="1432" spans="1:1">
      <c r="A1432" s="779"/>
    </row>
    <row r="1433" spans="1:1">
      <c r="A1433" s="779"/>
    </row>
    <row r="1434" spans="1:1">
      <c r="A1434" s="779"/>
    </row>
    <row r="1435" spans="1:1">
      <c r="A1435" s="779"/>
    </row>
    <row r="1436" spans="1:1">
      <c r="A1436" s="779"/>
    </row>
    <row r="1437" spans="1:1">
      <c r="A1437" s="779"/>
    </row>
    <row r="1438" spans="1:1">
      <c r="A1438" s="779"/>
    </row>
    <row r="1439" spans="1:1">
      <c r="A1439" s="779"/>
    </row>
    <row r="1440" spans="1:1">
      <c r="A1440" s="779"/>
    </row>
    <row r="1441" spans="1:1">
      <c r="A1441" s="779"/>
    </row>
    <row r="1442" spans="1:1">
      <c r="A1442" s="779"/>
    </row>
    <row r="1443" spans="1:1">
      <c r="A1443" s="779"/>
    </row>
    <row r="1444" spans="1:1">
      <c r="A1444" s="779"/>
    </row>
    <row r="1445" spans="1:1">
      <c r="A1445" s="779"/>
    </row>
    <row r="1446" spans="1:1">
      <c r="A1446" s="779"/>
    </row>
    <row r="1447" spans="1:1">
      <c r="A1447" s="779"/>
    </row>
    <row r="1448" spans="1:1">
      <c r="A1448" s="779"/>
    </row>
    <row r="1449" spans="1:1">
      <c r="A1449" s="779"/>
    </row>
    <row r="1450" spans="1:1">
      <c r="A1450" s="779"/>
    </row>
    <row r="1451" spans="1:1">
      <c r="A1451" s="779"/>
    </row>
    <row r="1452" spans="1:1">
      <c r="A1452" s="779"/>
    </row>
    <row r="1453" spans="1:1">
      <c r="A1453" s="779"/>
    </row>
    <row r="1454" spans="1:1">
      <c r="A1454" s="779"/>
    </row>
    <row r="1455" spans="1:1">
      <c r="A1455" s="779"/>
    </row>
    <row r="1456" spans="1:1">
      <c r="A1456" s="779"/>
    </row>
    <row r="1457" spans="1:1">
      <c r="A1457" s="779"/>
    </row>
    <row r="1458" spans="1:1">
      <c r="A1458" s="779"/>
    </row>
    <row r="1459" spans="1:1">
      <c r="A1459" s="779"/>
    </row>
    <row r="1460" spans="1:1">
      <c r="A1460" s="779"/>
    </row>
    <row r="1461" spans="1:1">
      <c r="A1461" s="779"/>
    </row>
    <row r="1462" spans="1:1">
      <c r="A1462" s="779"/>
    </row>
    <row r="1463" spans="1:1">
      <c r="A1463" s="779"/>
    </row>
    <row r="1464" spans="1:1">
      <c r="A1464" s="779"/>
    </row>
    <row r="1465" spans="1:1">
      <c r="A1465" s="779"/>
    </row>
    <row r="1466" spans="1:1">
      <c r="A1466" s="779"/>
    </row>
    <row r="1467" spans="1:1">
      <c r="A1467" s="779"/>
    </row>
    <row r="1468" spans="1:1">
      <c r="A1468" s="779"/>
    </row>
    <row r="1469" spans="1:1">
      <c r="A1469" s="779"/>
    </row>
    <row r="1470" spans="1:1">
      <c r="A1470" s="779"/>
    </row>
    <row r="1471" spans="1:1">
      <c r="A1471" s="779"/>
    </row>
    <row r="1472" spans="1:1">
      <c r="A1472" s="779"/>
    </row>
    <row r="1473" spans="1:1">
      <c r="A1473" s="779"/>
    </row>
    <row r="1474" spans="1:1">
      <c r="A1474" s="779"/>
    </row>
    <row r="1475" spans="1:1">
      <c r="A1475" s="779"/>
    </row>
    <row r="1476" spans="1:1">
      <c r="A1476" s="779"/>
    </row>
    <row r="1477" spans="1:1">
      <c r="A1477" s="779"/>
    </row>
    <row r="1478" spans="1:1">
      <c r="A1478" s="779"/>
    </row>
    <row r="1479" spans="1:1">
      <c r="A1479" s="779"/>
    </row>
    <row r="1480" spans="1:1">
      <c r="A1480" s="779"/>
    </row>
    <row r="1481" spans="1:1">
      <c r="A1481" s="779"/>
    </row>
    <row r="1482" spans="1:1">
      <c r="A1482" s="779"/>
    </row>
    <row r="1483" spans="1:1">
      <c r="A1483" s="779"/>
    </row>
    <row r="1484" spans="1:1">
      <c r="A1484" s="779"/>
    </row>
    <row r="1485" spans="1:1">
      <c r="A1485" s="779"/>
    </row>
    <row r="1486" spans="1:1">
      <c r="A1486" s="779"/>
    </row>
    <row r="1487" spans="1:1">
      <c r="A1487" s="779"/>
    </row>
    <row r="1488" spans="1:1">
      <c r="A1488" s="779"/>
    </row>
    <row r="1489" spans="1:1">
      <c r="A1489" s="779"/>
    </row>
    <row r="1490" spans="1:1">
      <c r="A1490" s="779"/>
    </row>
    <row r="1491" spans="1:1">
      <c r="A1491" s="779"/>
    </row>
    <row r="1492" spans="1:1">
      <c r="A1492" s="779"/>
    </row>
    <row r="1493" spans="1:1">
      <c r="A1493" s="779"/>
    </row>
    <row r="1494" spans="1:1">
      <c r="A1494" s="779"/>
    </row>
    <row r="1495" spans="1:1">
      <c r="A1495" s="779"/>
    </row>
    <row r="1496" spans="1:1">
      <c r="A1496" s="779"/>
    </row>
    <row r="1497" spans="1:1">
      <c r="A1497" s="779"/>
    </row>
    <row r="1498" spans="1:1">
      <c r="A1498" s="779"/>
    </row>
    <row r="1499" spans="1:1">
      <c r="A1499" s="779"/>
    </row>
    <row r="1500" spans="1:1">
      <c r="A1500" s="779"/>
    </row>
    <row r="1501" spans="1:1">
      <c r="A1501" s="779"/>
    </row>
    <row r="1502" spans="1:1">
      <c r="A1502" s="779"/>
    </row>
    <row r="1503" spans="1:1">
      <c r="A1503" s="779"/>
    </row>
    <row r="1504" spans="1:1">
      <c r="A1504" s="779"/>
    </row>
    <row r="1505" spans="1:1">
      <c r="A1505" s="779"/>
    </row>
    <row r="1506" spans="1:1">
      <c r="A1506" s="779"/>
    </row>
    <row r="1507" spans="1:1">
      <c r="A1507" s="779"/>
    </row>
    <row r="1508" spans="1:1">
      <c r="A1508" s="779"/>
    </row>
    <row r="1509" spans="1:1">
      <c r="A1509" s="779"/>
    </row>
    <row r="1510" spans="1:1">
      <c r="A1510" s="779"/>
    </row>
    <row r="1511" spans="1:1">
      <c r="A1511" s="779"/>
    </row>
    <row r="1512" spans="1:1">
      <c r="A1512" s="779"/>
    </row>
    <row r="1513" spans="1:1">
      <c r="A1513" s="779"/>
    </row>
    <row r="1514" spans="1:1">
      <c r="A1514" s="779"/>
    </row>
    <row r="1515" spans="1:1">
      <c r="A1515" s="779"/>
    </row>
    <row r="1516" spans="1:1">
      <c r="A1516" s="779"/>
    </row>
    <row r="1517" spans="1:1">
      <c r="A1517" s="779"/>
    </row>
    <row r="1518" spans="1:1">
      <c r="A1518" s="779"/>
    </row>
    <row r="1519" spans="1:1">
      <c r="A1519" s="779"/>
    </row>
    <row r="1520" spans="1:1">
      <c r="A1520" s="779"/>
    </row>
    <row r="1521" spans="1:1">
      <c r="A1521" s="779"/>
    </row>
    <row r="1522" spans="1:1">
      <c r="A1522" s="779"/>
    </row>
    <row r="1523" spans="1:1">
      <c r="A1523" s="779"/>
    </row>
    <row r="1524" spans="1:1">
      <c r="A1524" s="779"/>
    </row>
    <row r="1525" spans="1:1">
      <c r="A1525" s="779"/>
    </row>
    <row r="1526" spans="1:1">
      <c r="A1526" s="779"/>
    </row>
    <row r="1527" spans="1:1">
      <c r="A1527" s="779"/>
    </row>
    <row r="1528" spans="1:1">
      <c r="A1528" s="779"/>
    </row>
    <row r="1529" spans="1:1">
      <c r="A1529" s="779"/>
    </row>
    <row r="1530" spans="1:1">
      <c r="A1530" s="779"/>
    </row>
    <row r="1531" spans="1:1">
      <c r="A1531" s="779"/>
    </row>
    <row r="1532" spans="1:1">
      <c r="A1532" s="779"/>
    </row>
    <row r="1533" spans="1:1">
      <c r="A1533" s="779"/>
    </row>
    <row r="1534" spans="1:1">
      <c r="A1534" s="779"/>
    </row>
    <row r="1535" spans="1:1">
      <c r="A1535" s="779"/>
    </row>
    <row r="1536" spans="1:1">
      <c r="A1536" s="779"/>
    </row>
    <row r="1537" spans="1:1">
      <c r="A1537" s="779"/>
    </row>
    <row r="1538" spans="1:1">
      <c r="A1538" s="779"/>
    </row>
    <row r="1539" spans="1:1">
      <c r="A1539" s="779"/>
    </row>
    <row r="1540" spans="1:1">
      <c r="A1540" s="779"/>
    </row>
    <row r="1541" spans="1:1">
      <c r="A1541" s="779"/>
    </row>
    <row r="1542" spans="1:1">
      <c r="A1542" s="779"/>
    </row>
    <row r="1543" spans="1:1">
      <c r="A1543" s="779"/>
    </row>
  </sheetData>
  <mergeCells count="10">
    <mergeCell ref="B48:C48"/>
    <mergeCell ref="B49:C49"/>
    <mergeCell ref="B50:C50"/>
    <mergeCell ref="B51:C51"/>
    <mergeCell ref="B42:C42"/>
    <mergeCell ref="B43:C43"/>
    <mergeCell ref="B44:C44"/>
    <mergeCell ref="B45:C45"/>
    <mergeCell ref="B46:C46"/>
    <mergeCell ref="B47:C47"/>
  </mergeCells>
  <pageMargins left="0.7" right="0.7" top="0.75" bottom="0.75" header="0.3" footer="0.3"/>
  <pageSetup scale="5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0F7D2-E82F-447F-A1D3-91A41A8FD3BE}">
  <dimension ref="A1:G86"/>
  <sheetViews>
    <sheetView view="pageBreakPreview" topLeftCell="A39" zoomScale="110" zoomScaleNormal="100" zoomScaleSheetLayoutView="110" workbookViewId="0">
      <selection activeCell="H51" sqref="H51"/>
    </sheetView>
  </sheetViews>
  <sheetFormatPr defaultColWidth="8.90625" defaultRowHeight="11.5"/>
  <cols>
    <col min="1" max="1" width="1.54296875" style="20" customWidth="1"/>
    <col min="2" max="2" width="8" style="792" customWidth="1"/>
    <col min="3" max="3" width="47" style="20" customWidth="1"/>
    <col min="4" max="4" width="8" style="20" customWidth="1"/>
    <col min="5" max="5" width="10.453125" style="598" customWidth="1"/>
    <col min="6" max="6" width="12.453125" style="24" customWidth="1"/>
    <col min="7" max="7" width="17.08984375" style="24" customWidth="1"/>
    <col min="8" max="16384" width="8.90625" style="12"/>
  </cols>
  <sheetData>
    <row r="1" spans="1:7" s="7" customFormat="1" ht="12" thickBot="1">
      <c r="A1" s="18"/>
      <c r="B1" s="23"/>
      <c r="C1" s="24"/>
      <c r="D1" s="18"/>
      <c r="E1" s="596"/>
      <c r="F1" s="18"/>
      <c r="G1" s="18"/>
    </row>
    <row r="2" spans="1:7" s="2" customFormat="1" ht="13">
      <c r="A2" s="17"/>
      <c r="B2" s="900" t="s">
        <v>782</v>
      </c>
      <c r="C2" s="943"/>
      <c r="D2" s="961"/>
      <c r="E2" s="962"/>
      <c r="F2" s="961"/>
      <c r="G2" s="963"/>
    </row>
    <row r="3" spans="1:7" s="2" customFormat="1" ht="13">
      <c r="A3" s="17"/>
      <c r="B3" s="904" t="s">
        <v>482</v>
      </c>
      <c r="C3" s="18"/>
      <c r="D3" s="17"/>
      <c r="E3" s="964"/>
      <c r="F3" s="17"/>
      <c r="G3" s="965"/>
    </row>
    <row r="4" spans="1:7" s="7" customFormat="1" ht="20.149999999999999" customHeight="1">
      <c r="A4" s="18"/>
      <c r="B4" s="966"/>
      <c r="C4" s="18"/>
      <c r="D4" s="18"/>
      <c r="E4" s="596"/>
      <c r="F4" s="24"/>
      <c r="G4" s="967" t="s">
        <v>704</v>
      </c>
    </row>
    <row r="5" spans="1:7" s="9" customFormat="1" ht="30" customHeight="1">
      <c r="A5" s="4"/>
      <c r="B5" s="968" t="s">
        <v>0</v>
      </c>
      <c r="C5" s="785" t="s">
        <v>2</v>
      </c>
      <c r="D5" s="785" t="s">
        <v>3</v>
      </c>
      <c r="E5" s="786" t="s">
        <v>4</v>
      </c>
      <c r="F5" s="626" t="s">
        <v>5</v>
      </c>
      <c r="G5" s="969" t="s">
        <v>6</v>
      </c>
    </row>
    <row r="6" spans="1:7" s="10" customFormat="1" ht="20.149999999999999" customHeight="1">
      <c r="A6" s="5"/>
      <c r="B6" s="970"/>
      <c r="C6" s="710"/>
      <c r="D6" s="710"/>
      <c r="E6" s="787"/>
      <c r="F6" s="628"/>
      <c r="G6" s="971"/>
    </row>
    <row r="7" spans="1:7" s="9" customFormat="1" ht="23">
      <c r="A7" s="4"/>
      <c r="B7" s="972" t="s">
        <v>682</v>
      </c>
      <c r="C7" s="788" t="s">
        <v>705</v>
      </c>
      <c r="D7" s="789"/>
      <c r="E7" s="1237"/>
      <c r="F7" s="791"/>
      <c r="G7" s="973"/>
    </row>
    <row r="8" spans="1:7" s="9" customFormat="1" ht="11.4" customHeight="1">
      <c r="A8" s="4"/>
      <c r="B8" s="974"/>
      <c r="C8" s="67"/>
      <c r="D8" s="68"/>
      <c r="E8" s="1238"/>
      <c r="F8" s="61"/>
      <c r="G8" s="975"/>
    </row>
    <row r="9" spans="1:7" s="9" customFormat="1">
      <c r="A9" s="4"/>
      <c r="B9" s="976" t="s">
        <v>706</v>
      </c>
      <c r="C9" s="77" t="s">
        <v>707</v>
      </c>
      <c r="D9" s="37"/>
      <c r="E9" s="1238"/>
      <c r="F9" s="66"/>
      <c r="G9" s="977"/>
    </row>
    <row r="10" spans="1:7" s="9" customFormat="1" ht="11.4" customHeight="1">
      <c r="A10" s="4"/>
      <c r="B10" s="974"/>
      <c r="C10" s="67"/>
      <c r="D10" s="68"/>
      <c r="E10" s="1235"/>
      <c r="F10" s="61"/>
      <c r="G10" s="975"/>
    </row>
    <row r="11" spans="1:7" s="9" customFormat="1">
      <c r="A11" s="4"/>
      <c r="B11" s="976"/>
      <c r="C11" s="77" t="s">
        <v>708</v>
      </c>
      <c r="D11" s="37" t="s">
        <v>11</v>
      </c>
      <c r="E11" s="1235">
        <v>40</v>
      </c>
      <c r="F11" s="1253">
        <v>0</v>
      </c>
      <c r="G11" s="978">
        <f>E11*F11</f>
        <v>0</v>
      </c>
    </row>
    <row r="12" spans="1:7" s="9" customFormat="1" ht="11.4" customHeight="1">
      <c r="A12" s="4"/>
      <c r="B12" s="974"/>
      <c r="C12" s="67"/>
      <c r="D12" s="68"/>
      <c r="E12" s="1235"/>
      <c r="F12" s="1253"/>
      <c r="G12" s="978"/>
    </row>
    <row r="13" spans="1:7" s="9" customFormat="1">
      <c r="A13" s="4"/>
      <c r="B13" s="976"/>
      <c r="C13" s="77" t="s">
        <v>709</v>
      </c>
      <c r="D13" s="37" t="s">
        <v>11</v>
      </c>
      <c r="E13" s="1235">
        <v>10</v>
      </c>
      <c r="F13" s="1253">
        <v>0</v>
      </c>
      <c r="G13" s="978">
        <f>E13*F13</f>
        <v>0</v>
      </c>
    </row>
    <row r="14" spans="1:7" s="9" customFormat="1" ht="11.4" customHeight="1">
      <c r="A14" s="4"/>
      <c r="B14" s="974"/>
      <c r="C14" s="67"/>
      <c r="D14" s="68"/>
      <c r="E14" s="1235"/>
      <c r="F14" s="1254"/>
      <c r="G14" s="978"/>
    </row>
    <row r="15" spans="1:7" s="9" customFormat="1">
      <c r="A15" s="4"/>
      <c r="B15" s="976" t="s">
        <v>710</v>
      </c>
      <c r="C15" s="77" t="s">
        <v>711</v>
      </c>
      <c r="D15" s="37"/>
      <c r="E15" s="1235"/>
      <c r="F15" s="1254"/>
      <c r="G15" s="978"/>
    </row>
    <row r="16" spans="1:7" s="9" customFormat="1" ht="11.4" customHeight="1">
      <c r="A16" s="4"/>
      <c r="B16" s="974"/>
      <c r="C16" s="67"/>
      <c r="D16" s="68"/>
      <c r="E16" s="1235"/>
      <c r="F16" s="1254"/>
      <c r="G16" s="978"/>
    </row>
    <row r="17" spans="1:7" s="9" customFormat="1">
      <c r="A17" s="4"/>
      <c r="B17" s="976"/>
      <c r="C17" s="77" t="s">
        <v>712</v>
      </c>
      <c r="D17" s="37" t="s">
        <v>10</v>
      </c>
      <c r="E17" s="1235">
        <v>2</v>
      </c>
      <c r="F17" s="1253">
        <v>0</v>
      </c>
      <c r="G17" s="978">
        <f>E17*F17</f>
        <v>0</v>
      </c>
    </row>
    <row r="18" spans="1:7" s="9" customFormat="1" ht="11.4" customHeight="1">
      <c r="A18" s="4"/>
      <c r="B18" s="974"/>
      <c r="C18" s="67"/>
      <c r="D18" s="68"/>
      <c r="E18" s="1235"/>
      <c r="F18" s="1254"/>
      <c r="G18" s="978"/>
    </row>
    <row r="19" spans="1:7" s="9" customFormat="1">
      <c r="A19" s="4"/>
      <c r="B19" s="976"/>
      <c r="C19" s="77" t="s">
        <v>713</v>
      </c>
      <c r="D19" s="37" t="s">
        <v>10</v>
      </c>
      <c r="E19" s="1235">
        <v>2</v>
      </c>
      <c r="F19" s="1253">
        <v>0</v>
      </c>
      <c r="G19" s="978">
        <f>E19*F19</f>
        <v>0</v>
      </c>
    </row>
    <row r="20" spans="1:7" s="9" customFormat="1" ht="11.4" customHeight="1">
      <c r="A20" s="4"/>
      <c r="B20" s="974"/>
      <c r="C20" s="67"/>
      <c r="D20" s="68"/>
      <c r="E20" s="1235"/>
      <c r="F20" s="1254"/>
      <c r="G20" s="978"/>
    </row>
    <row r="21" spans="1:7" s="9" customFormat="1">
      <c r="A21" s="4"/>
      <c r="B21" s="976"/>
      <c r="C21" s="77" t="s">
        <v>714</v>
      </c>
      <c r="D21" s="37" t="s">
        <v>10</v>
      </c>
      <c r="E21" s="1235">
        <v>1</v>
      </c>
      <c r="F21" s="1253">
        <v>0</v>
      </c>
      <c r="G21" s="978">
        <f>E21*F21</f>
        <v>0</v>
      </c>
    </row>
    <row r="22" spans="1:7" s="9" customFormat="1" ht="11.4" customHeight="1">
      <c r="A22" s="4"/>
      <c r="B22" s="974"/>
      <c r="C22" s="67"/>
      <c r="D22" s="68"/>
      <c r="E22" s="1235"/>
      <c r="F22" s="1254"/>
      <c r="G22" s="978"/>
    </row>
    <row r="23" spans="1:7" s="9" customFormat="1">
      <c r="A23" s="4"/>
      <c r="B23" s="976"/>
      <c r="C23" s="77" t="s">
        <v>715</v>
      </c>
      <c r="D23" s="37" t="s">
        <v>10</v>
      </c>
      <c r="E23" s="1235">
        <v>1</v>
      </c>
      <c r="F23" s="1253">
        <v>0</v>
      </c>
      <c r="G23" s="978">
        <f>E23*F23</f>
        <v>0</v>
      </c>
    </row>
    <row r="24" spans="1:7" s="9" customFormat="1" ht="11.4" customHeight="1">
      <c r="A24" s="4"/>
      <c r="B24" s="974"/>
      <c r="C24" s="67"/>
      <c r="D24" s="68"/>
      <c r="E24" s="1235"/>
      <c r="F24" s="1254"/>
      <c r="G24" s="978"/>
    </row>
    <row r="25" spans="1:7" s="9" customFormat="1">
      <c r="A25" s="4"/>
      <c r="B25" s="976" t="s">
        <v>716</v>
      </c>
      <c r="C25" s="77" t="s">
        <v>717</v>
      </c>
      <c r="D25" s="37"/>
      <c r="E25" s="1235"/>
      <c r="F25" s="1254"/>
      <c r="G25" s="978"/>
    </row>
    <row r="26" spans="1:7" s="9" customFormat="1" ht="11.4" customHeight="1">
      <c r="A26" s="4"/>
      <c r="B26" s="974"/>
      <c r="C26" s="67"/>
      <c r="D26" s="68"/>
      <c r="E26" s="1235"/>
      <c r="F26" s="1254"/>
      <c r="G26" s="978"/>
    </row>
    <row r="27" spans="1:7" s="9" customFormat="1">
      <c r="A27" s="4"/>
      <c r="B27" s="976"/>
      <c r="C27" s="77" t="s">
        <v>718</v>
      </c>
      <c r="D27" s="37"/>
      <c r="E27" s="1235"/>
      <c r="F27" s="1254"/>
      <c r="G27" s="978"/>
    </row>
    <row r="28" spans="1:7" s="9" customFormat="1" ht="11.4" customHeight="1">
      <c r="A28" s="4"/>
      <c r="B28" s="974"/>
      <c r="C28" s="67"/>
      <c r="D28" s="68"/>
      <c r="E28" s="1235"/>
      <c r="F28" s="1254"/>
      <c r="G28" s="978"/>
    </row>
    <row r="29" spans="1:7" s="9" customFormat="1">
      <c r="A29" s="4"/>
      <c r="B29" s="976"/>
      <c r="C29" s="77" t="s">
        <v>732</v>
      </c>
      <c r="D29" s="37" t="s">
        <v>10</v>
      </c>
      <c r="E29" s="1235">
        <v>3</v>
      </c>
      <c r="F29" s="1253">
        <v>0</v>
      </c>
      <c r="G29" s="978">
        <f>E29*F29</f>
        <v>0</v>
      </c>
    </row>
    <row r="30" spans="1:7" s="9" customFormat="1" ht="11.4" customHeight="1">
      <c r="A30" s="4"/>
      <c r="B30" s="974"/>
      <c r="C30" s="67"/>
      <c r="D30" s="68"/>
      <c r="E30" s="1235"/>
      <c r="F30" s="1254"/>
      <c r="G30" s="978"/>
    </row>
    <row r="31" spans="1:7" s="9" customFormat="1">
      <c r="A31" s="4"/>
      <c r="B31" s="976"/>
      <c r="C31" s="63" t="s">
        <v>733</v>
      </c>
      <c r="D31" s="64" t="s">
        <v>10</v>
      </c>
      <c r="E31" s="1236">
        <v>3</v>
      </c>
      <c r="F31" s="1253">
        <v>0</v>
      </c>
      <c r="G31" s="978">
        <f>E31*F31</f>
        <v>0</v>
      </c>
    </row>
    <row r="32" spans="1:7" s="9" customFormat="1" ht="11.4" customHeight="1">
      <c r="A32" s="4"/>
      <c r="B32" s="974"/>
      <c r="C32" s="60"/>
      <c r="D32" s="61"/>
      <c r="E32" s="1236"/>
      <c r="F32" s="1253"/>
      <c r="G32" s="978"/>
    </row>
    <row r="33" spans="1:7" s="9" customFormat="1" ht="23">
      <c r="A33" s="4"/>
      <c r="B33" s="976"/>
      <c r="C33" s="63" t="s">
        <v>734</v>
      </c>
      <c r="D33" s="64" t="s">
        <v>10</v>
      </c>
      <c r="E33" s="1236">
        <v>2</v>
      </c>
      <c r="F33" s="1253">
        <v>0</v>
      </c>
      <c r="G33" s="978">
        <f>E33*F33</f>
        <v>0</v>
      </c>
    </row>
    <row r="34" spans="1:7" s="9" customFormat="1" ht="11.4" customHeight="1">
      <c r="A34" s="4"/>
      <c r="B34" s="974"/>
      <c r="C34" s="60"/>
      <c r="D34" s="61"/>
      <c r="E34" s="1236"/>
      <c r="F34" s="1253"/>
      <c r="G34" s="978"/>
    </row>
    <row r="35" spans="1:7" s="9" customFormat="1" ht="23">
      <c r="A35" s="4"/>
      <c r="B35" s="976"/>
      <c r="C35" s="63" t="s">
        <v>735</v>
      </c>
      <c r="D35" s="64" t="s">
        <v>10</v>
      </c>
      <c r="E35" s="1236">
        <v>2</v>
      </c>
      <c r="F35" s="1253">
        <v>0</v>
      </c>
      <c r="G35" s="978">
        <f>E35*F35</f>
        <v>0</v>
      </c>
    </row>
    <row r="36" spans="1:7" s="9" customFormat="1" ht="11.4" customHeight="1">
      <c r="A36" s="4"/>
      <c r="B36" s="974"/>
      <c r="C36" s="60"/>
      <c r="D36" s="61"/>
      <c r="E36" s="1236"/>
      <c r="F36" s="1253"/>
      <c r="G36" s="978"/>
    </row>
    <row r="37" spans="1:7" s="9" customFormat="1" ht="23">
      <c r="A37" s="4"/>
      <c r="B37" s="976"/>
      <c r="C37" s="63" t="s">
        <v>736</v>
      </c>
      <c r="D37" s="64" t="s">
        <v>10</v>
      </c>
      <c r="E37" s="1236">
        <v>2</v>
      </c>
      <c r="F37" s="1253">
        <v>0</v>
      </c>
      <c r="G37" s="978">
        <f>E37*F37</f>
        <v>0</v>
      </c>
    </row>
    <row r="38" spans="1:7" s="9" customFormat="1" ht="11.4" customHeight="1">
      <c r="A38" s="4"/>
      <c r="B38" s="974"/>
      <c r="C38" s="60"/>
      <c r="D38" s="61"/>
      <c r="E38" s="1236"/>
      <c r="F38" s="1254"/>
      <c r="G38" s="978"/>
    </row>
    <row r="39" spans="1:7" s="9" customFormat="1" ht="23">
      <c r="A39" s="4"/>
      <c r="B39" s="976"/>
      <c r="C39" s="63" t="s">
        <v>737</v>
      </c>
      <c r="D39" s="64" t="s">
        <v>10</v>
      </c>
      <c r="E39" s="1236">
        <v>2</v>
      </c>
      <c r="F39" s="1253">
        <v>0</v>
      </c>
      <c r="G39" s="978">
        <f>E39*F39</f>
        <v>0</v>
      </c>
    </row>
    <row r="40" spans="1:7" s="9" customFormat="1" ht="11.4" customHeight="1">
      <c r="A40" s="4"/>
      <c r="B40" s="974"/>
      <c r="C40" s="60"/>
      <c r="D40" s="61"/>
      <c r="E40" s="1236"/>
      <c r="F40" s="1254"/>
      <c r="G40" s="978"/>
    </row>
    <row r="41" spans="1:7" s="9" customFormat="1" ht="23">
      <c r="A41" s="4"/>
      <c r="B41" s="976"/>
      <c r="C41" s="63" t="s">
        <v>738</v>
      </c>
      <c r="D41" s="64" t="s">
        <v>10</v>
      </c>
      <c r="E41" s="1236">
        <v>1</v>
      </c>
      <c r="F41" s="1253">
        <v>0</v>
      </c>
      <c r="G41" s="978">
        <f>E41*F41</f>
        <v>0</v>
      </c>
    </row>
    <row r="42" spans="1:7" s="9" customFormat="1" ht="11.25" customHeight="1">
      <c r="A42" s="4"/>
      <c r="B42" s="974"/>
      <c r="C42" s="60"/>
      <c r="D42" s="61"/>
      <c r="E42" s="1236"/>
      <c r="F42" s="1254"/>
      <c r="G42" s="978"/>
    </row>
    <row r="43" spans="1:7" s="10" customFormat="1" ht="11.25" customHeight="1">
      <c r="A43" s="5"/>
      <c r="B43" s="979"/>
      <c r="C43" s="99" t="s">
        <v>739</v>
      </c>
      <c r="D43" s="64" t="s">
        <v>10</v>
      </c>
      <c r="E43" s="1236">
        <v>1</v>
      </c>
      <c r="F43" s="1253">
        <v>0</v>
      </c>
      <c r="G43" s="978">
        <f>E43*F43</f>
        <v>0</v>
      </c>
    </row>
    <row r="44" spans="1:7" s="10" customFormat="1" ht="12" customHeight="1">
      <c r="A44" s="5"/>
      <c r="B44" s="979"/>
      <c r="C44" s="99"/>
      <c r="D44" s="64"/>
      <c r="E44" s="1236"/>
      <c r="F44" s="1253"/>
      <c r="G44" s="978"/>
    </row>
    <row r="45" spans="1:7" s="10" customFormat="1" ht="12" customHeight="1">
      <c r="A45" s="5"/>
      <c r="B45" s="976"/>
      <c r="C45" s="63" t="s">
        <v>740</v>
      </c>
      <c r="D45" s="64" t="s">
        <v>10</v>
      </c>
      <c r="E45" s="1236">
        <v>1</v>
      </c>
      <c r="F45" s="1253">
        <v>0</v>
      </c>
      <c r="G45" s="978">
        <f>E45*F45</f>
        <v>0</v>
      </c>
    </row>
    <row r="46" spans="1:7" s="10" customFormat="1" ht="12" customHeight="1">
      <c r="A46" s="5"/>
      <c r="B46" s="976"/>
      <c r="C46" s="63"/>
      <c r="D46" s="64"/>
      <c r="E46" s="1236"/>
      <c r="F46" s="1253"/>
      <c r="G46" s="978"/>
    </row>
    <row r="47" spans="1:7" s="10" customFormat="1" ht="12" customHeight="1">
      <c r="A47" s="5"/>
      <c r="B47" s="976"/>
      <c r="C47" s="1685" t="s">
        <v>785</v>
      </c>
      <c r="D47" s="64" t="s">
        <v>10</v>
      </c>
      <c r="E47" s="1236">
        <v>1</v>
      </c>
      <c r="F47" s="1253">
        <v>0</v>
      </c>
      <c r="G47" s="978">
        <f t="shared" ref="G47" si="0">E47*F47</f>
        <v>0</v>
      </c>
    </row>
    <row r="48" spans="1:7" s="10" customFormat="1" ht="12" customHeight="1">
      <c r="A48" s="5"/>
      <c r="B48" s="974"/>
      <c r="C48" s="60"/>
      <c r="D48" s="61"/>
      <c r="E48" s="1236"/>
      <c r="F48" s="1254"/>
      <c r="G48" s="978"/>
    </row>
    <row r="49" spans="1:7" s="10" customFormat="1" ht="12" customHeight="1">
      <c r="A49" s="5"/>
      <c r="B49" s="974"/>
      <c r="C49" s="63" t="s">
        <v>719</v>
      </c>
      <c r="D49" s="64"/>
      <c r="E49" s="1236"/>
      <c r="F49" s="1254"/>
      <c r="G49" s="978"/>
    </row>
    <row r="50" spans="1:7" s="10" customFormat="1" ht="12" customHeight="1">
      <c r="A50" s="5"/>
      <c r="B50" s="974"/>
      <c r="C50" s="60"/>
      <c r="D50" s="61"/>
      <c r="E50" s="1236"/>
      <c r="F50" s="1254"/>
      <c r="G50" s="978"/>
    </row>
    <row r="51" spans="1:7" s="10" customFormat="1" ht="22.4" customHeight="1">
      <c r="A51" s="5"/>
      <c r="B51" s="974"/>
      <c r="C51" s="63" t="s">
        <v>720</v>
      </c>
      <c r="D51" s="64" t="s">
        <v>721</v>
      </c>
      <c r="E51" s="1236">
        <v>1</v>
      </c>
      <c r="F51" s="1377">
        <v>24000</v>
      </c>
      <c r="G51" s="978">
        <f>E51*F51</f>
        <v>24000</v>
      </c>
    </row>
    <row r="52" spans="1:7" s="10" customFormat="1" ht="12" customHeight="1">
      <c r="A52" s="5"/>
      <c r="B52" s="974"/>
      <c r="C52" s="63" t="s">
        <v>722</v>
      </c>
      <c r="D52" s="64" t="s">
        <v>9</v>
      </c>
      <c r="E52" s="1236">
        <f>G51</f>
        <v>24000</v>
      </c>
      <c r="F52" s="1255">
        <v>0</v>
      </c>
      <c r="G52" s="978">
        <f>E52*F52</f>
        <v>0</v>
      </c>
    </row>
    <row r="53" spans="1:7" s="10" customFormat="1" ht="12" customHeight="1">
      <c r="A53" s="5"/>
      <c r="B53" s="974"/>
      <c r="C53" s="60"/>
      <c r="D53" s="61"/>
      <c r="E53" s="1236"/>
      <c r="F53" s="1254"/>
      <c r="G53" s="978"/>
    </row>
    <row r="54" spans="1:7" s="10" customFormat="1" ht="12" customHeight="1">
      <c r="A54" s="5"/>
      <c r="B54" s="976"/>
      <c r="C54" s="63" t="s">
        <v>723</v>
      </c>
      <c r="D54" s="64"/>
      <c r="E54" s="1236"/>
      <c r="F54" s="1254"/>
      <c r="G54" s="978"/>
    </row>
    <row r="55" spans="1:7" s="10" customFormat="1" ht="12" customHeight="1">
      <c r="A55" s="5"/>
      <c r="B55" s="976"/>
      <c r="C55" s="63"/>
      <c r="D55" s="64"/>
      <c r="E55" s="1236"/>
      <c r="F55" s="1254"/>
      <c r="G55" s="978"/>
    </row>
    <row r="56" spans="1:7" s="10" customFormat="1" ht="12" customHeight="1">
      <c r="A56" s="5"/>
      <c r="B56" s="976" t="s">
        <v>724</v>
      </c>
      <c r="C56" s="63" t="s">
        <v>725</v>
      </c>
      <c r="D56" s="64"/>
      <c r="E56" s="1236"/>
      <c r="F56" s="1254"/>
      <c r="G56" s="978"/>
    </row>
    <row r="57" spans="1:7" s="10" customFormat="1" ht="12" customHeight="1">
      <c r="A57" s="5"/>
      <c r="B57" s="976"/>
      <c r="C57" s="63" t="s">
        <v>726</v>
      </c>
      <c r="D57" s="64" t="s">
        <v>10</v>
      </c>
      <c r="E57" s="1236">
        <v>2</v>
      </c>
      <c r="F57" s="1253">
        <v>0</v>
      </c>
      <c r="G57" s="978">
        <f>E57*F57</f>
        <v>0</v>
      </c>
    </row>
    <row r="58" spans="1:7" s="10" customFormat="1" ht="12" customHeight="1">
      <c r="A58" s="5"/>
      <c r="B58" s="974"/>
      <c r="C58" s="60"/>
      <c r="D58" s="61"/>
      <c r="E58" s="1236"/>
      <c r="F58" s="1254"/>
      <c r="G58" s="978"/>
    </row>
    <row r="59" spans="1:7" s="10" customFormat="1" ht="12" customHeight="1">
      <c r="A59" s="5"/>
      <c r="B59" s="976" t="s">
        <v>727</v>
      </c>
      <c r="C59" s="63" t="s">
        <v>728</v>
      </c>
      <c r="D59" s="64"/>
      <c r="E59" s="1236"/>
      <c r="F59" s="1254"/>
      <c r="G59" s="978"/>
    </row>
    <row r="60" spans="1:7" s="10" customFormat="1">
      <c r="A60" s="5"/>
      <c r="B60" s="974"/>
      <c r="C60" s="60"/>
      <c r="D60" s="61"/>
      <c r="E60" s="1236"/>
      <c r="F60" s="1254"/>
      <c r="G60" s="978"/>
    </row>
    <row r="61" spans="1:7" s="10" customFormat="1" ht="11.25" customHeight="1">
      <c r="A61" s="5"/>
      <c r="B61" s="976"/>
      <c r="C61" s="63" t="s">
        <v>729</v>
      </c>
      <c r="D61" s="64"/>
      <c r="E61" s="1236"/>
      <c r="F61" s="1254"/>
      <c r="G61" s="978"/>
    </row>
    <row r="62" spans="1:7" s="10" customFormat="1" ht="11.25" customHeight="1">
      <c r="A62" s="5"/>
      <c r="B62" s="974"/>
      <c r="C62" s="60"/>
      <c r="D62" s="61"/>
      <c r="E62" s="1236"/>
      <c r="F62" s="1254"/>
      <c r="G62" s="978"/>
    </row>
    <row r="63" spans="1:7" s="10" customFormat="1">
      <c r="A63" s="5"/>
      <c r="B63" s="976"/>
      <c r="C63" s="63" t="s">
        <v>730</v>
      </c>
      <c r="D63" s="64" t="s">
        <v>689</v>
      </c>
      <c r="E63" s="1236">
        <v>1</v>
      </c>
      <c r="F63" s="1253">
        <v>0</v>
      </c>
      <c r="G63" s="978">
        <f>E63*F63</f>
        <v>0</v>
      </c>
    </row>
    <row r="64" spans="1:7" s="10" customFormat="1" ht="11.25" customHeight="1">
      <c r="A64" s="5"/>
      <c r="B64" s="974"/>
      <c r="C64" s="60"/>
      <c r="D64" s="61"/>
      <c r="E64" s="1236"/>
      <c r="F64" s="1253"/>
      <c r="G64" s="978"/>
    </row>
    <row r="65" spans="1:7" s="10" customFormat="1">
      <c r="A65" s="5"/>
      <c r="B65" s="974"/>
      <c r="C65" s="60" t="s">
        <v>787</v>
      </c>
      <c r="D65" s="61" t="s">
        <v>788</v>
      </c>
      <c r="E65" s="1378">
        <v>11</v>
      </c>
      <c r="F65" s="1253">
        <v>0</v>
      </c>
      <c r="G65" s="978">
        <f t="shared" ref="G65:G67" si="1">E65*F65</f>
        <v>0</v>
      </c>
    </row>
    <row r="66" spans="1:7" s="10" customFormat="1" ht="11.25" customHeight="1">
      <c r="A66" s="5"/>
      <c r="B66" s="979"/>
      <c r="C66" s="99"/>
      <c r="D66" s="64"/>
      <c r="E66" s="1236"/>
      <c r="F66" s="1253"/>
      <c r="G66" s="978"/>
    </row>
    <row r="67" spans="1:7" s="10" customFormat="1" ht="11.25" customHeight="1">
      <c r="A67" s="5"/>
      <c r="B67" s="979" t="s">
        <v>789</v>
      </c>
      <c r="C67" s="99" t="s">
        <v>786</v>
      </c>
      <c r="D67" s="64" t="s">
        <v>788</v>
      </c>
      <c r="E67" s="1378">
        <v>11</v>
      </c>
      <c r="F67" s="1253">
        <v>0</v>
      </c>
      <c r="G67" s="978">
        <f t="shared" si="1"/>
        <v>0</v>
      </c>
    </row>
    <row r="68" spans="1:7" s="10" customFormat="1" ht="11.25" customHeight="1">
      <c r="A68" s="5"/>
      <c r="B68" s="979"/>
      <c r="C68" s="99"/>
      <c r="D68" s="64"/>
      <c r="E68" s="1236"/>
      <c r="F68" s="88"/>
      <c r="G68" s="978"/>
    </row>
    <row r="69" spans="1:7" s="10" customFormat="1" ht="11.25" customHeight="1">
      <c r="A69" s="5"/>
      <c r="B69" s="979"/>
      <c r="C69" s="99"/>
      <c r="D69" s="64"/>
      <c r="E69" s="1236"/>
      <c r="F69" s="88"/>
      <c r="G69" s="978"/>
    </row>
    <row r="70" spans="1:7" s="10" customFormat="1" ht="11.25" customHeight="1">
      <c r="A70" s="5"/>
      <c r="B70" s="979"/>
      <c r="C70" s="99"/>
      <c r="D70" s="64"/>
      <c r="E70" s="1236"/>
      <c r="F70" s="88"/>
      <c r="G70" s="978"/>
    </row>
    <row r="71" spans="1:7" s="10" customFormat="1" ht="11.25" customHeight="1">
      <c r="A71" s="5"/>
      <c r="B71" s="979"/>
      <c r="C71" s="99"/>
      <c r="D71" s="64"/>
      <c r="E71" s="1236"/>
      <c r="F71" s="88"/>
      <c r="G71" s="978"/>
    </row>
    <row r="72" spans="1:7" s="10" customFormat="1" ht="11.25" customHeight="1">
      <c r="A72" s="5"/>
      <c r="B72" s="979"/>
      <c r="C72" s="99"/>
      <c r="D72" s="64"/>
      <c r="E72" s="1236"/>
      <c r="F72" s="88"/>
      <c r="G72" s="978"/>
    </row>
    <row r="73" spans="1:7" s="10" customFormat="1" ht="11.25" customHeight="1">
      <c r="A73" s="5"/>
      <c r="B73" s="979"/>
      <c r="C73" s="99"/>
      <c r="D73" s="64"/>
      <c r="E73" s="1236"/>
      <c r="F73" s="88"/>
      <c r="G73" s="978"/>
    </row>
    <row r="74" spans="1:7" s="10" customFormat="1" ht="11.25" customHeight="1">
      <c r="A74" s="5"/>
      <c r="B74" s="979"/>
      <c r="C74" s="99"/>
      <c r="D74" s="64"/>
      <c r="E74" s="1236"/>
      <c r="F74" s="88"/>
      <c r="G74" s="978"/>
    </row>
    <row r="75" spans="1:7" s="10" customFormat="1" ht="11.25" customHeight="1">
      <c r="A75" s="5"/>
      <c r="B75" s="979"/>
      <c r="C75" s="99"/>
      <c r="D75" s="64"/>
      <c r="E75" s="1236"/>
      <c r="F75" s="88"/>
      <c r="G75" s="978"/>
    </row>
    <row r="76" spans="1:7" s="10" customFormat="1" ht="11.25" customHeight="1">
      <c r="A76" s="5"/>
      <c r="B76" s="979"/>
      <c r="C76" s="99"/>
      <c r="D76" s="64"/>
      <c r="E76" s="1239"/>
      <c r="F76" s="88"/>
      <c r="G76" s="978"/>
    </row>
    <row r="77" spans="1:7" s="10" customFormat="1" ht="11.25" customHeight="1">
      <c r="A77" s="5"/>
      <c r="B77" s="979"/>
      <c r="C77" s="99"/>
      <c r="D77" s="64"/>
      <c r="E77" s="1239"/>
      <c r="F77" s="88"/>
      <c r="G77" s="978"/>
    </row>
    <row r="78" spans="1:7" s="10" customFormat="1" ht="11.25" customHeight="1">
      <c r="A78" s="5"/>
      <c r="B78" s="979"/>
      <c r="C78" s="99"/>
      <c r="D78" s="64"/>
      <c r="E78" s="1239"/>
      <c r="F78" s="88"/>
      <c r="G78" s="978"/>
    </row>
    <row r="79" spans="1:7" s="10" customFormat="1" ht="11.25" customHeight="1">
      <c r="A79" s="5"/>
      <c r="B79" s="979"/>
      <c r="C79" s="99"/>
      <c r="D79" s="64"/>
      <c r="E79" s="1239"/>
      <c r="F79" s="88"/>
      <c r="G79" s="978"/>
    </row>
    <row r="80" spans="1:7" s="10" customFormat="1" ht="11.25" customHeight="1">
      <c r="A80" s="5"/>
      <c r="B80" s="979"/>
      <c r="C80" s="99"/>
      <c r="D80" s="64"/>
      <c r="E80" s="1239"/>
      <c r="F80" s="88"/>
      <c r="G80" s="978"/>
    </row>
    <row r="81" spans="1:7" s="10" customFormat="1" ht="11.25" customHeight="1">
      <c r="A81" s="5"/>
      <c r="B81" s="979"/>
      <c r="C81" s="99"/>
      <c r="D81" s="64"/>
      <c r="E81" s="1239"/>
      <c r="F81" s="88"/>
      <c r="G81" s="978"/>
    </row>
    <row r="82" spans="1:7" s="10" customFormat="1" ht="11.25" customHeight="1">
      <c r="A82" s="5"/>
      <c r="B82" s="979"/>
      <c r="C82" s="99"/>
      <c r="D82" s="64"/>
      <c r="E82" s="1239"/>
      <c r="F82" s="88"/>
      <c r="G82" s="978"/>
    </row>
    <row r="83" spans="1:7" s="10" customFormat="1" ht="11.25" customHeight="1">
      <c r="A83" s="5"/>
      <c r="B83" s="979"/>
      <c r="C83" s="99"/>
      <c r="D83" s="64"/>
      <c r="E83" s="1239"/>
      <c r="F83" s="88"/>
      <c r="G83" s="978"/>
    </row>
    <row r="84" spans="1:7" s="9" customFormat="1" ht="11.4" customHeight="1">
      <c r="A84" s="4"/>
      <c r="B84" s="974"/>
      <c r="C84" s="60"/>
      <c r="D84" s="61"/>
      <c r="E84" s="1239"/>
      <c r="F84" s="61"/>
      <c r="G84" s="975"/>
    </row>
    <row r="85" spans="1:7" s="13" customFormat="1" ht="20.149999999999999" customHeight="1" thickBot="1">
      <c r="A85" s="21"/>
      <c r="B85" s="980" t="s">
        <v>731</v>
      </c>
      <c r="C85" s="981"/>
      <c r="D85" s="982"/>
      <c r="E85" s="983"/>
      <c r="F85" s="982"/>
      <c r="G85" s="984">
        <v>0</v>
      </c>
    </row>
    <row r="86" spans="1:7" s="9" customFormat="1">
      <c r="A86" s="4"/>
      <c r="B86" s="956"/>
      <c r="C86" s="957"/>
      <c r="D86" s="958"/>
      <c r="E86" s="959"/>
      <c r="F86" s="960"/>
      <c r="G86" s="960"/>
    </row>
  </sheetData>
  <pageMargins left="0.7" right="0.7" top="0.75" bottom="0.75" header="0.3" footer="0.3"/>
  <pageSetup scale="5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5">
    <pageSetUpPr fitToPage="1"/>
  </sheetPr>
  <dimension ref="A1:L52"/>
  <sheetViews>
    <sheetView view="pageBreakPreview" topLeftCell="A19" zoomScale="115" zoomScaleNormal="100" zoomScaleSheetLayoutView="115" workbookViewId="0">
      <selection activeCell="E35" sqref="E35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40.6328125" style="20" customWidth="1"/>
    <col min="4" max="4" width="8.36328125" style="20" customWidth="1"/>
    <col min="5" max="5" width="11.08984375" style="24" customWidth="1"/>
    <col min="6" max="6" width="12.6328125" style="24" customWidth="1"/>
    <col min="7" max="7" width="16.36328125" style="24" customWidth="1"/>
    <col min="8" max="8" width="10.08984375" style="12" hidden="1" customWidth="1"/>
    <col min="9" max="10" width="14.453125" style="12" hidden="1" customWidth="1"/>
    <col min="11" max="16384" width="8.90625" style="12"/>
  </cols>
  <sheetData>
    <row r="1" spans="1:10" s="7" customFormat="1" ht="12" thickBot="1">
      <c r="A1" s="18"/>
      <c r="B1" s="23"/>
      <c r="C1" s="24"/>
      <c r="D1" s="18"/>
      <c r="E1" s="18"/>
      <c r="F1" s="18"/>
      <c r="G1" s="18"/>
    </row>
    <row r="2" spans="1:10" s="7" customFormat="1">
      <c r="A2" s="18"/>
      <c r="B2" s="900" t="s">
        <v>782</v>
      </c>
      <c r="C2" s="943"/>
      <c r="D2" s="943"/>
      <c r="E2" s="943"/>
      <c r="F2" s="943"/>
      <c r="G2" s="992"/>
    </row>
    <row r="3" spans="1:10" s="7" customFormat="1">
      <c r="A3" s="18"/>
      <c r="B3" s="904" t="s">
        <v>482</v>
      </c>
      <c r="C3" s="18"/>
      <c r="D3" s="18"/>
      <c r="E3" s="18"/>
      <c r="F3" s="18"/>
      <c r="G3" s="993"/>
    </row>
    <row r="4" spans="1:10" s="7" customFormat="1" ht="20.149999999999999" customHeight="1">
      <c r="A4" s="18"/>
      <c r="B4" s="994"/>
      <c r="C4" s="18"/>
      <c r="D4" s="18"/>
      <c r="E4" s="24"/>
      <c r="F4" s="24"/>
      <c r="G4" s="967" t="s">
        <v>12</v>
      </c>
    </row>
    <row r="5" spans="1:10" s="9" customFormat="1" ht="30" customHeight="1">
      <c r="A5" s="4"/>
      <c r="B5" s="968" t="s">
        <v>0</v>
      </c>
      <c r="C5" s="785" t="s">
        <v>2</v>
      </c>
      <c r="D5" s="785" t="s">
        <v>3</v>
      </c>
      <c r="E5" s="626" t="s">
        <v>4</v>
      </c>
      <c r="F5" s="626" t="s">
        <v>5</v>
      </c>
      <c r="G5" s="969" t="s">
        <v>6</v>
      </c>
      <c r="H5" s="618" t="s">
        <v>217</v>
      </c>
      <c r="I5" s="116" t="s">
        <v>216</v>
      </c>
      <c r="J5" s="116" t="s">
        <v>218</v>
      </c>
    </row>
    <row r="6" spans="1:10" s="10" customFormat="1">
      <c r="A6" s="5"/>
      <c r="B6" s="995"/>
      <c r="C6" s="710"/>
      <c r="D6" s="710"/>
      <c r="E6" s="628"/>
      <c r="F6" s="628"/>
      <c r="G6" s="971"/>
      <c r="H6" s="619"/>
      <c r="I6" s="126"/>
      <c r="J6" s="126"/>
    </row>
    <row r="7" spans="1:10" s="9" customFormat="1">
      <c r="A7" s="4"/>
      <c r="B7" s="972" t="s">
        <v>149</v>
      </c>
      <c r="C7" s="788" t="s">
        <v>13</v>
      </c>
      <c r="D7" s="996"/>
      <c r="E7" s="1240"/>
      <c r="F7" s="997"/>
      <c r="G7" s="978"/>
      <c r="H7" s="985"/>
      <c r="I7" s="121"/>
      <c r="J7" s="121"/>
    </row>
    <row r="8" spans="1:10" s="9" customFormat="1" ht="18.75" customHeight="1">
      <c r="A8" s="4"/>
      <c r="B8" s="974"/>
      <c r="C8" s="67"/>
      <c r="D8" s="67"/>
      <c r="E8" s="1241"/>
      <c r="F8" s="60"/>
      <c r="G8" s="978"/>
      <c r="H8" s="986"/>
      <c r="I8" s="121"/>
      <c r="J8" s="121"/>
    </row>
    <row r="9" spans="1:10" s="9" customFormat="1" ht="23">
      <c r="A9" s="4"/>
      <c r="B9" s="998" t="s">
        <v>512</v>
      </c>
      <c r="C9" s="77" t="s">
        <v>14</v>
      </c>
      <c r="D9" s="37" t="s">
        <v>15</v>
      </c>
      <c r="E9" s="1243">
        <v>5</v>
      </c>
      <c r="F9" s="1254">
        <v>0</v>
      </c>
      <c r="G9" s="978">
        <f>E9*F9</f>
        <v>0</v>
      </c>
      <c r="H9" s="987">
        <v>1.7</v>
      </c>
      <c r="I9" s="122">
        <f>F9*H9</f>
        <v>0</v>
      </c>
      <c r="J9" s="122">
        <f>G9-I9</f>
        <v>0</v>
      </c>
    </row>
    <row r="10" spans="1:10" s="9" customFormat="1" ht="11.4" customHeight="1">
      <c r="A10" s="4"/>
      <c r="B10" s="974"/>
      <c r="C10" s="67"/>
      <c r="D10" s="67"/>
      <c r="E10" s="1242"/>
      <c r="F10" s="1254"/>
      <c r="G10" s="978"/>
      <c r="H10" s="988"/>
      <c r="I10" s="121"/>
      <c r="J10" s="121"/>
    </row>
    <row r="11" spans="1:10" s="9" customFormat="1">
      <c r="A11" s="4"/>
      <c r="B11" s="998" t="s">
        <v>513</v>
      </c>
      <c r="C11" s="105" t="s">
        <v>16</v>
      </c>
      <c r="D11" s="76"/>
      <c r="E11" s="1242"/>
      <c r="F11" s="1254"/>
      <c r="G11" s="978"/>
      <c r="H11" s="989"/>
      <c r="I11" s="121"/>
      <c r="J11" s="121"/>
    </row>
    <row r="12" spans="1:10" s="9" customFormat="1" ht="11.4" customHeight="1">
      <c r="A12" s="4"/>
      <c r="B12" s="974"/>
      <c r="C12" s="67"/>
      <c r="D12" s="67"/>
      <c r="E12" s="1242"/>
      <c r="F12" s="1254"/>
      <c r="G12" s="978"/>
      <c r="H12" s="988"/>
      <c r="I12" s="121"/>
      <c r="J12" s="121"/>
    </row>
    <row r="13" spans="1:10" s="9" customFormat="1">
      <c r="A13" s="4"/>
      <c r="B13" s="976"/>
      <c r="C13" s="77" t="s">
        <v>17</v>
      </c>
      <c r="D13" s="76" t="s">
        <v>15</v>
      </c>
      <c r="E13" s="1242">
        <v>5</v>
      </c>
      <c r="F13" s="1254">
        <v>0</v>
      </c>
      <c r="G13" s="978">
        <f>E13*F13</f>
        <v>0</v>
      </c>
      <c r="H13" s="987">
        <v>1.7</v>
      </c>
      <c r="I13" s="122">
        <f>F13*H13</f>
        <v>0</v>
      </c>
      <c r="J13" s="122">
        <f>G13-I13</f>
        <v>0</v>
      </c>
    </row>
    <row r="14" spans="1:10" s="9" customFormat="1" ht="11.4" customHeight="1">
      <c r="A14" s="4"/>
      <c r="B14" s="974"/>
      <c r="C14" s="67"/>
      <c r="D14" s="67"/>
      <c r="E14" s="1242"/>
      <c r="F14" s="1254"/>
      <c r="G14" s="978"/>
      <c r="H14" s="988"/>
      <c r="I14" s="121"/>
      <c r="J14" s="121"/>
    </row>
    <row r="15" spans="1:10" s="9" customFormat="1">
      <c r="A15" s="4"/>
      <c r="B15" s="976"/>
      <c r="C15" s="77" t="s">
        <v>18</v>
      </c>
      <c r="D15" s="76" t="s">
        <v>19</v>
      </c>
      <c r="E15" s="1242">
        <v>500</v>
      </c>
      <c r="F15" s="1254">
        <v>0</v>
      </c>
      <c r="G15" s="978">
        <f>E15*F15</f>
        <v>0</v>
      </c>
      <c r="H15" s="989">
        <v>1761.5</v>
      </c>
      <c r="I15" s="122">
        <f>F15*H15</f>
        <v>0</v>
      </c>
      <c r="J15" s="122">
        <f>G15-I15</f>
        <v>0</v>
      </c>
    </row>
    <row r="16" spans="1:10" s="9" customFormat="1" ht="11.4" customHeight="1">
      <c r="A16" s="4"/>
      <c r="B16" s="974"/>
      <c r="C16" s="67"/>
      <c r="D16" s="67"/>
      <c r="E16" s="1242"/>
      <c r="F16" s="1254"/>
      <c r="G16" s="978"/>
      <c r="H16" s="988"/>
      <c r="I16" s="121"/>
      <c r="J16" s="121"/>
    </row>
    <row r="17" spans="1:10" s="9" customFormat="1">
      <c r="A17" s="4"/>
      <c r="B17" s="998" t="s">
        <v>515</v>
      </c>
      <c r="C17" s="105" t="s">
        <v>514</v>
      </c>
      <c r="D17" s="76"/>
      <c r="E17" s="1242"/>
      <c r="F17" s="1254"/>
      <c r="G17" s="978"/>
      <c r="H17" s="989"/>
      <c r="I17" s="121"/>
      <c r="J17" s="121"/>
    </row>
    <row r="18" spans="1:10" s="9" customFormat="1" ht="11.4" customHeight="1">
      <c r="A18" s="4"/>
      <c r="B18" s="974"/>
      <c r="C18" s="67"/>
      <c r="D18" s="67"/>
      <c r="E18" s="1242"/>
      <c r="F18" s="1254"/>
      <c r="G18" s="978"/>
      <c r="H18" s="988"/>
      <c r="I18" s="121"/>
      <c r="J18" s="121"/>
    </row>
    <row r="19" spans="1:10" s="9" customFormat="1">
      <c r="A19" s="4"/>
      <c r="B19" s="976"/>
      <c r="C19" s="77" t="s">
        <v>20</v>
      </c>
      <c r="D19" s="76" t="s">
        <v>21</v>
      </c>
      <c r="E19" s="1242">
        <f>22*6*12</f>
        <v>1584</v>
      </c>
      <c r="F19" s="1254">
        <v>0</v>
      </c>
      <c r="G19" s="978">
        <f>E19*F19</f>
        <v>0</v>
      </c>
      <c r="H19" s="989">
        <v>2184</v>
      </c>
      <c r="I19" s="122">
        <f>F19*H19</f>
        <v>0</v>
      </c>
      <c r="J19" s="122">
        <f>G19-I19</f>
        <v>0</v>
      </c>
    </row>
    <row r="20" spans="1:10" s="9" customFormat="1">
      <c r="A20" s="4"/>
      <c r="B20" s="974"/>
      <c r="C20" s="67"/>
      <c r="D20" s="67"/>
      <c r="E20" s="1242"/>
      <c r="F20" s="1254"/>
      <c r="G20" s="978"/>
      <c r="H20" s="988"/>
      <c r="I20" s="121"/>
      <c r="J20" s="121"/>
    </row>
    <row r="21" spans="1:10" s="9" customFormat="1">
      <c r="A21" s="4"/>
      <c r="B21" s="976"/>
      <c r="C21" s="77" t="s">
        <v>22</v>
      </c>
      <c r="D21" s="76" t="s">
        <v>10</v>
      </c>
      <c r="E21" s="1242">
        <v>4</v>
      </c>
      <c r="F21" s="1254">
        <v>0</v>
      </c>
      <c r="G21" s="978">
        <f>E21*F21</f>
        <v>0</v>
      </c>
      <c r="H21" s="989">
        <v>12</v>
      </c>
      <c r="I21" s="122">
        <f>F21*H21</f>
        <v>0</v>
      </c>
      <c r="J21" s="122">
        <f>G21-I21</f>
        <v>0</v>
      </c>
    </row>
    <row r="22" spans="1:10" s="9" customFormat="1" ht="11.4" customHeight="1">
      <c r="A22" s="4"/>
      <c r="B22" s="974"/>
      <c r="C22" s="67"/>
      <c r="D22" s="67"/>
      <c r="E22" s="1242"/>
      <c r="F22" s="1254"/>
      <c r="G22" s="978"/>
      <c r="H22" s="988"/>
      <c r="I22" s="121"/>
      <c r="J22" s="121"/>
    </row>
    <row r="23" spans="1:10" s="9" customFormat="1" ht="23">
      <c r="A23" s="4"/>
      <c r="B23" s="976"/>
      <c r="C23" s="77" t="s">
        <v>23</v>
      </c>
      <c r="D23" s="76" t="s">
        <v>10</v>
      </c>
      <c r="E23" s="1242">
        <v>2</v>
      </c>
      <c r="F23" s="1254">
        <v>0</v>
      </c>
      <c r="G23" s="978">
        <f>E23*F23</f>
        <v>0</v>
      </c>
      <c r="H23" s="989">
        <v>12</v>
      </c>
      <c r="I23" s="122">
        <f>F23*H23</f>
        <v>0</v>
      </c>
      <c r="J23" s="122">
        <f>G23-I23</f>
        <v>0</v>
      </c>
    </row>
    <row r="24" spans="1:10" s="9" customFormat="1" ht="11.4" customHeight="1">
      <c r="A24" s="4"/>
      <c r="B24" s="974"/>
      <c r="C24" s="67"/>
      <c r="D24" s="67"/>
      <c r="E24" s="1242"/>
      <c r="F24" s="1254"/>
      <c r="G24" s="978"/>
      <c r="H24" s="988"/>
      <c r="I24" s="121"/>
      <c r="J24" s="121"/>
    </row>
    <row r="25" spans="1:10" s="9" customFormat="1">
      <c r="A25" s="4"/>
      <c r="B25" s="976"/>
      <c r="C25" s="77" t="s">
        <v>24</v>
      </c>
      <c r="D25" s="76" t="s">
        <v>10</v>
      </c>
      <c r="E25" s="1242">
        <v>6</v>
      </c>
      <c r="F25" s="1254">
        <v>0</v>
      </c>
      <c r="G25" s="978">
        <f>E25*F25</f>
        <v>0</v>
      </c>
      <c r="H25" s="989">
        <v>12</v>
      </c>
      <c r="I25" s="122">
        <f>F25*H25</f>
        <v>0</v>
      </c>
      <c r="J25" s="122">
        <f>G25-I25</f>
        <v>0</v>
      </c>
    </row>
    <row r="26" spans="1:10" s="9" customFormat="1">
      <c r="A26" s="4"/>
      <c r="B26" s="999"/>
      <c r="C26" s="67"/>
      <c r="D26" s="67"/>
      <c r="E26" s="1242"/>
      <c r="F26" s="1254"/>
      <c r="G26" s="978"/>
      <c r="H26" s="988"/>
      <c r="I26" s="121"/>
      <c r="J26" s="121"/>
    </row>
    <row r="27" spans="1:10" s="9" customFormat="1">
      <c r="A27" s="4"/>
      <c r="B27" s="1000"/>
      <c r="C27" s="77" t="s">
        <v>25</v>
      </c>
      <c r="D27" s="76" t="s">
        <v>10</v>
      </c>
      <c r="E27" s="1242">
        <v>6</v>
      </c>
      <c r="F27" s="1254">
        <v>0</v>
      </c>
      <c r="G27" s="978">
        <f>E27*F27</f>
        <v>0</v>
      </c>
      <c r="H27" s="989">
        <v>12</v>
      </c>
      <c r="I27" s="122">
        <f>F27*H27</f>
        <v>0</v>
      </c>
      <c r="J27" s="122">
        <f>G27-I27</f>
        <v>0</v>
      </c>
    </row>
    <row r="28" spans="1:10" s="9" customFormat="1">
      <c r="A28" s="4"/>
      <c r="B28" s="999"/>
      <c r="C28" s="67"/>
      <c r="D28" s="67"/>
      <c r="E28" s="1242"/>
      <c r="F28" s="1254"/>
      <c r="G28" s="978"/>
      <c r="H28" s="988"/>
      <c r="I28" s="121"/>
      <c r="J28" s="121"/>
    </row>
    <row r="29" spans="1:10" s="9" customFormat="1" ht="23">
      <c r="A29" s="4"/>
      <c r="B29" s="1000"/>
      <c r="C29" s="77" t="s">
        <v>26</v>
      </c>
      <c r="D29" s="76" t="s">
        <v>11</v>
      </c>
      <c r="E29" s="1242">
        <v>6</v>
      </c>
      <c r="F29" s="1254">
        <v>0</v>
      </c>
      <c r="G29" s="978">
        <f>E29*F29</f>
        <v>0</v>
      </c>
      <c r="H29" s="989">
        <v>12</v>
      </c>
      <c r="I29" s="122">
        <f>F29*H29</f>
        <v>0</v>
      </c>
      <c r="J29" s="122">
        <f>G29-I29</f>
        <v>0</v>
      </c>
    </row>
    <row r="30" spans="1:10" s="9" customFormat="1" ht="11.4" customHeight="1">
      <c r="A30" s="4"/>
      <c r="B30" s="999"/>
      <c r="C30" s="67"/>
      <c r="D30" s="67"/>
      <c r="E30" s="1242"/>
      <c r="F30" s="1254"/>
      <c r="G30" s="978"/>
      <c r="H30" s="988"/>
      <c r="I30" s="121"/>
      <c r="J30" s="121"/>
    </row>
    <row r="31" spans="1:10" s="9" customFormat="1">
      <c r="A31" s="4"/>
      <c r="B31" s="1000"/>
      <c r="C31" s="77" t="s">
        <v>27</v>
      </c>
      <c r="D31" s="76"/>
      <c r="E31" s="1242"/>
      <c r="F31" s="1254"/>
      <c r="G31" s="978"/>
      <c r="H31" s="989"/>
      <c r="I31" s="121"/>
      <c r="J31" s="121"/>
    </row>
    <row r="32" spans="1:10" s="9" customFormat="1" ht="11.4" customHeight="1">
      <c r="A32" s="4"/>
      <c r="B32" s="999"/>
      <c r="C32" s="67"/>
      <c r="D32" s="67"/>
      <c r="E32" s="1242"/>
      <c r="F32" s="1254"/>
      <c r="G32" s="978"/>
      <c r="H32" s="988"/>
      <c r="I32" s="121"/>
      <c r="J32" s="121"/>
    </row>
    <row r="33" spans="1:12" s="9" customFormat="1">
      <c r="A33" s="4"/>
      <c r="B33" s="1000"/>
      <c r="C33" s="77" t="s">
        <v>28</v>
      </c>
      <c r="D33" s="76" t="s">
        <v>10</v>
      </c>
      <c r="E33" s="1242">
        <v>40</v>
      </c>
      <c r="F33" s="1254">
        <v>0</v>
      </c>
      <c r="G33" s="978">
        <f>E33*F33</f>
        <v>0</v>
      </c>
      <c r="H33" s="989">
        <v>25</v>
      </c>
      <c r="I33" s="122">
        <f>F33*H33</f>
        <v>0</v>
      </c>
      <c r="J33" s="122">
        <f>G33-I33</f>
        <v>0</v>
      </c>
    </row>
    <row r="34" spans="1:12" s="9" customFormat="1" ht="11.4" customHeight="1">
      <c r="A34" s="4"/>
      <c r="B34" s="999"/>
      <c r="C34" s="67"/>
      <c r="D34" s="67"/>
      <c r="E34" s="1242"/>
      <c r="F34" s="1254"/>
      <c r="G34" s="978"/>
      <c r="H34" s="988"/>
      <c r="I34" s="121"/>
      <c r="J34" s="121"/>
    </row>
    <row r="35" spans="1:12" s="9" customFormat="1">
      <c r="A35" s="4"/>
      <c r="B35" s="1000"/>
      <c r="C35" s="77" t="s">
        <v>29</v>
      </c>
      <c r="D35" s="76" t="s">
        <v>10</v>
      </c>
      <c r="E35" s="1242">
        <v>20</v>
      </c>
      <c r="F35" s="1254">
        <v>0</v>
      </c>
      <c r="G35" s="978">
        <f>E35*F35</f>
        <v>0</v>
      </c>
      <c r="H35" s="989">
        <v>30</v>
      </c>
      <c r="I35" s="122">
        <f>F35*H35</f>
        <v>0</v>
      </c>
      <c r="J35" s="122">
        <f>G35-I35</f>
        <v>0</v>
      </c>
    </row>
    <row r="36" spans="1:12" s="9" customFormat="1" ht="11.4" customHeight="1">
      <c r="A36" s="4"/>
      <c r="B36" s="974"/>
      <c r="C36" s="67"/>
      <c r="D36" s="68"/>
      <c r="E36" s="1242"/>
      <c r="F36" s="1254"/>
      <c r="G36" s="978"/>
      <c r="H36" s="988"/>
      <c r="I36" s="121"/>
      <c r="J36" s="121"/>
    </row>
    <row r="37" spans="1:12" s="9" customFormat="1" ht="34.5">
      <c r="A37" s="4"/>
      <c r="B37" s="998" t="s">
        <v>516</v>
      </c>
      <c r="C37" s="105" t="s">
        <v>30</v>
      </c>
      <c r="D37" s="37"/>
      <c r="E37" s="1242"/>
      <c r="F37" s="1254"/>
      <c r="G37" s="978"/>
      <c r="H37" s="989"/>
      <c r="I37" s="121"/>
      <c r="J37" s="121"/>
    </row>
    <row r="38" spans="1:12" s="9" customFormat="1" ht="11.4" customHeight="1">
      <c r="A38" s="4"/>
      <c r="B38" s="974"/>
      <c r="C38" s="67"/>
      <c r="D38" s="68"/>
      <c r="E38" s="1242"/>
      <c r="F38" s="1254"/>
      <c r="G38" s="978"/>
      <c r="H38" s="988"/>
      <c r="I38" s="121"/>
      <c r="J38" s="121"/>
    </row>
    <row r="39" spans="1:12" s="9" customFormat="1">
      <c r="A39" s="4"/>
      <c r="B39" s="976"/>
      <c r="C39" s="77" t="s">
        <v>31</v>
      </c>
      <c r="D39" s="37" t="s">
        <v>19</v>
      </c>
      <c r="E39" s="1242">
        <v>500</v>
      </c>
      <c r="F39" s="1254">
        <v>0</v>
      </c>
      <c r="G39" s="978">
        <f>E39*F39</f>
        <v>0</v>
      </c>
      <c r="H39" s="989">
        <v>1214.3</v>
      </c>
      <c r="I39" s="122">
        <f>F39*H39</f>
        <v>0</v>
      </c>
      <c r="J39" s="122">
        <f>G39-I39</f>
        <v>0</v>
      </c>
    </row>
    <row r="40" spans="1:12" s="9" customFormat="1" ht="11.4" customHeight="1">
      <c r="A40" s="4"/>
      <c r="B40" s="974"/>
      <c r="C40" s="67"/>
      <c r="D40" s="68"/>
      <c r="E40" s="1242"/>
      <c r="F40" s="1254"/>
      <c r="G40" s="978"/>
      <c r="H40" s="988"/>
      <c r="I40" s="121"/>
      <c r="J40" s="121"/>
    </row>
    <row r="41" spans="1:12" s="9" customFormat="1" ht="15" customHeight="1">
      <c r="A41" s="4"/>
      <c r="B41" s="998" t="s">
        <v>517</v>
      </c>
      <c r="C41" s="63" t="s">
        <v>32</v>
      </c>
      <c r="D41" s="64" t="s">
        <v>33</v>
      </c>
      <c r="E41" s="1242">
        <f>2.5*2.9*21*6</f>
        <v>913.5</v>
      </c>
      <c r="F41" s="1254">
        <v>0</v>
      </c>
      <c r="G41" s="978">
        <f>E41*F41</f>
        <v>0</v>
      </c>
      <c r="H41" s="989">
        <v>1473.9</v>
      </c>
      <c r="I41" s="122">
        <f>F41*H41</f>
        <v>0</v>
      </c>
      <c r="J41" s="122">
        <f>G41-I41</f>
        <v>0</v>
      </c>
    </row>
    <row r="42" spans="1:12" s="9" customFormat="1" ht="11.4" customHeight="1">
      <c r="A42" s="4"/>
      <c r="B42" s="974"/>
      <c r="C42" s="67"/>
      <c r="D42" s="68"/>
      <c r="E42" s="1242"/>
      <c r="F42" s="1254"/>
      <c r="G42" s="978"/>
      <c r="H42" s="988"/>
      <c r="I42" s="121"/>
      <c r="J42" s="121"/>
    </row>
    <row r="43" spans="1:12" s="9" customFormat="1">
      <c r="A43" s="4"/>
      <c r="B43" s="998" t="s">
        <v>518</v>
      </c>
      <c r="C43" s="105" t="s">
        <v>34</v>
      </c>
      <c r="D43" s="37"/>
      <c r="E43" s="1242"/>
      <c r="F43" s="1254"/>
      <c r="G43" s="978"/>
      <c r="H43" s="989"/>
      <c r="I43" s="121"/>
      <c r="J43" s="121"/>
    </row>
    <row r="44" spans="1:12" s="9" customFormat="1" ht="11.4" customHeight="1">
      <c r="A44" s="4"/>
      <c r="B44" s="974"/>
      <c r="C44" s="67"/>
      <c r="D44" s="68"/>
      <c r="E44" s="1242"/>
      <c r="F44" s="1254"/>
      <c r="G44" s="978"/>
      <c r="H44" s="988"/>
      <c r="I44" s="121"/>
      <c r="J44" s="121"/>
    </row>
    <row r="45" spans="1:12" s="9" customFormat="1" ht="17" customHeight="1">
      <c r="A45" s="4"/>
      <c r="B45" s="1001"/>
      <c r="C45" s="63" t="s">
        <v>31</v>
      </c>
      <c r="D45" s="64" t="s">
        <v>35</v>
      </c>
      <c r="E45" s="1242">
        <f>5*2*12</f>
        <v>120</v>
      </c>
      <c r="F45" s="1254">
        <v>0</v>
      </c>
      <c r="G45" s="978">
        <f>E45*F45</f>
        <v>0</v>
      </c>
      <c r="H45" s="989">
        <v>1.7</v>
      </c>
      <c r="I45" s="122">
        <f>F45*H45</f>
        <v>0</v>
      </c>
      <c r="J45" s="122">
        <f>G45-I45</f>
        <v>0</v>
      </c>
      <c r="L45" s="748" t="s">
        <v>773</v>
      </c>
    </row>
    <row r="46" spans="1:12" s="9" customFormat="1">
      <c r="A46" s="4"/>
      <c r="B46" s="1001"/>
      <c r="C46" s="63"/>
      <c r="D46" s="64"/>
      <c r="E46" s="1242"/>
      <c r="F46" s="1254"/>
      <c r="G46" s="978"/>
      <c r="H46" s="989"/>
      <c r="I46" s="122"/>
      <c r="J46" s="122"/>
    </row>
    <row r="47" spans="1:12" s="10" customFormat="1" ht="16.25" customHeight="1">
      <c r="A47" s="5"/>
      <c r="B47" s="1002"/>
      <c r="C47" s="99" t="s">
        <v>36</v>
      </c>
      <c r="D47" s="64" t="s">
        <v>35</v>
      </c>
      <c r="E47" s="1244">
        <f>E45</f>
        <v>120</v>
      </c>
      <c r="F47" s="1254">
        <v>0</v>
      </c>
      <c r="G47" s="978">
        <f>E47*F47</f>
        <v>0</v>
      </c>
      <c r="H47" s="989">
        <v>1.7</v>
      </c>
      <c r="I47" s="122">
        <f>F47*H47</f>
        <v>0</v>
      </c>
      <c r="J47" s="122">
        <f>G47-I47</f>
        <v>0</v>
      </c>
    </row>
    <row r="48" spans="1:12" s="9" customFormat="1" ht="23">
      <c r="A48" s="4"/>
      <c r="B48" s="1003" t="s">
        <v>519</v>
      </c>
      <c r="C48" s="63" t="s">
        <v>37</v>
      </c>
      <c r="D48" s="64" t="s">
        <v>8</v>
      </c>
      <c r="E48" s="1246">
        <v>1</v>
      </c>
      <c r="F48" s="1254">
        <v>50000</v>
      </c>
      <c r="G48" s="978">
        <f>E48*F48</f>
        <v>50000</v>
      </c>
      <c r="H48" s="989">
        <v>1</v>
      </c>
      <c r="I48" s="122">
        <f>F48*H48</f>
        <v>50000</v>
      </c>
      <c r="J48" s="122">
        <f>G48-I48</f>
        <v>0</v>
      </c>
    </row>
    <row r="49" spans="1:10" s="9" customFormat="1">
      <c r="A49" s="4"/>
      <c r="B49" s="1001"/>
      <c r="C49" s="63"/>
      <c r="D49" s="64"/>
      <c r="E49" s="1244"/>
      <c r="F49" s="66"/>
      <c r="G49" s="978"/>
      <c r="H49" s="989"/>
      <c r="I49" s="122"/>
      <c r="J49" s="122"/>
    </row>
    <row r="50" spans="1:10" s="9" customFormat="1" ht="12" thickBot="1">
      <c r="A50" s="4"/>
      <c r="B50" s="976"/>
      <c r="C50" s="102"/>
      <c r="D50" s="103"/>
      <c r="E50" s="1245"/>
      <c r="F50" s="106"/>
      <c r="G50" s="1004"/>
      <c r="H50" s="990"/>
      <c r="I50" s="124"/>
      <c r="J50" s="124"/>
    </row>
    <row r="51" spans="1:10" s="13" customFormat="1" ht="20.149999999999999" customHeight="1" thickBot="1">
      <c r="A51" s="21"/>
      <c r="B51" s="980" t="s">
        <v>145</v>
      </c>
      <c r="C51" s="1005"/>
      <c r="D51" s="1006"/>
      <c r="E51" s="1006"/>
      <c r="F51" s="982"/>
      <c r="G51" s="984">
        <v>0</v>
      </c>
      <c r="H51" s="991"/>
      <c r="I51" s="150">
        <f>SUM(I7:I50)</f>
        <v>50000</v>
      </c>
      <c r="J51" s="150">
        <f>SUM(J7:J50)</f>
        <v>0</v>
      </c>
    </row>
    <row r="52" spans="1:10" s="7" customFormat="1">
      <c r="A52" s="18"/>
      <c r="B52" s="18"/>
      <c r="C52" s="19"/>
      <c r="D52" s="18"/>
      <c r="E52" s="24"/>
      <c r="F52" s="24"/>
      <c r="G52" s="24"/>
    </row>
  </sheetData>
  <pageMargins left="0.5905524831078367" right="0.27559115878365709" top="0.3937016554052245" bottom="0.3937016554052245" header="0.3" footer="0.3"/>
  <pageSetup paperSize="9" scale="97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7">
    <pageSetUpPr fitToPage="1"/>
  </sheetPr>
  <dimension ref="A1:K42"/>
  <sheetViews>
    <sheetView view="pageBreakPreview" topLeftCell="A16" zoomScaleNormal="95" zoomScaleSheetLayoutView="100" workbookViewId="0">
      <selection activeCell="G34" sqref="G34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3.6328125" style="20" customWidth="1"/>
    <col min="4" max="4" width="46" style="20" customWidth="1"/>
    <col min="5" max="5" width="6.36328125" style="20" customWidth="1"/>
    <col min="6" max="6" width="11.08984375" style="599" customWidth="1"/>
    <col min="7" max="7" width="13.36328125" style="24" customWidth="1"/>
    <col min="8" max="8" width="16.54296875" style="24" customWidth="1"/>
    <col min="9" max="9" width="11.453125" style="12" hidden="1" customWidth="1"/>
    <col min="10" max="10" width="12.90625" style="12" hidden="1" customWidth="1"/>
    <col min="11" max="11" width="11.453125" style="12" hidden="1" customWidth="1"/>
    <col min="12" max="16384" width="8.90625" style="12"/>
  </cols>
  <sheetData>
    <row r="1" spans="1:11" s="7" customFormat="1" ht="12" thickBot="1">
      <c r="A1" s="18"/>
      <c r="B1" s="23"/>
      <c r="C1" s="24"/>
      <c r="D1" s="18"/>
      <c r="E1" s="18"/>
      <c r="F1" s="596"/>
      <c r="G1" s="18"/>
      <c r="H1" s="24"/>
    </row>
    <row r="2" spans="1:11" s="7" customFormat="1">
      <c r="A2" s="18"/>
      <c r="B2" s="900" t="s">
        <v>782</v>
      </c>
      <c r="C2" s="943"/>
      <c r="D2" s="943"/>
      <c r="E2" s="943"/>
      <c r="F2" s="1010"/>
      <c r="G2" s="943"/>
      <c r="H2" s="1011"/>
    </row>
    <row r="3" spans="1:11" s="7" customFormat="1">
      <c r="A3" s="18"/>
      <c r="B3" s="904" t="s">
        <v>482</v>
      </c>
      <c r="C3" s="18"/>
      <c r="D3" s="18"/>
      <c r="E3" s="18"/>
      <c r="F3" s="596"/>
      <c r="G3" s="18"/>
      <c r="H3" s="1012"/>
    </row>
    <row r="4" spans="1:11" s="7" customFormat="1" ht="20.149999999999999" customHeight="1">
      <c r="A4" s="18"/>
      <c r="B4" s="994"/>
      <c r="C4" s="18"/>
      <c r="D4" s="18"/>
      <c r="E4" s="18"/>
      <c r="F4" s="599"/>
      <c r="G4" s="24"/>
      <c r="H4" s="967" t="s">
        <v>40</v>
      </c>
    </row>
    <row r="5" spans="1:11" s="9" customFormat="1" ht="30" customHeight="1">
      <c r="A5" s="4"/>
      <c r="B5" s="968" t="s">
        <v>0</v>
      </c>
      <c r="C5" s="708" t="s">
        <v>1</v>
      </c>
      <c r="D5" s="785" t="s">
        <v>2</v>
      </c>
      <c r="E5" s="785" t="s">
        <v>3</v>
      </c>
      <c r="F5" s="627" t="s">
        <v>4</v>
      </c>
      <c r="G5" s="626" t="s">
        <v>5</v>
      </c>
      <c r="H5" s="969" t="s">
        <v>6</v>
      </c>
      <c r="I5" s="618" t="s">
        <v>217</v>
      </c>
      <c r="J5" s="130" t="s">
        <v>216</v>
      </c>
      <c r="K5" s="130" t="s">
        <v>218</v>
      </c>
    </row>
    <row r="6" spans="1:11" s="10" customFormat="1" ht="20.149999999999999" customHeight="1">
      <c r="A6" s="5"/>
      <c r="B6" s="1013"/>
      <c r="C6" s="709"/>
      <c r="D6" s="710"/>
      <c r="E6" s="710"/>
      <c r="F6" s="714"/>
      <c r="G6" s="711"/>
      <c r="H6" s="971"/>
      <c r="I6" s="619"/>
      <c r="J6" s="126"/>
      <c r="K6" s="126"/>
    </row>
    <row r="7" spans="1:11" s="10" customFormat="1">
      <c r="A7" s="5"/>
      <c r="B7" s="1014"/>
      <c r="C7" s="107"/>
      <c r="D7" s="707"/>
      <c r="E7" s="713"/>
      <c r="F7" s="715"/>
      <c r="G7" s="712"/>
      <c r="H7" s="1015"/>
      <c r="I7" s="698"/>
      <c r="J7" s="705"/>
      <c r="K7" s="705"/>
    </row>
    <row r="8" spans="1:11" s="9" customFormat="1">
      <c r="A8" s="4"/>
      <c r="B8" s="998" t="s">
        <v>150</v>
      </c>
      <c r="C8" s="706"/>
      <c r="D8" s="105" t="s">
        <v>41</v>
      </c>
      <c r="E8" s="37"/>
      <c r="F8" s="104"/>
      <c r="G8" s="66"/>
      <c r="H8" s="978"/>
      <c r="I8" s="620"/>
      <c r="J8" s="127"/>
      <c r="K8" s="127"/>
    </row>
    <row r="9" spans="1:11" s="9" customFormat="1" ht="11.4" customHeight="1">
      <c r="A9" s="4"/>
      <c r="B9" s="974"/>
      <c r="C9" s="67"/>
      <c r="D9" s="67"/>
      <c r="E9" s="68"/>
      <c r="F9" s="104"/>
      <c r="G9" s="61"/>
      <c r="H9" s="978"/>
      <c r="I9" s="988"/>
      <c r="J9" s="121"/>
      <c r="K9" s="121"/>
    </row>
    <row r="10" spans="1:11" s="9" customFormat="1" ht="18" customHeight="1">
      <c r="A10" s="4"/>
      <c r="B10" s="998" t="s">
        <v>206</v>
      </c>
      <c r="C10" s="59"/>
      <c r="D10" s="63" t="s">
        <v>42</v>
      </c>
      <c r="E10" s="64" t="s">
        <v>43</v>
      </c>
      <c r="F10" s="104">
        <f>1</f>
        <v>1</v>
      </c>
      <c r="G10" s="1253">
        <v>0</v>
      </c>
      <c r="H10" s="978">
        <f>F10*G10</f>
        <v>0</v>
      </c>
      <c r="I10" s="1007">
        <v>22100</v>
      </c>
      <c r="J10" s="122">
        <f>G10*I10</f>
        <v>0</v>
      </c>
      <c r="K10" s="122">
        <f>H10-J10</f>
        <v>0</v>
      </c>
    </row>
    <row r="11" spans="1:11" s="9" customFormat="1" ht="11.4" customHeight="1">
      <c r="A11" s="4"/>
      <c r="B11" s="974"/>
      <c r="C11" s="67"/>
      <c r="D11" s="60"/>
      <c r="E11" s="61"/>
      <c r="F11" s="104"/>
      <c r="G11" s="1254"/>
      <c r="H11" s="978"/>
      <c r="I11" s="988"/>
      <c r="J11" s="121"/>
      <c r="K11" s="121"/>
    </row>
    <row r="12" spans="1:11" s="9" customFormat="1">
      <c r="A12" s="4"/>
      <c r="B12" s="998" t="s">
        <v>520</v>
      </c>
      <c r="C12" s="706" t="s">
        <v>7</v>
      </c>
      <c r="D12" s="95" t="s">
        <v>524</v>
      </c>
      <c r="E12" s="64"/>
      <c r="F12" s="104"/>
      <c r="G12" s="1254"/>
      <c r="H12" s="978"/>
      <c r="I12" s="989"/>
      <c r="J12" s="121"/>
      <c r="K12" s="121"/>
    </row>
    <row r="13" spans="1:11" s="9" customFormat="1" ht="11.4" customHeight="1">
      <c r="A13" s="4"/>
      <c r="B13" s="974"/>
      <c r="C13" s="67"/>
      <c r="D13" s="60"/>
      <c r="E13" s="61"/>
      <c r="F13" s="104"/>
      <c r="G13" s="1254"/>
      <c r="H13" s="978"/>
      <c r="I13" s="988"/>
      <c r="J13" s="121"/>
      <c r="K13" s="121"/>
    </row>
    <row r="14" spans="1:11" s="9" customFormat="1">
      <c r="A14" s="4"/>
      <c r="B14" s="976"/>
      <c r="C14" s="75"/>
      <c r="D14" s="63" t="s">
        <v>44</v>
      </c>
      <c r="E14" s="64" t="s">
        <v>10</v>
      </c>
      <c r="F14" s="104">
        <v>5</v>
      </c>
      <c r="G14" s="1253">
        <v>0</v>
      </c>
      <c r="H14" s="978">
        <f>F14*G14</f>
        <v>0</v>
      </c>
      <c r="I14" s="989">
        <v>2</v>
      </c>
      <c r="J14" s="122">
        <f>G14*I14</f>
        <v>0</v>
      </c>
      <c r="K14" s="122">
        <f>H14-J14</f>
        <v>0</v>
      </c>
    </row>
    <row r="15" spans="1:11" s="9" customFormat="1" ht="11.4" customHeight="1">
      <c r="A15" s="4"/>
      <c r="B15" s="974"/>
      <c r="C15" s="67"/>
      <c r="D15" s="60"/>
      <c r="E15" s="61"/>
      <c r="F15" s="104"/>
      <c r="G15" s="1254"/>
      <c r="H15" s="978"/>
      <c r="I15" s="988"/>
      <c r="J15" s="121"/>
      <c r="K15" s="121"/>
    </row>
    <row r="16" spans="1:11" s="9" customFormat="1">
      <c r="A16" s="4"/>
      <c r="B16" s="976"/>
      <c r="C16" s="75"/>
      <c r="D16" s="63" t="s">
        <v>45</v>
      </c>
      <c r="E16" s="64" t="s">
        <v>10</v>
      </c>
      <c r="F16" s="104">
        <v>2</v>
      </c>
      <c r="G16" s="1253">
        <v>0</v>
      </c>
      <c r="H16" s="978">
        <f>F16*G16</f>
        <v>0</v>
      </c>
      <c r="I16" s="989">
        <v>2</v>
      </c>
      <c r="J16" s="122">
        <f>G16*I16</f>
        <v>0</v>
      </c>
      <c r="K16" s="122">
        <f>H16-J16</f>
        <v>0</v>
      </c>
    </row>
    <row r="17" spans="1:11" s="9" customFormat="1" ht="11.4" customHeight="1">
      <c r="A17" s="4"/>
      <c r="B17" s="974"/>
      <c r="C17" s="67"/>
      <c r="D17" s="60"/>
      <c r="E17" s="61"/>
      <c r="F17" s="104"/>
      <c r="G17" s="1254"/>
      <c r="H17" s="978"/>
      <c r="I17" s="988"/>
      <c r="J17" s="121"/>
      <c r="K17" s="121"/>
    </row>
    <row r="18" spans="1:11" s="9" customFormat="1" ht="23">
      <c r="A18" s="4"/>
      <c r="B18" s="998" t="s">
        <v>521</v>
      </c>
      <c r="C18" s="75"/>
      <c r="D18" s="63" t="s">
        <v>46</v>
      </c>
      <c r="E18" s="64" t="s">
        <v>43</v>
      </c>
      <c r="F18" s="104">
        <f>F10</f>
        <v>1</v>
      </c>
      <c r="G18" s="1253">
        <f>G10</f>
        <v>0</v>
      </c>
      <c r="H18" s="978">
        <f>F18*G18</f>
        <v>0</v>
      </c>
      <c r="I18" s="989">
        <v>0.2</v>
      </c>
      <c r="J18" s="122">
        <f>G18*I18</f>
        <v>0</v>
      </c>
      <c r="K18" s="122">
        <f>H18-J18</f>
        <v>0</v>
      </c>
    </row>
    <row r="19" spans="1:11" s="9" customFormat="1" ht="11.4" customHeight="1">
      <c r="A19" s="4"/>
      <c r="B19" s="974"/>
      <c r="C19" s="67"/>
      <c r="D19" s="60"/>
      <c r="E19" s="61"/>
      <c r="F19" s="104"/>
      <c r="G19" s="1254"/>
      <c r="H19" s="978"/>
      <c r="I19" s="988"/>
      <c r="J19" s="121"/>
      <c r="K19" s="121"/>
    </row>
    <row r="20" spans="1:11" s="9" customFormat="1" ht="23">
      <c r="A20" s="4"/>
      <c r="B20" s="998" t="s">
        <v>522</v>
      </c>
      <c r="C20" s="75" t="s">
        <v>7</v>
      </c>
      <c r="D20" s="63" t="s">
        <v>47</v>
      </c>
      <c r="E20" s="64" t="s">
        <v>11</v>
      </c>
      <c r="F20" s="104">
        <v>90</v>
      </c>
      <c r="G20" s="1253">
        <v>0</v>
      </c>
      <c r="H20" s="978">
        <f>F20*G20</f>
        <v>0</v>
      </c>
      <c r="I20" s="989">
        <v>21.3</v>
      </c>
      <c r="J20" s="122">
        <f>G20*I20</f>
        <v>0</v>
      </c>
      <c r="K20" s="122">
        <f>H20-J20</f>
        <v>0</v>
      </c>
    </row>
    <row r="21" spans="1:11" s="9" customFormat="1" ht="11.4" customHeight="1">
      <c r="A21" s="4"/>
      <c r="B21" s="974"/>
      <c r="C21" s="67"/>
      <c r="D21" s="67"/>
      <c r="E21" s="68"/>
      <c r="F21" s="104"/>
      <c r="G21" s="1254"/>
      <c r="H21" s="978"/>
      <c r="I21" s="988"/>
      <c r="J21" s="121"/>
      <c r="K21" s="121"/>
    </row>
    <row r="22" spans="1:11" s="9" customFormat="1">
      <c r="A22" s="4"/>
      <c r="B22" s="998" t="s">
        <v>523</v>
      </c>
      <c r="C22" s="75" t="s">
        <v>7</v>
      </c>
      <c r="D22" s="77" t="s">
        <v>48</v>
      </c>
      <c r="E22" s="37"/>
      <c r="F22" s="104"/>
      <c r="G22" s="1254"/>
      <c r="H22" s="978"/>
      <c r="I22" s="989"/>
      <c r="J22" s="121"/>
      <c r="K22" s="121"/>
    </row>
    <row r="23" spans="1:11" s="9" customFormat="1" ht="11.4" customHeight="1">
      <c r="A23" s="4"/>
      <c r="B23" s="974"/>
      <c r="C23" s="67"/>
      <c r="D23" s="67"/>
      <c r="E23" s="68"/>
      <c r="F23" s="104"/>
      <c r="G23" s="1254"/>
      <c r="H23" s="978"/>
      <c r="I23" s="988"/>
      <c r="J23" s="121"/>
      <c r="K23" s="121"/>
    </row>
    <row r="24" spans="1:11" s="9" customFormat="1" ht="23">
      <c r="A24" s="4"/>
      <c r="B24" s="976"/>
      <c r="C24" s="75" t="s">
        <v>7</v>
      </c>
      <c r="D24" s="77" t="s">
        <v>49</v>
      </c>
      <c r="E24" s="37" t="s">
        <v>19</v>
      </c>
      <c r="F24" s="104">
        <v>22</v>
      </c>
      <c r="G24" s="1253">
        <v>0</v>
      </c>
      <c r="H24" s="978">
        <f>F24*G24</f>
        <v>0</v>
      </c>
      <c r="I24" s="987">
        <v>0</v>
      </c>
      <c r="J24" s="122">
        <f>G24*I24</f>
        <v>0</v>
      </c>
      <c r="K24" s="122">
        <f>H24-J24</f>
        <v>0</v>
      </c>
    </row>
    <row r="25" spans="1:11" s="9" customFormat="1" ht="11.4" customHeight="1">
      <c r="A25" s="4"/>
      <c r="B25" s="974"/>
      <c r="C25" s="67"/>
      <c r="D25" s="67"/>
      <c r="E25" s="68"/>
      <c r="F25" s="104"/>
      <c r="G25" s="61"/>
      <c r="H25" s="978"/>
      <c r="I25" s="987"/>
      <c r="J25" s="121"/>
      <c r="K25" s="121"/>
    </row>
    <row r="26" spans="1:11" s="9" customFormat="1" ht="11.4" customHeight="1">
      <c r="A26" s="4"/>
      <c r="B26" s="974"/>
      <c r="C26" s="67"/>
      <c r="D26" s="67"/>
      <c r="E26" s="68"/>
      <c r="F26" s="104"/>
      <c r="G26" s="61"/>
      <c r="H26" s="978"/>
      <c r="I26" s="987"/>
      <c r="J26" s="121"/>
      <c r="K26" s="121"/>
    </row>
    <row r="27" spans="1:11" s="9" customFormat="1">
      <c r="A27" s="4"/>
      <c r="B27" s="976"/>
      <c r="C27" s="75"/>
      <c r="D27" s="77"/>
      <c r="E27" s="37"/>
      <c r="F27" s="104"/>
      <c r="G27" s="88"/>
      <c r="H27" s="978"/>
      <c r="I27" s="987"/>
      <c r="J27" s="122"/>
      <c r="K27" s="122"/>
    </row>
    <row r="28" spans="1:11" s="9" customFormat="1" ht="11.4" customHeight="1">
      <c r="A28" s="4"/>
      <c r="B28" s="999"/>
      <c r="C28" s="67"/>
      <c r="D28" s="67"/>
      <c r="E28" s="68"/>
      <c r="F28" s="104"/>
      <c r="G28" s="61"/>
      <c r="H28" s="978"/>
      <c r="I28" s="987"/>
      <c r="J28" s="121"/>
      <c r="K28" s="121"/>
    </row>
    <row r="29" spans="1:11" s="9" customFormat="1">
      <c r="A29" s="4"/>
      <c r="B29" s="1000"/>
      <c r="C29" s="75"/>
      <c r="D29" s="77"/>
      <c r="E29" s="37"/>
      <c r="F29" s="104"/>
      <c r="G29" s="88"/>
      <c r="H29" s="978"/>
      <c r="I29" s="987"/>
      <c r="J29" s="122"/>
      <c r="K29" s="122"/>
    </row>
    <row r="30" spans="1:11" s="9" customFormat="1">
      <c r="A30" s="4"/>
      <c r="B30" s="1000"/>
      <c r="C30" s="75"/>
      <c r="D30" s="77"/>
      <c r="E30" s="37"/>
      <c r="F30" s="104"/>
      <c r="G30" s="88"/>
      <c r="H30" s="978"/>
      <c r="I30" s="989"/>
      <c r="J30" s="121"/>
      <c r="K30" s="121"/>
    </row>
    <row r="31" spans="1:11" s="9" customFormat="1">
      <c r="A31" s="4"/>
      <c r="B31" s="1000"/>
      <c r="C31" s="75"/>
      <c r="D31" s="77"/>
      <c r="E31" s="37"/>
      <c r="F31" s="104"/>
      <c r="G31" s="88"/>
      <c r="H31" s="978"/>
      <c r="I31" s="989"/>
      <c r="J31" s="121"/>
      <c r="K31" s="121"/>
    </row>
    <row r="32" spans="1:11" s="9" customFormat="1">
      <c r="A32" s="4"/>
      <c r="B32" s="1000"/>
      <c r="C32" s="75"/>
      <c r="D32" s="77"/>
      <c r="E32" s="37"/>
      <c r="F32" s="104"/>
      <c r="G32" s="88"/>
      <c r="H32" s="978"/>
      <c r="I32" s="989"/>
      <c r="J32" s="121"/>
      <c r="K32" s="121"/>
    </row>
    <row r="33" spans="1:11" s="9" customFormat="1">
      <c r="A33" s="4"/>
      <c r="B33" s="1000"/>
      <c r="C33" s="75"/>
      <c r="D33" s="77"/>
      <c r="E33" s="37"/>
      <c r="F33" s="104"/>
      <c r="G33" s="88"/>
      <c r="H33" s="978"/>
      <c r="I33" s="989"/>
      <c r="J33" s="121"/>
      <c r="K33" s="121"/>
    </row>
    <row r="34" spans="1:11" s="9" customFormat="1">
      <c r="A34" s="4"/>
      <c r="B34" s="1000"/>
      <c r="C34" s="75"/>
      <c r="D34" s="77"/>
      <c r="E34" s="37"/>
      <c r="F34" s="104"/>
      <c r="G34" s="88"/>
      <c r="H34" s="978"/>
      <c r="I34" s="989"/>
      <c r="J34" s="121"/>
      <c r="K34" s="121"/>
    </row>
    <row r="35" spans="1:11" s="9" customFormat="1">
      <c r="A35" s="4"/>
      <c r="B35" s="1000"/>
      <c r="C35" s="75"/>
      <c r="D35" s="77"/>
      <c r="E35" s="37"/>
      <c r="F35" s="104"/>
      <c r="G35" s="88"/>
      <c r="H35" s="978"/>
      <c r="I35" s="989"/>
      <c r="J35" s="121"/>
      <c r="K35" s="121"/>
    </row>
    <row r="36" spans="1:11" s="9" customFormat="1" ht="11.4" customHeight="1">
      <c r="A36" s="4"/>
      <c r="B36" s="999"/>
      <c r="C36" s="67"/>
      <c r="D36" s="67"/>
      <c r="E36" s="68"/>
      <c r="F36" s="104"/>
      <c r="G36" s="61"/>
      <c r="H36" s="978"/>
      <c r="I36" s="988"/>
      <c r="J36" s="121"/>
      <c r="K36" s="121"/>
    </row>
    <row r="37" spans="1:11" s="9" customFormat="1">
      <c r="A37" s="4"/>
      <c r="B37" s="999"/>
      <c r="C37" s="67"/>
      <c r="D37" s="67"/>
      <c r="E37" s="68"/>
      <c r="F37" s="104"/>
      <c r="G37" s="61"/>
      <c r="H37" s="978"/>
      <c r="I37" s="988"/>
      <c r="J37" s="121"/>
      <c r="K37" s="121"/>
    </row>
    <row r="38" spans="1:11" s="9" customFormat="1">
      <c r="A38" s="4"/>
      <c r="B38" s="999"/>
      <c r="C38" s="67"/>
      <c r="D38" s="67"/>
      <c r="E38" s="68"/>
      <c r="F38" s="104"/>
      <c r="G38" s="61"/>
      <c r="H38" s="978"/>
      <c r="I38" s="988"/>
      <c r="J38" s="121"/>
      <c r="K38" s="121"/>
    </row>
    <row r="39" spans="1:11" s="9" customFormat="1">
      <c r="A39" s="4"/>
      <c r="B39" s="999"/>
      <c r="C39" s="67"/>
      <c r="D39" s="67"/>
      <c r="E39" s="68"/>
      <c r="F39" s="104"/>
      <c r="G39" s="61"/>
      <c r="H39" s="978"/>
      <c r="I39" s="988"/>
      <c r="J39" s="121"/>
      <c r="K39" s="121"/>
    </row>
    <row r="40" spans="1:11" s="9" customFormat="1">
      <c r="A40" s="4"/>
      <c r="B40" s="999"/>
      <c r="C40" s="67"/>
      <c r="D40" s="67"/>
      <c r="E40" s="68"/>
      <c r="F40" s="104"/>
      <c r="G40" s="61"/>
      <c r="H40" s="978"/>
      <c r="I40" s="988"/>
      <c r="J40" s="121"/>
      <c r="K40" s="121"/>
    </row>
    <row r="41" spans="1:11" s="13" customFormat="1" ht="20.149999999999999" customHeight="1" thickBot="1">
      <c r="A41" s="21"/>
      <c r="B41" s="980" t="s">
        <v>145</v>
      </c>
      <c r="C41" s="1016"/>
      <c r="D41" s="1005"/>
      <c r="E41" s="1006"/>
      <c r="F41" s="983"/>
      <c r="G41" s="982"/>
      <c r="H41" s="1017">
        <f>SUM(H8:H40)</f>
        <v>0</v>
      </c>
      <c r="I41" s="625"/>
      <c r="J41" s="148">
        <f>SUM(J6:J40)</f>
        <v>0</v>
      </c>
      <c r="K41" s="148">
        <f>SUM(K6:K40)</f>
        <v>0</v>
      </c>
    </row>
    <row r="42" spans="1:11" s="9" customFormat="1">
      <c r="A42" s="4"/>
      <c r="B42" s="4"/>
      <c r="C42" s="4"/>
      <c r="D42" s="4"/>
      <c r="E42" s="4"/>
      <c r="F42" s="1008"/>
      <c r="G42" s="1009"/>
      <c r="H42" s="1009"/>
      <c r="I42" s="114"/>
      <c r="J42" s="114"/>
      <c r="K42" s="114"/>
    </row>
  </sheetData>
  <pageMargins left="0.5905524831078367" right="0.27559115878365709" top="0.3937016554052245" bottom="0.3937016554052245" header="0.3" footer="0.3"/>
  <pageSetup paperSize="9" scale="90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8">
    <pageSetUpPr fitToPage="1"/>
  </sheetPr>
  <dimension ref="A1:J59"/>
  <sheetViews>
    <sheetView view="pageBreakPreview" topLeftCell="A25" zoomScaleNormal="100" zoomScaleSheetLayoutView="100" zoomScalePageLayoutView="90" workbookViewId="0">
      <selection activeCell="B2" sqref="B2:G4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46.6328125" style="20" customWidth="1"/>
    <col min="4" max="4" width="7.453125" style="20" customWidth="1"/>
    <col min="5" max="5" width="13.54296875" style="20" customWidth="1"/>
    <col min="6" max="6" width="14.08984375" style="20" customWidth="1"/>
    <col min="7" max="7" width="16.6328125" style="20" customWidth="1"/>
    <col min="8" max="8" width="8.54296875" style="12" hidden="1" customWidth="1"/>
    <col min="9" max="9" width="12.36328125" style="12" hidden="1" customWidth="1"/>
    <col min="10" max="10" width="11.36328125" style="12" hidden="1" customWidth="1"/>
    <col min="11" max="16384" width="8.90625" style="12"/>
  </cols>
  <sheetData>
    <row r="1" spans="1:10" s="7" customFormat="1" ht="12" thickBot="1">
      <c r="A1" s="18"/>
      <c r="B1" s="23"/>
      <c r="C1" s="24"/>
      <c r="D1" s="18"/>
      <c r="E1" s="18"/>
      <c r="F1" s="18"/>
      <c r="G1" s="18"/>
    </row>
    <row r="2" spans="1:10" s="7" customFormat="1">
      <c r="A2" s="18"/>
      <c r="B2" s="900" t="s">
        <v>782</v>
      </c>
      <c r="C2" s="943"/>
      <c r="D2" s="943"/>
      <c r="E2" s="943"/>
      <c r="F2" s="943"/>
      <c r="G2" s="992"/>
    </row>
    <row r="3" spans="1:10" s="7" customFormat="1">
      <c r="A3" s="18"/>
      <c r="B3" s="904" t="s">
        <v>482</v>
      </c>
      <c r="C3" s="18"/>
      <c r="D3" s="18"/>
      <c r="E3" s="18"/>
      <c r="F3" s="18"/>
      <c r="G3" s="993"/>
    </row>
    <row r="4" spans="1:10" s="7" customFormat="1" ht="20.149999999999999" customHeight="1">
      <c r="A4" s="18"/>
      <c r="B4" s="966"/>
      <c r="C4" s="18"/>
      <c r="D4" s="18"/>
      <c r="E4" s="18"/>
      <c r="F4" s="18"/>
      <c r="G4" s="1026" t="s">
        <v>164</v>
      </c>
    </row>
    <row r="5" spans="1:10" s="9" customFormat="1" ht="30" customHeight="1">
      <c r="A5" s="4"/>
      <c r="B5" s="968" t="s">
        <v>0</v>
      </c>
      <c r="C5" s="785" t="s">
        <v>2</v>
      </c>
      <c r="D5" s="785" t="s">
        <v>3</v>
      </c>
      <c r="E5" s="785" t="s">
        <v>4</v>
      </c>
      <c r="F5" s="785" t="s">
        <v>5</v>
      </c>
      <c r="G5" s="1027" t="s">
        <v>6</v>
      </c>
      <c r="H5" s="1018" t="s">
        <v>217</v>
      </c>
      <c r="I5" s="116" t="s">
        <v>216</v>
      </c>
      <c r="J5" s="116" t="s">
        <v>218</v>
      </c>
    </row>
    <row r="6" spans="1:10" s="10" customFormat="1" ht="20.149999999999999" customHeight="1">
      <c r="A6" s="5"/>
      <c r="B6" s="970"/>
      <c r="C6" s="710"/>
      <c r="D6" s="1028"/>
      <c r="E6" s="1028"/>
      <c r="F6" s="1028"/>
      <c r="G6" s="1029"/>
      <c r="H6" s="1019"/>
      <c r="I6" s="131"/>
      <c r="J6" s="131"/>
    </row>
    <row r="7" spans="1:10" s="10" customFormat="1" ht="18" customHeight="1">
      <c r="A7" s="5"/>
      <c r="B7" s="1030"/>
      <c r="C7" s="707"/>
      <c r="D7" s="721"/>
      <c r="E7" s="1031"/>
      <c r="F7" s="1032"/>
      <c r="G7" s="1033"/>
      <c r="H7" s="1020"/>
      <c r="I7" s="117"/>
      <c r="J7" s="117"/>
    </row>
    <row r="8" spans="1:10" s="9" customFormat="1">
      <c r="A8" s="4"/>
      <c r="B8" s="998" t="s">
        <v>165</v>
      </c>
      <c r="C8" s="105" t="s">
        <v>144</v>
      </c>
      <c r="D8" s="37"/>
      <c r="E8" s="100"/>
      <c r="F8" s="82"/>
      <c r="G8" s="1034"/>
      <c r="H8" s="1021"/>
      <c r="I8" s="119"/>
      <c r="J8" s="119"/>
    </row>
    <row r="9" spans="1:10" s="9" customFormat="1" ht="11.4" customHeight="1">
      <c r="A9" s="4"/>
      <c r="B9" s="974"/>
      <c r="C9" s="67"/>
      <c r="D9" s="68"/>
      <c r="E9" s="101"/>
      <c r="F9" s="68"/>
      <c r="G9" s="1034"/>
      <c r="H9" s="1022"/>
      <c r="I9" s="119"/>
      <c r="J9" s="119"/>
    </row>
    <row r="10" spans="1:10" s="9" customFormat="1">
      <c r="A10" s="4"/>
      <c r="B10" s="976" t="s">
        <v>168</v>
      </c>
      <c r="C10" s="77" t="s">
        <v>128</v>
      </c>
      <c r="D10" s="37"/>
      <c r="E10" s="100"/>
      <c r="F10" s="82"/>
      <c r="G10" s="1034"/>
      <c r="H10" s="1021"/>
      <c r="I10" s="119"/>
      <c r="J10" s="119"/>
    </row>
    <row r="11" spans="1:10" s="9" customFormat="1" ht="11.25" customHeight="1">
      <c r="A11" s="4"/>
      <c r="B11" s="974"/>
      <c r="C11" s="67"/>
      <c r="D11" s="68"/>
      <c r="E11" s="101"/>
      <c r="F11" s="1258"/>
      <c r="G11" s="1034"/>
      <c r="H11" s="1022"/>
      <c r="I11" s="119"/>
      <c r="J11" s="119"/>
    </row>
    <row r="12" spans="1:10" s="9" customFormat="1">
      <c r="A12" s="4"/>
      <c r="B12" s="976"/>
      <c r="C12" s="63" t="s">
        <v>129</v>
      </c>
      <c r="D12" s="64" t="s">
        <v>525</v>
      </c>
      <c r="E12" s="65">
        <v>40</v>
      </c>
      <c r="F12" s="1253">
        <v>0</v>
      </c>
      <c r="G12" s="978">
        <f>E12*F12</f>
        <v>0</v>
      </c>
      <c r="H12" s="989">
        <v>40</v>
      </c>
      <c r="I12" s="122">
        <f>F12*H12</f>
        <v>0</v>
      </c>
      <c r="J12" s="122">
        <f>G12-I12</f>
        <v>0</v>
      </c>
    </row>
    <row r="13" spans="1:10" s="9" customFormat="1" ht="15" customHeight="1">
      <c r="A13" s="4"/>
      <c r="B13" s="974"/>
      <c r="C13" s="60"/>
      <c r="D13" s="61"/>
      <c r="E13" s="61"/>
      <c r="F13" s="1253"/>
      <c r="G13" s="978"/>
      <c r="H13" s="988"/>
      <c r="I13" s="121"/>
      <c r="J13" s="121"/>
    </row>
    <row r="14" spans="1:10" s="9" customFormat="1">
      <c r="A14" s="4"/>
      <c r="B14" s="976"/>
      <c r="C14" s="63" t="s">
        <v>130</v>
      </c>
      <c r="D14" s="64" t="s">
        <v>525</v>
      </c>
      <c r="E14" s="65">
        <v>10</v>
      </c>
      <c r="F14" s="1253">
        <v>0</v>
      </c>
      <c r="G14" s="978">
        <f>E14*F14</f>
        <v>0</v>
      </c>
      <c r="H14" s="989">
        <v>10</v>
      </c>
      <c r="I14" s="122">
        <f>F14*H14</f>
        <v>0</v>
      </c>
      <c r="J14" s="122">
        <f>G14-I14</f>
        <v>0</v>
      </c>
    </row>
    <row r="15" spans="1:10" s="9" customFormat="1" ht="11.4" customHeight="1">
      <c r="A15" s="4"/>
      <c r="B15" s="974"/>
      <c r="C15" s="60"/>
      <c r="D15" s="61"/>
      <c r="E15" s="61"/>
      <c r="F15" s="1253"/>
      <c r="G15" s="978"/>
      <c r="H15" s="988"/>
      <c r="I15" s="121"/>
      <c r="J15" s="121"/>
    </row>
    <row r="16" spans="1:10" s="9" customFormat="1">
      <c r="A16" s="4"/>
      <c r="B16" s="976"/>
      <c r="C16" s="63" t="s">
        <v>131</v>
      </c>
      <c r="D16" s="64" t="s">
        <v>525</v>
      </c>
      <c r="E16" s="65">
        <v>10</v>
      </c>
      <c r="F16" s="1253">
        <v>0</v>
      </c>
      <c r="G16" s="978">
        <f>E16*F16</f>
        <v>0</v>
      </c>
      <c r="H16" s="989">
        <v>10</v>
      </c>
      <c r="I16" s="122">
        <f>F16*H16</f>
        <v>0</v>
      </c>
      <c r="J16" s="122">
        <f>G16-I16</f>
        <v>0</v>
      </c>
    </row>
    <row r="17" spans="1:10" s="9" customFormat="1" ht="11.4" customHeight="1">
      <c r="A17" s="4"/>
      <c r="B17" s="974"/>
      <c r="C17" s="60"/>
      <c r="D17" s="61"/>
      <c r="E17" s="61"/>
      <c r="F17" s="1253"/>
      <c r="G17" s="978"/>
      <c r="H17" s="988"/>
      <c r="I17" s="121"/>
      <c r="J17" s="121"/>
    </row>
    <row r="18" spans="1:10" s="9" customFormat="1">
      <c r="A18" s="4"/>
      <c r="B18" s="976"/>
      <c r="C18" s="63" t="s">
        <v>132</v>
      </c>
      <c r="D18" s="64" t="s">
        <v>525</v>
      </c>
      <c r="E18" s="65">
        <v>10</v>
      </c>
      <c r="F18" s="1253">
        <v>0</v>
      </c>
      <c r="G18" s="978">
        <f>E18*F18</f>
        <v>0</v>
      </c>
      <c r="H18" s="989">
        <v>10</v>
      </c>
      <c r="I18" s="122">
        <f>F18*H18</f>
        <v>0</v>
      </c>
      <c r="J18" s="122">
        <f>G18-I18</f>
        <v>0</v>
      </c>
    </row>
    <row r="19" spans="1:10" s="9" customFormat="1" ht="11.4" customHeight="1">
      <c r="A19" s="4"/>
      <c r="B19" s="974"/>
      <c r="C19" s="60"/>
      <c r="D19" s="61"/>
      <c r="E19" s="61"/>
      <c r="F19" s="1253"/>
      <c r="G19" s="978"/>
      <c r="H19" s="988"/>
      <c r="I19" s="121"/>
      <c r="J19" s="121"/>
    </row>
    <row r="20" spans="1:10" s="9" customFormat="1">
      <c r="A20" s="4"/>
      <c r="B20" s="976"/>
      <c r="C20" s="63" t="s">
        <v>133</v>
      </c>
      <c r="D20" s="64" t="s">
        <v>525</v>
      </c>
      <c r="E20" s="65">
        <v>10</v>
      </c>
      <c r="F20" s="1253">
        <v>0</v>
      </c>
      <c r="G20" s="978">
        <f>E20*F20</f>
        <v>0</v>
      </c>
      <c r="H20" s="989">
        <v>10</v>
      </c>
      <c r="I20" s="122">
        <f>F20*H20</f>
        <v>0</v>
      </c>
      <c r="J20" s="122">
        <f>G20-I20</f>
        <v>0</v>
      </c>
    </row>
    <row r="21" spans="1:10" s="9" customFormat="1" ht="11.4" customHeight="1">
      <c r="A21" s="4"/>
      <c r="B21" s="974"/>
      <c r="C21" s="60"/>
      <c r="D21" s="61"/>
      <c r="E21" s="61"/>
      <c r="F21" s="1253"/>
      <c r="G21" s="978"/>
      <c r="H21" s="988"/>
      <c r="I21" s="121"/>
      <c r="J21" s="121"/>
    </row>
    <row r="22" spans="1:10" s="9" customFormat="1">
      <c r="A22" s="4"/>
      <c r="B22" s="976" t="s">
        <v>169</v>
      </c>
      <c r="C22" s="63" t="s">
        <v>481</v>
      </c>
      <c r="D22" s="64"/>
      <c r="E22" s="65"/>
      <c r="F22" s="1253"/>
      <c r="G22" s="978"/>
      <c r="H22" s="989"/>
      <c r="I22" s="121"/>
      <c r="J22" s="121"/>
    </row>
    <row r="23" spans="1:10" s="9" customFormat="1" ht="11.4" customHeight="1">
      <c r="A23" s="4"/>
      <c r="B23" s="974"/>
      <c r="C23" s="60"/>
      <c r="D23" s="61"/>
      <c r="E23" s="61"/>
      <c r="F23" s="1253"/>
      <c r="G23" s="978"/>
      <c r="H23" s="988"/>
      <c r="I23" s="121"/>
      <c r="J23" s="121"/>
    </row>
    <row r="24" spans="1:10" s="9" customFormat="1">
      <c r="A24" s="4"/>
      <c r="B24" s="976"/>
      <c r="C24" s="63" t="s">
        <v>134</v>
      </c>
      <c r="D24" s="64" t="s">
        <v>525</v>
      </c>
      <c r="E24" s="65">
        <v>6</v>
      </c>
      <c r="F24" s="1253">
        <v>0</v>
      </c>
      <c r="G24" s="978">
        <f>E24*F24</f>
        <v>0</v>
      </c>
      <c r="H24" s="989">
        <v>6</v>
      </c>
      <c r="I24" s="122">
        <f>F24*H24</f>
        <v>0</v>
      </c>
      <c r="J24" s="122">
        <f>G24-I24</f>
        <v>0</v>
      </c>
    </row>
    <row r="25" spans="1:10" s="9" customFormat="1" ht="11.4" customHeight="1">
      <c r="A25" s="4"/>
      <c r="B25" s="974"/>
      <c r="C25" s="60"/>
      <c r="D25" s="61"/>
      <c r="E25" s="61"/>
      <c r="F25" s="1253"/>
      <c r="G25" s="978"/>
      <c r="H25" s="988"/>
      <c r="I25" s="121"/>
      <c r="J25" s="121"/>
    </row>
    <row r="26" spans="1:10" s="9" customFormat="1">
      <c r="A26" s="4"/>
      <c r="B26" s="976"/>
      <c r="C26" s="63" t="s">
        <v>135</v>
      </c>
      <c r="D26" s="64" t="s">
        <v>525</v>
      </c>
      <c r="E26" s="65">
        <v>6</v>
      </c>
      <c r="F26" s="1253">
        <v>0</v>
      </c>
      <c r="G26" s="978">
        <f>E26*F26</f>
        <v>0</v>
      </c>
      <c r="H26" s="989">
        <v>6</v>
      </c>
      <c r="I26" s="122">
        <f>F26*H26</f>
        <v>0</v>
      </c>
      <c r="J26" s="122">
        <f>G26-I26</f>
        <v>0</v>
      </c>
    </row>
    <row r="27" spans="1:10" s="9" customFormat="1" ht="11.4" customHeight="1">
      <c r="A27" s="4"/>
      <c r="B27" s="974"/>
      <c r="C27" s="60"/>
      <c r="D27" s="61"/>
      <c r="E27" s="61"/>
      <c r="F27" s="1253"/>
      <c r="G27" s="978"/>
      <c r="H27" s="988"/>
      <c r="I27" s="121"/>
      <c r="J27" s="121"/>
    </row>
    <row r="28" spans="1:10" s="9" customFormat="1">
      <c r="A28" s="4"/>
      <c r="B28" s="976"/>
      <c r="C28" s="63" t="s">
        <v>136</v>
      </c>
      <c r="D28" s="64" t="s">
        <v>525</v>
      </c>
      <c r="E28" s="65">
        <v>6</v>
      </c>
      <c r="F28" s="1253">
        <v>0</v>
      </c>
      <c r="G28" s="978">
        <f>E28*F28</f>
        <v>0</v>
      </c>
      <c r="H28" s="989">
        <v>6</v>
      </c>
      <c r="I28" s="122">
        <f>F28*H28</f>
        <v>0</v>
      </c>
      <c r="J28" s="122">
        <f>G28-I28</f>
        <v>0</v>
      </c>
    </row>
    <row r="29" spans="1:10" s="9" customFormat="1" ht="11.4" customHeight="1">
      <c r="A29" s="4"/>
      <c r="B29" s="974"/>
      <c r="C29" s="60"/>
      <c r="D29" s="61"/>
      <c r="E29" s="61"/>
      <c r="F29" s="1253"/>
      <c r="G29" s="978"/>
      <c r="H29" s="988"/>
      <c r="I29" s="121"/>
      <c r="J29" s="121"/>
    </row>
    <row r="30" spans="1:10" s="9" customFormat="1">
      <c r="A30" s="4"/>
      <c r="B30" s="976"/>
      <c r="C30" s="63" t="s">
        <v>137</v>
      </c>
      <c r="D30" s="64" t="s">
        <v>525</v>
      </c>
      <c r="E30" s="65">
        <v>6</v>
      </c>
      <c r="F30" s="1253">
        <v>0</v>
      </c>
      <c r="G30" s="978">
        <f>E30*F30</f>
        <v>0</v>
      </c>
      <c r="H30" s="989">
        <v>6</v>
      </c>
      <c r="I30" s="122">
        <f>F30*H30</f>
        <v>0</v>
      </c>
      <c r="J30" s="122">
        <f>G30-I30</f>
        <v>0</v>
      </c>
    </row>
    <row r="31" spans="1:10" s="9" customFormat="1" ht="11.4" customHeight="1">
      <c r="A31" s="4"/>
      <c r="B31" s="974"/>
      <c r="C31" s="60"/>
      <c r="D31" s="61"/>
      <c r="E31" s="61"/>
      <c r="F31" s="1253"/>
      <c r="G31" s="978"/>
      <c r="H31" s="988"/>
      <c r="I31" s="121"/>
      <c r="J31" s="121"/>
    </row>
    <row r="32" spans="1:10" s="9" customFormat="1">
      <c r="A32" s="4"/>
      <c r="B32" s="976"/>
      <c r="C32" s="63" t="s">
        <v>138</v>
      </c>
      <c r="D32" s="64" t="s">
        <v>525</v>
      </c>
      <c r="E32" s="65">
        <v>8</v>
      </c>
      <c r="F32" s="1253">
        <v>0</v>
      </c>
      <c r="G32" s="978">
        <f>E32*F32</f>
        <v>0</v>
      </c>
      <c r="H32" s="989">
        <v>8</v>
      </c>
      <c r="I32" s="122">
        <f>F32*H32</f>
        <v>0</v>
      </c>
      <c r="J32" s="122">
        <f>G32-I32</f>
        <v>0</v>
      </c>
    </row>
    <row r="33" spans="1:10" s="9" customFormat="1" ht="11.4" customHeight="1">
      <c r="A33" s="4"/>
      <c r="B33" s="999"/>
      <c r="C33" s="60"/>
      <c r="D33" s="61"/>
      <c r="E33" s="61"/>
      <c r="F33" s="1253"/>
      <c r="G33" s="978"/>
      <c r="H33" s="988"/>
      <c r="I33" s="121"/>
      <c r="J33" s="121"/>
    </row>
    <row r="34" spans="1:10" s="9" customFormat="1">
      <c r="A34" s="4"/>
      <c r="B34" s="1000"/>
      <c r="C34" s="63" t="s">
        <v>139</v>
      </c>
      <c r="D34" s="64" t="s">
        <v>525</v>
      </c>
      <c r="E34" s="65">
        <v>6</v>
      </c>
      <c r="F34" s="1253">
        <v>0</v>
      </c>
      <c r="G34" s="978">
        <f>E34*F34</f>
        <v>0</v>
      </c>
      <c r="H34" s="989">
        <v>6</v>
      </c>
      <c r="I34" s="122">
        <f>F34*H34</f>
        <v>0</v>
      </c>
      <c r="J34" s="122">
        <f>G34-I34</f>
        <v>0</v>
      </c>
    </row>
    <row r="35" spans="1:10" s="9" customFormat="1" ht="11.4" customHeight="1">
      <c r="A35" s="4"/>
      <c r="B35" s="999"/>
      <c r="C35" s="60"/>
      <c r="D35" s="61"/>
      <c r="E35" s="61"/>
      <c r="F35" s="1253"/>
      <c r="G35" s="978"/>
      <c r="H35" s="988"/>
      <c r="I35" s="121"/>
      <c r="J35" s="121"/>
    </row>
    <row r="36" spans="1:10" s="9" customFormat="1">
      <c r="A36" s="4"/>
      <c r="B36" s="1000"/>
      <c r="C36" s="63" t="s">
        <v>140</v>
      </c>
      <c r="D36" s="64" t="s">
        <v>525</v>
      </c>
      <c r="E36" s="65">
        <v>6</v>
      </c>
      <c r="F36" s="1253">
        <v>0</v>
      </c>
      <c r="G36" s="978">
        <f>E36*F36</f>
        <v>0</v>
      </c>
      <c r="H36" s="989">
        <v>6</v>
      </c>
      <c r="I36" s="122">
        <f>F36*H36</f>
        <v>0</v>
      </c>
      <c r="J36" s="122">
        <f>G36-I36</f>
        <v>0</v>
      </c>
    </row>
    <row r="37" spans="1:10" s="9" customFormat="1" ht="11.4" customHeight="1">
      <c r="A37" s="4"/>
      <c r="B37" s="999"/>
      <c r="C37" s="60"/>
      <c r="D37" s="61"/>
      <c r="E37" s="61"/>
      <c r="F37" s="1253"/>
      <c r="G37" s="978"/>
      <c r="H37" s="988"/>
      <c r="I37" s="121"/>
      <c r="J37" s="121"/>
    </row>
    <row r="38" spans="1:10" s="9" customFormat="1">
      <c r="A38" s="4"/>
      <c r="B38" s="1000"/>
      <c r="C38" s="63" t="s">
        <v>141</v>
      </c>
      <c r="D38" s="64" t="s">
        <v>525</v>
      </c>
      <c r="E38" s="65">
        <v>6</v>
      </c>
      <c r="F38" s="1253">
        <v>0</v>
      </c>
      <c r="G38" s="978">
        <f>E38*F38</f>
        <v>0</v>
      </c>
      <c r="H38" s="989">
        <v>6</v>
      </c>
      <c r="I38" s="122">
        <f>F38*H38</f>
        <v>0</v>
      </c>
      <c r="J38" s="122">
        <f>G38-I38</f>
        <v>0</v>
      </c>
    </row>
    <row r="39" spans="1:10" s="9" customFormat="1">
      <c r="A39" s="4"/>
      <c r="B39" s="1000"/>
      <c r="C39" s="63"/>
      <c r="D39" s="64"/>
      <c r="E39" s="65"/>
      <c r="F39" s="1253"/>
      <c r="G39" s="978"/>
      <c r="H39" s="989"/>
      <c r="I39" s="121"/>
      <c r="J39" s="121"/>
    </row>
    <row r="40" spans="1:10" s="9" customFormat="1">
      <c r="A40" s="4"/>
      <c r="B40" s="1000"/>
      <c r="C40" s="63" t="s">
        <v>142</v>
      </c>
      <c r="D40" s="64" t="s">
        <v>525</v>
      </c>
      <c r="E40" s="65">
        <v>60</v>
      </c>
      <c r="F40" s="1253">
        <v>0</v>
      </c>
      <c r="G40" s="978">
        <f>E40*F40</f>
        <v>0</v>
      </c>
      <c r="H40" s="989">
        <v>60</v>
      </c>
      <c r="I40" s="122">
        <f>F40*H40</f>
        <v>0</v>
      </c>
      <c r="J40" s="122">
        <f>G40-I40</f>
        <v>0</v>
      </c>
    </row>
    <row r="41" spans="1:10" s="9" customFormat="1">
      <c r="A41" s="4"/>
      <c r="B41" s="1000"/>
      <c r="C41" s="102"/>
      <c r="D41" s="103"/>
      <c r="E41" s="100"/>
      <c r="F41" s="1253"/>
      <c r="G41" s="1004"/>
      <c r="H41" s="1021"/>
      <c r="I41" s="124"/>
      <c r="J41" s="124"/>
    </row>
    <row r="42" spans="1:10" s="9" customFormat="1">
      <c r="A42" s="4"/>
      <c r="B42" s="1035" t="s">
        <v>211</v>
      </c>
      <c r="C42" s="77" t="s">
        <v>208</v>
      </c>
      <c r="D42" s="80" t="s">
        <v>207</v>
      </c>
      <c r="E42" s="80">
        <v>1</v>
      </c>
      <c r="F42" s="1259">
        <v>43600</v>
      </c>
      <c r="G42" s="1034">
        <f>E42*F42</f>
        <v>43600</v>
      </c>
      <c r="H42" s="1023">
        <v>1</v>
      </c>
      <c r="I42" s="122">
        <f>F42*H42</f>
        <v>43600</v>
      </c>
      <c r="J42" s="122">
        <f>G42-I42</f>
        <v>0</v>
      </c>
    </row>
    <row r="43" spans="1:10" s="9" customFormat="1">
      <c r="A43" s="4"/>
      <c r="B43" s="1000"/>
      <c r="C43" s="102"/>
      <c r="D43" s="103"/>
      <c r="E43" s="100"/>
      <c r="F43" s="1256"/>
      <c r="G43" s="1004"/>
      <c r="H43" s="1021"/>
      <c r="I43" s="124"/>
      <c r="J43" s="124"/>
    </row>
    <row r="44" spans="1:10" s="9" customFormat="1">
      <c r="A44" s="4"/>
      <c r="B44" s="1000"/>
      <c r="C44" s="77" t="s">
        <v>210</v>
      </c>
      <c r="D44" s="64" t="s">
        <v>9</v>
      </c>
      <c r="E44" s="65">
        <f>1.2*SUM(G12:G40)</f>
        <v>0</v>
      </c>
      <c r="F44" s="1257">
        <v>0</v>
      </c>
      <c r="G44" s="978">
        <f>E44*F44</f>
        <v>0</v>
      </c>
      <c r="H44" s="989">
        <v>136000</v>
      </c>
      <c r="I44" s="122">
        <f>F44*H44</f>
        <v>0</v>
      </c>
      <c r="J44" s="122">
        <f>G44-I44</f>
        <v>0</v>
      </c>
    </row>
    <row r="45" spans="1:10" s="9" customFormat="1">
      <c r="A45" s="4"/>
      <c r="B45" s="1000"/>
      <c r="C45" s="102"/>
      <c r="D45" s="103"/>
      <c r="E45" s="100"/>
      <c r="F45" s="1256"/>
      <c r="G45" s="1004"/>
      <c r="H45" s="1021"/>
      <c r="I45" s="124"/>
      <c r="J45" s="124"/>
    </row>
    <row r="46" spans="1:10" s="9" customFormat="1">
      <c r="A46" s="4"/>
      <c r="B46" s="1035" t="s">
        <v>172</v>
      </c>
      <c r="C46" s="63" t="s">
        <v>170</v>
      </c>
      <c r="D46" s="64"/>
      <c r="E46" s="65"/>
      <c r="F46" s="1256"/>
      <c r="G46" s="978"/>
      <c r="H46" s="989"/>
      <c r="I46" s="121"/>
      <c r="J46" s="121"/>
    </row>
    <row r="47" spans="1:10" s="9" customFormat="1">
      <c r="A47" s="4"/>
      <c r="B47" s="1035"/>
      <c r="C47" s="63"/>
      <c r="D47" s="64"/>
      <c r="E47" s="65"/>
      <c r="F47" s="1256"/>
      <c r="G47" s="978"/>
      <c r="H47" s="989"/>
      <c r="I47" s="122"/>
      <c r="J47" s="122"/>
    </row>
    <row r="48" spans="1:10" s="9" customFormat="1">
      <c r="A48" s="4"/>
      <c r="B48" s="1035"/>
      <c r="C48" s="63" t="s">
        <v>485</v>
      </c>
      <c r="D48" s="64" t="s">
        <v>15</v>
      </c>
      <c r="E48" s="65">
        <v>2300</v>
      </c>
      <c r="F48" s="1253">
        <v>0</v>
      </c>
      <c r="G48" s="978">
        <f>E48*F48</f>
        <v>0</v>
      </c>
      <c r="H48" s="989">
        <v>600</v>
      </c>
      <c r="I48" s="122">
        <f>F48*H48</f>
        <v>0</v>
      </c>
      <c r="J48" s="122">
        <f>G48-I48</f>
        <v>0</v>
      </c>
    </row>
    <row r="49" spans="1:10" s="9" customFormat="1">
      <c r="A49" s="4"/>
      <c r="B49" s="1035"/>
      <c r="C49" s="63"/>
      <c r="D49" s="64"/>
      <c r="E49" s="65"/>
      <c r="F49" s="1256"/>
      <c r="G49" s="978"/>
      <c r="H49" s="989"/>
      <c r="I49" s="121"/>
      <c r="J49" s="121"/>
    </row>
    <row r="50" spans="1:10" s="9" customFormat="1">
      <c r="A50" s="4"/>
      <c r="B50" s="1035"/>
      <c r="C50" s="63"/>
      <c r="D50" s="64"/>
      <c r="E50" s="65"/>
      <c r="F50" s="1256"/>
      <c r="G50" s="978"/>
      <c r="H50" s="989"/>
      <c r="I50" s="121"/>
      <c r="J50" s="121"/>
    </row>
    <row r="51" spans="1:10" s="9" customFormat="1">
      <c r="A51" s="4"/>
      <c r="B51" s="1035"/>
      <c r="C51" s="63"/>
      <c r="D51" s="64"/>
      <c r="E51" s="65"/>
      <c r="F51" s="1256"/>
      <c r="G51" s="978"/>
      <c r="H51" s="989"/>
      <c r="I51" s="121"/>
      <c r="J51" s="121"/>
    </row>
    <row r="52" spans="1:10" s="9" customFormat="1">
      <c r="A52" s="4"/>
      <c r="B52" s="1035"/>
      <c r="C52" s="63"/>
      <c r="D52" s="64"/>
      <c r="E52" s="65"/>
      <c r="F52" s="1256"/>
      <c r="G52" s="978"/>
      <c r="H52" s="989"/>
      <c r="I52" s="121"/>
      <c r="J52" s="121"/>
    </row>
    <row r="53" spans="1:10" s="9" customFormat="1">
      <c r="A53" s="4"/>
      <c r="B53" s="1035"/>
      <c r="C53" s="63"/>
      <c r="D53" s="64"/>
      <c r="E53" s="65"/>
      <c r="F53" s="1256"/>
      <c r="G53" s="978"/>
      <c r="H53" s="989"/>
      <c r="I53" s="121"/>
      <c r="J53" s="121"/>
    </row>
    <row r="54" spans="1:10" s="9" customFormat="1">
      <c r="A54" s="4"/>
      <c r="B54" s="1000"/>
      <c r="C54" s="77"/>
      <c r="D54" s="37"/>
      <c r="E54" s="80"/>
      <c r="F54" s="81"/>
      <c r="G54" s="1034"/>
      <c r="H54" s="1023"/>
      <c r="I54" s="119"/>
      <c r="J54" s="119"/>
    </row>
    <row r="55" spans="1:10" s="9" customFormat="1">
      <c r="A55" s="4"/>
      <c r="B55" s="1000"/>
      <c r="C55" s="77"/>
      <c r="D55" s="37"/>
      <c r="E55" s="80"/>
      <c r="F55" s="81"/>
      <c r="G55" s="1034"/>
      <c r="H55" s="1023"/>
      <c r="I55" s="119"/>
      <c r="J55" s="119"/>
    </row>
    <row r="56" spans="1:10" s="9" customFormat="1">
      <c r="A56" s="4"/>
      <c r="B56" s="1000"/>
      <c r="C56" s="77"/>
      <c r="D56" s="37"/>
      <c r="E56" s="80"/>
      <c r="F56" s="81"/>
      <c r="G56" s="1034"/>
      <c r="H56" s="1023"/>
      <c r="I56" s="119"/>
      <c r="J56" s="119"/>
    </row>
    <row r="57" spans="1:10" s="9" customFormat="1" ht="11.4" customHeight="1">
      <c r="A57" s="4"/>
      <c r="B57" s="999"/>
      <c r="C57" s="67"/>
      <c r="D57" s="68"/>
      <c r="E57" s="68"/>
      <c r="F57" s="68"/>
      <c r="G57" s="1034"/>
      <c r="H57" s="1024"/>
      <c r="I57" s="119"/>
      <c r="J57" s="119"/>
    </row>
    <row r="58" spans="1:10" s="9" customFormat="1" ht="11.4" customHeight="1" thickBot="1">
      <c r="A58" s="4"/>
      <c r="B58" s="999"/>
      <c r="C58" s="67"/>
      <c r="D58" s="68"/>
      <c r="E58" s="68"/>
      <c r="F58" s="68"/>
      <c r="G58" s="1034"/>
      <c r="H58" s="1024"/>
      <c r="I58" s="119"/>
      <c r="J58" s="119"/>
    </row>
    <row r="59" spans="1:10" s="13" customFormat="1" ht="20.149999999999999" customHeight="1" thickBot="1">
      <c r="A59" s="21"/>
      <c r="B59" s="980" t="s">
        <v>145</v>
      </c>
      <c r="C59" s="1005"/>
      <c r="D59" s="1006"/>
      <c r="E59" s="1006"/>
      <c r="F59" s="1006"/>
      <c r="G59" s="1017">
        <v>0</v>
      </c>
      <c r="H59" s="1025"/>
      <c r="I59" s="147">
        <f>SUM(I10:I58)</f>
        <v>43600</v>
      </c>
      <c r="J59" s="147">
        <f>SUM(J10:J58)</f>
        <v>0</v>
      </c>
    </row>
  </sheetData>
  <pageMargins left="0.5905524831078367" right="0.27559115878365709" top="0.3937016554052245" bottom="0.3937016554052245" header="0.3" footer="0.3"/>
  <pageSetup paperSize="9" scale="89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9">
    <pageSetUpPr fitToPage="1"/>
  </sheetPr>
  <dimension ref="A1:N53"/>
  <sheetViews>
    <sheetView view="pageBreakPreview" topLeftCell="A35" zoomScale="106" zoomScaleNormal="100" zoomScaleSheetLayoutView="106" workbookViewId="0">
      <selection activeCell="E41" sqref="E41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45.08984375" style="20" customWidth="1"/>
    <col min="4" max="4" width="6.36328125" style="20" customWidth="1"/>
    <col min="5" max="5" width="8.08984375" style="598" customWidth="1"/>
    <col min="6" max="6" width="11.90625" style="20" customWidth="1"/>
    <col min="7" max="7" width="17.36328125" style="20" customWidth="1"/>
    <col min="8" max="8" width="9.6328125" style="12" hidden="1" customWidth="1"/>
    <col min="9" max="9" width="12" style="12" hidden="1" customWidth="1"/>
    <col min="10" max="10" width="13.36328125" style="12" hidden="1" customWidth="1"/>
    <col min="11" max="11" width="30.90625" style="12" customWidth="1"/>
    <col min="12" max="16384" width="8.90625" style="12"/>
  </cols>
  <sheetData>
    <row r="1" spans="1:12" s="7" customFormat="1">
      <c r="A1" s="18"/>
      <c r="B1" s="23"/>
      <c r="C1" s="24"/>
      <c r="D1" s="18"/>
      <c r="E1" s="596"/>
      <c r="F1" s="18"/>
      <c r="G1" s="18"/>
    </row>
    <row r="2" spans="1:12" s="7" customFormat="1" ht="12" thickBot="1">
      <c r="A2" s="18"/>
      <c r="B2" s="23" t="s">
        <v>214</v>
      </c>
      <c r="C2" s="18"/>
      <c r="D2" s="18"/>
      <c r="E2" s="596"/>
      <c r="F2" s="18"/>
      <c r="G2" s="18"/>
    </row>
    <row r="3" spans="1:12" s="7" customFormat="1">
      <c r="A3" s="18"/>
      <c r="B3" s="900" t="s">
        <v>782</v>
      </c>
      <c r="C3" s="943"/>
      <c r="D3" s="943"/>
      <c r="E3" s="943"/>
      <c r="F3" s="943"/>
      <c r="G3" s="992"/>
    </row>
    <row r="4" spans="1:12" s="7" customFormat="1" ht="20.149999999999999" customHeight="1">
      <c r="A4" s="18"/>
      <c r="B4" s="904" t="s">
        <v>482</v>
      </c>
      <c r="C4" s="18"/>
      <c r="D4" s="18"/>
      <c r="E4" s="18"/>
      <c r="F4" s="18"/>
      <c r="G4" s="993"/>
    </row>
    <row r="5" spans="1:12" s="9" customFormat="1" ht="12.65" customHeight="1">
      <c r="A5" s="4"/>
      <c r="B5" s="966"/>
      <c r="C5" s="18"/>
      <c r="D5" s="18"/>
      <c r="E5" s="18"/>
      <c r="F5" s="18"/>
      <c r="G5" s="1026" t="s">
        <v>783</v>
      </c>
      <c r="H5" s="1018" t="s">
        <v>217</v>
      </c>
      <c r="I5" s="116" t="s">
        <v>216</v>
      </c>
      <c r="J5" s="116" t="s">
        <v>218</v>
      </c>
    </row>
    <row r="6" spans="1:12" s="10" customFormat="1" ht="20.149999999999999" customHeight="1">
      <c r="A6" s="5"/>
      <c r="B6" s="995" t="s">
        <v>214</v>
      </c>
      <c r="C6" s="710"/>
      <c r="D6" s="1028"/>
      <c r="E6" s="1037"/>
      <c r="F6" s="1028"/>
      <c r="G6" s="1029"/>
      <c r="H6" s="1019"/>
      <c r="I6" s="131"/>
      <c r="J6" s="131"/>
    </row>
    <row r="7" spans="1:12" s="9" customFormat="1">
      <c r="A7" s="4"/>
      <c r="B7" s="972" t="s">
        <v>151</v>
      </c>
      <c r="C7" s="788" t="s">
        <v>50</v>
      </c>
      <c r="D7" s="789"/>
      <c r="E7" s="790"/>
      <c r="F7" s="1038"/>
      <c r="G7" s="1039"/>
      <c r="H7" s="724"/>
      <c r="I7" s="132"/>
      <c r="J7" s="132"/>
    </row>
    <row r="8" spans="1:12" s="9" customFormat="1">
      <c r="A8" s="4"/>
      <c r="B8" s="998"/>
      <c r="C8" s="105"/>
      <c r="D8" s="37"/>
      <c r="E8" s="597"/>
      <c r="F8" s="82"/>
      <c r="G8" s="1040"/>
      <c r="H8" s="1023"/>
      <c r="I8" s="144"/>
      <c r="J8" s="144"/>
    </row>
    <row r="9" spans="1:12" s="9" customFormat="1">
      <c r="A9" s="4"/>
      <c r="B9" s="998" t="s">
        <v>487</v>
      </c>
      <c r="C9" s="105" t="s">
        <v>486</v>
      </c>
      <c r="D9" s="37"/>
      <c r="E9" s="597"/>
      <c r="F9" s="82"/>
      <c r="G9" s="1040"/>
      <c r="H9" s="1023"/>
      <c r="I9" s="144"/>
      <c r="J9" s="144"/>
    </row>
    <row r="10" spans="1:12" s="9" customFormat="1">
      <c r="A10" s="4"/>
      <c r="B10" s="998"/>
      <c r="C10" s="105"/>
      <c r="D10" s="37"/>
      <c r="E10" s="597"/>
      <c r="F10" s="82"/>
      <c r="G10" s="1040"/>
      <c r="H10" s="1023"/>
      <c r="I10" s="144"/>
      <c r="J10" s="144"/>
    </row>
    <row r="11" spans="1:12" s="9" customFormat="1">
      <c r="A11" s="4"/>
      <c r="B11" s="998" t="s">
        <v>488</v>
      </c>
      <c r="C11" s="105" t="s">
        <v>489</v>
      </c>
      <c r="D11" s="37"/>
      <c r="E11" s="597"/>
      <c r="F11" s="82"/>
      <c r="G11" s="1040"/>
      <c r="H11" s="1023"/>
      <c r="I11" s="144"/>
      <c r="J11" s="144"/>
    </row>
    <row r="12" spans="1:12" s="9" customFormat="1">
      <c r="A12" s="4"/>
      <c r="B12" s="998"/>
      <c r="C12" s="105"/>
      <c r="D12" s="37"/>
      <c r="E12" s="597"/>
      <c r="F12" s="82"/>
      <c r="G12" s="1040"/>
      <c r="H12" s="1023"/>
      <c r="I12" s="144"/>
      <c r="J12" s="144"/>
    </row>
    <row r="13" spans="1:12" s="9" customFormat="1" ht="23">
      <c r="A13" s="4"/>
      <c r="B13" s="998"/>
      <c r="C13" s="77" t="s">
        <v>52</v>
      </c>
      <c r="D13" s="37"/>
      <c r="E13" s="597"/>
      <c r="F13" s="82"/>
      <c r="G13" s="1040"/>
      <c r="H13" s="1023"/>
      <c r="I13" s="144"/>
      <c r="J13" s="144"/>
    </row>
    <row r="14" spans="1:12" s="9" customFormat="1">
      <c r="A14" s="4"/>
      <c r="B14" s="998"/>
      <c r="C14" s="105"/>
      <c r="D14" s="37"/>
      <c r="E14" s="597"/>
      <c r="F14" s="82"/>
      <c r="G14" s="1040"/>
      <c r="H14" s="1023"/>
      <c r="I14" s="144"/>
      <c r="J14" s="144"/>
    </row>
    <row r="15" spans="1:12" s="9" customFormat="1">
      <c r="A15" s="4"/>
      <c r="B15" s="998"/>
      <c r="C15" s="77" t="s">
        <v>490</v>
      </c>
      <c r="D15" s="37" t="s">
        <v>19</v>
      </c>
      <c r="E15" s="597">
        <f>(1600*1.2*0.2+0.5*(2+1)*0.2*(510+140))*1.1</f>
        <v>636.9</v>
      </c>
      <c r="F15" s="1260">
        <v>0</v>
      </c>
      <c r="G15" s="1261">
        <f>E15*F15</f>
        <v>0</v>
      </c>
      <c r="H15" s="1023"/>
      <c r="I15" s="144"/>
      <c r="J15" s="144"/>
      <c r="L15" s="748" t="s">
        <v>608</v>
      </c>
    </row>
    <row r="16" spans="1:12" s="9" customFormat="1">
      <c r="A16" s="4"/>
      <c r="B16" s="998"/>
      <c r="C16" s="77"/>
      <c r="D16" s="37"/>
      <c r="E16" s="597"/>
      <c r="F16" s="1260"/>
      <c r="G16" s="1261"/>
      <c r="H16" s="1023"/>
      <c r="I16" s="144"/>
      <c r="J16" s="144"/>
    </row>
    <row r="17" spans="1:14" s="9" customFormat="1">
      <c r="A17" s="4"/>
      <c r="B17" s="998"/>
      <c r="C17" s="77" t="s">
        <v>491</v>
      </c>
      <c r="D17" s="37" t="s">
        <v>19</v>
      </c>
      <c r="E17" s="597">
        <f>10%*E15</f>
        <v>63.69</v>
      </c>
      <c r="F17" s="1260">
        <v>0</v>
      </c>
      <c r="G17" s="1261">
        <f>E17*F17</f>
        <v>0</v>
      </c>
      <c r="H17" s="1023"/>
      <c r="I17" s="144"/>
      <c r="J17" s="144"/>
    </row>
    <row r="18" spans="1:14" s="9" customFormat="1">
      <c r="A18" s="4"/>
      <c r="B18" s="998"/>
      <c r="C18" s="105"/>
      <c r="D18" s="37"/>
      <c r="E18" s="597"/>
      <c r="F18" s="1260"/>
      <c r="G18" s="1261"/>
      <c r="H18" s="1023"/>
      <c r="I18" s="144"/>
      <c r="J18" s="144"/>
      <c r="N18" s="9">
        <f>0.5*(2.75+0.5)*0.5*500</f>
        <v>406.25</v>
      </c>
    </row>
    <row r="19" spans="1:14" s="9" customFormat="1" ht="23">
      <c r="A19" s="4"/>
      <c r="B19" s="998"/>
      <c r="C19" s="77" t="s">
        <v>492</v>
      </c>
      <c r="D19" s="37" t="s">
        <v>19</v>
      </c>
      <c r="E19" s="597">
        <f>(E15+E17) *0.05</f>
        <v>35.03</v>
      </c>
      <c r="F19" s="1260">
        <v>0</v>
      </c>
      <c r="G19" s="1261">
        <f>E19*F19</f>
        <v>0</v>
      </c>
      <c r="H19" s="1023"/>
      <c r="I19" s="144"/>
      <c r="J19" s="144"/>
      <c r="N19" s="9">
        <f>(70*1.62*1.2)</f>
        <v>136.08000000000001</v>
      </c>
    </row>
    <row r="20" spans="1:14" s="9" customFormat="1">
      <c r="A20" s="4"/>
      <c r="B20" s="998"/>
      <c r="C20" s="105"/>
      <c r="D20" s="37"/>
      <c r="E20" s="597"/>
      <c r="F20" s="1260"/>
      <c r="G20" s="1261"/>
      <c r="H20" s="1023"/>
      <c r="I20" s="144"/>
      <c r="J20" s="144"/>
    </row>
    <row r="21" spans="1:14" s="9" customFormat="1">
      <c r="A21" s="4"/>
      <c r="B21" s="998" t="s">
        <v>493</v>
      </c>
      <c r="C21" s="77" t="s">
        <v>51</v>
      </c>
      <c r="D21" s="37" t="s">
        <v>19</v>
      </c>
      <c r="E21" s="597">
        <v>100</v>
      </c>
      <c r="F21" s="1260">
        <v>0</v>
      </c>
      <c r="G21" s="1261">
        <f>F21*E21</f>
        <v>0</v>
      </c>
      <c r="H21" s="1023"/>
      <c r="I21" s="144"/>
      <c r="J21" s="144"/>
    </row>
    <row r="22" spans="1:14" s="9" customFormat="1">
      <c r="A22" s="4"/>
      <c r="B22" s="1041"/>
      <c r="C22" s="77"/>
      <c r="D22" s="37"/>
      <c r="E22" s="597"/>
      <c r="F22" s="1260"/>
      <c r="G22" s="1261"/>
      <c r="H22" s="1023"/>
      <c r="I22" s="144"/>
      <c r="J22" s="144"/>
    </row>
    <row r="23" spans="1:14" s="9" customFormat="1">
      <c r="A23" s="4"/>
      <c r="B23" s="998" t="s">
        <v>602</v>
      </c>
      <c r="C23" s="105" t="s">
        <v>603</v>
      </c>
      <c r="D23" s="37"/>
      <c r="E23" s="597"/>
      <c r="F23" s="1260"/>
      <c r="G23" s="1261"/>
      <c r="H23" s="1023"/>
      <c r="I23" s="144"/>
      <c r="J23" s="144"/>
    </row>
    <row r="24" spans="1:14" s="9" customFormat="1">
      <c r="A24" s="4"/>
      <c r="B24" s="998"/>
      <c r="C24" s="77"/>
      <c r="D24" s="37"/>
      <c r="E24" s="597"/>
      <c r="F24" s="1260"/>
      <c r="G24" s="1261"/>
      <c r="H24" s="1023"/>
      <c r="I24" s="144"/>
      <c r="J24" s="144"/>
    </row>
    <row r="25" spans="1:14" s="9" customFormat="1">
      <c r="A25" s="4"/>
      <c r="B25" s="998"/>
      <c r="C25" s="77" t="s">
        <v>604</v>
      </c>
      <c r="D25" s="37" t="s">
        <v>19</v>
      </c>
      <c r="E25" s="597">
        <f>1.5*1*700</f>
        <v>1050</v>
      </c>
      <c r="F25" s="1260">
        <v>0</v>
      </c>
      <c r="G25" s="1261">
        <f>E25*F25</f>
        <v>0</v>
      </c>
      <c r="H25" s="1023"/>
      <c r="I25" s="144"/>
      <c r="J25" s="144"/>
    </row>
    <row r="26" spans="1:14" s="9" customFormat="1">
      <c r="A26" s="4"/>
      <c r="B26" s="998"/>
      <c r="C26" s="77"/>
      <c r="D26" s="37"/>
      <c r="E26" s="597"/>
      <c r="F26" s="1260"/>
      <c r="G26" s="1261"/>
      <c r="H26" s="1023"/>
      <c r="I26" s="144"/>
      <c r="J26" s="144"/>
    </row>
    <row r="27" spans="1:14" s="9" customFormat="1" ht="20" customHeight="1">
      <c r="A27" s="4"/>
      <c r="B27" s="998" t="s">
        <v>597</v>
      </c>
      <c r="C27" s="77" t="s">
        <v>598</v>
      </c>
      <c r="D27" s="37" t="s">
        <v>19</v>
      </c>
      <c r="E27" s="597">
        <f>1.095*700</f>
        <v>766.5</v>
      </c>
      <c r="F27" s="1260">
        <v>0</v>
      </c>
      <c r="G27" s="1261">
        <f>F27*E27</f>
        <v>0</v>
      </c>
      <c r="H27" s="1036"/>
      <c r="I27" s="82"/>
      <c r="J27" s="82"/>
      <c r="K27" s="9" t="s">
        <v>599</v>
      </c>
    </row>
    <row r="28" spans="1:14" s="9" customFormat="1">
      <c r="A28" s="4"/>
      <c r="B28" s="998"/>
      <c r="C28" s="105"/>
      <c r="D28" s="37"/>
      <c r="E28" s="597"/>
      <c r="F28" s="1260"/>
      <c r="G28" s="1261"/>
      <c r="H28" s="1023"/>
      <c r="I28" s="144"/>
      <c r="J28" s="144"/>
    </row>
    <row r="29" spans="1:14" s="9" customFormat="1" ht="23">
      <c r="A29" s="4"/>
      <c r="B29" s="998" t="s">
        <v>605</v>
      </c>
      <c r="C29" s="105" t="s">
        <v>606</v>
      </c>
      <c r="D29" s="37"/>
      <c r="E29" s="597"/>
      <c r="F29" s="1260"/>
      <c r="G29" s="1261"/>
      <c r="H29" s="1023"/>
      <c r="I29" s="144"/>
      <c r="J29" s="144"/>
    </row>
    <row r="30" spans="1:14" s="9" customFormat="1">
      <c r="A30" s="4"/>
      <c r="B30" s="998"/>
      <c r="C30" s="105"/>
      <c r="D30" s="37"/>
      <c r="E30" s="597"/>
      <c r="F30" s="1260"/>
      <c r="G30" s="1261"/>
      <c r="H30" s="1023"/>
      <c r="I30" s="144"/>
      <c r="J30" s="144"/>
    </row>
    <row r="31" spans="1:14" s="9" customFormat="1" ht="23">
      <c r="A31" s="4"/>
      <c r="B31" s="998"/>
      <c r="C31" s="77" t="s">
        <v>607</v>
      </c>
      <c r="D31" s="37" t="s">
        <v>19</v>
      </c>
      <c r="E31" s="597">
        <f>1.5*1*700-(3.1*(55/1000)^2)</f>
        <v>1049.99</v>
      </c>
      <c r="F31" s="1260">
        <v>0</v>
      </c>
      <c r="G31" s="1261">
        <f>F31*E31</f>
        <v>0</v>
      </c>
      <c r="H31" s="1023"/>
      <c r="I31" s="144"/>
      <c r="J31" s="144"/>
      <c r="K31" s="9">
        <f>3.14*(55/1000)^2</f>
        <v>9.4985E-3</v>
      </c>
    </row>
    <row r="32" spans="1:14" s="9" customFormat="1">
      <c r="A32" s="4"/>
      <c r="B32" s="998"/>
      <c r="C32" s="105"/>
      <c r="D32" s="37"/>
      <c r="E32" s="597"/>
      <c r="F32" s="1260"/>
      <c r="G32" s="1261"/>
      <c r="H32" s="1023"/>
      <c r="I32" s="144"/>
      <c r="J32" s="144"/>
    </row>
    <row r="33" spans="1:10" s="9" customFormat="1" ht="24" customHeight="1">
      <c r="A33" s="4"/>
      <c r="B33" s="998" t="s">
        <v>600</v>
      </c>
      <c r="C33" s="77" t="s">
        <v>601</v>
      </c>
      <c r="D33" s="37" t="s">
        <v>609</v>
      </c>
      <c r="E33" s="597">
        <f>700*0.03</f>
        <v>21</v>
      </c>
      <c r="F33" s="1260">
        <v>0</v>
      </c>
      <c r="G33" s="1261">
        <f>F33*E33</f>
        <v>0</v>
      </c>
      <c r="H33" s="1023"/>
      <c r="I33" s="144"/>
      <c r="J33" s="144"/>
    </row>
    <row r="34" spans="1:10" s="9" customFormat="1">
      <c r="A34" s="4"/>
      <c r="B34" s="998"/>
      <c r="C34" s="105"/>
      <c r="D34" s="37"/>
      <c r="E34" s="597"/>
      <c r="F34" s="1260"/>
      <c r="G34" s="1261"/>
      <c r="H34" s="1023"/>
      <c r="I34" s="144"/>
      <c r="J34" s="144"/>
    </row>
    <row r="35" spans="1:10" s="9" customFormat="1" ht="23">
      <c r="A35" s="4"/>
      <c r="B35" s="998" t="s">
        <v>494</v>
      </c>
      <c r="C35" s="63" t="s">
        <v>54</v>
      </c>
      <c r="D35" s="37"/>
      <c r="E35" s="597"/>
      <c r="F35" s="1260"/>
      <c r="G35" s="1261"/>
      <c r="H35" s="1023"/>
      <c r="I35" s="144"/>
      <c r="J35" s="144"/>
    </row>
    <row r="36" spans="1:10" s="9" customFormat="1">
      <c r="A36" s="4"/>
      <c r="B36" s="998"/>
      <c r="C36" s="63"/>
      <c r="D36" s="37"/>
      <c r="E36" s="597"/>
      <c r="F36" s="1260"/>
      <c r="G36" s="1261"/>
      <c r="H36" s="1023"/>
      <c r="I36" s="144"/>
      <c r="J36" s="144"/>
    </row>
    <row r="37" spans="1:10" s="9" customFormat="1">
      <c r="A37" s="4"/>
      <c r="B37" s="998"/>
      <c r="C37" s="63" t="s">
        <v>55</v>
      </c>
      <c r="D37" s="64" t="s">
        <v>10</v>
      </c>
      <c r="E37" s="104">
        <v>4</v>
      </c>
      <c r="F37" s="1253">
        <v>0</v>
      </c>
      <c r="G37" s="1262">
        <f>E37*F37</f>
        <v>0</v>
      </c>
      <c r="H37" s="1023"/>
      <c r="I37" s="144"/>
      <c r="J37" s="144"/>
    </row>
    <row r="38" spans="1:10" s="9" customFormat="1" ht="12.65" customHeight="1">
      <c r="A38" s="4"/>
      <c r="B38" s="998"/>
      <c r="C38" s="105"/>
      <c r="D38" s="37"/>
      <c r="E38" s="597"/>
      <c r="F38" s="1260"/>
      <c r="G38" s="1261"/>
      <c r="H38" s="1023"/>
      <c r="I38" s="144"/>
      <c r="J38" s="144"/>
    </row>
    <row r="39" spans="1:10" s="9" customFormat="1" ht="30" customHeight="1">
      <c r="A39" s="4"/>
      <c r="B39" s="998" t="s">
        <v>495</v>
      </c>
      <c r="C39" s="99" t="s">
        <v>56</v>
      </c>
      <c r="D39" s="64" t="s">
        <v>8</v>
      </c>
      <c r="E39" s="104">
        <v>1</v>
      </c>
      <c r="F39" s="1253">
        <v>50000</v>
      </c>
      <c r="G39" s="1262">
        <f>E39*F39</f>
        <v>50000</v>
      </c>
      <c r="H39" s="1023"/>
      <c r="I39" s="144"/>
      <c r="J39" s="144"/>
    </row>
    <row r="40" spans="1:10" s="9" customFormat="1" ht="12.65" customHeight="1">
      <c r="A40" s="4"/>
      <c r="B40" s="998"/>
      <c r="C40" s="105"/>
      <c r="D40" s="37"/>
      <c r="E40" s="597"/>
      <c r="F40" s="1260"/>
      <c r="G40" s="1261"/>
      <c r="H40" s="1023"/>
      <c r="I40" s="144"/>
      <c r="J40" s="144"/>
    </row>
    <row r="41" spans="1:10" s="9" customFormat="1" ht="30" customHeight="1">
      <c r="A41" s="4"/>
      <c r="B41" s="1003" t="s">
        <v>527</v>
      </c>
      <c r="C41" s="63" t="s">
        <v>57</v>
      </c>
      <c r="D41" s="64" t="s">
        <v>39</v>
      </c>
      <c r="E41" s="104">
        <f>E15+E17+E19</f>
        <v>735.62</v>
      </c>
      <c r="F41" s="1253">
        <v>0</v>
      </c>
      <c r="G41" s="1262">
        <f>E41*F41</f>
        <v>0</v>
      </c>
      <c r="H41" s="1023">
        <v>106.3</v>
      </c>
      <c r="I41" s="122">
        <f>F41*H41</f>
        <v>0</v>
      </c>
      <c r="J41" s="122">
        <f>G41-I41</f>
        <v>0</v>
      </c>
    </row>
    <row r="42" spans="1:10" s="9" customFormat="1" ht="12.65" customHeight="1">
      <c r="A42" s="4"/>
      <c r="B42" s="1042"/>
      <c r="C42" s="67"/>
      <c r="D42" s="68"/>
      <c r="E42" s="597"/>
      <c r="F42" s="1254"/>
      <c r="G42" s="1262"/>
      <c r="H42" s="1024"/>
      <c r="I42" s="120"/>
      <c r="J42" s="120"/>
    </row>
    <row r="43" spans="1:10" s="9" customFormat="1" ht="23">
      <c r="A43" s="4"/>
      <c r="B43" s="998" t="s">
        <v>529</v>
      </c>
      <c r="C43" s="105" t="s">
        <v>496</v>
      </c>
      <c r="D43" s="37"/>
      <c r="E43" s="597"/>
      <c r="F43" s="1254"/>
      <c r="G43" s="1262"/>
      <c r="H43" s="1023"/>
      <c r="I43" s="120"/>
      <c r="J43" s="120"/>
    </row>
    <row r="44" spans="1:10" s="9" customFormat="1">
      <c r="A44" s="4"/>
      <c r="B44" s="998" t="s">
        <v>214</v>
      </c>
      <c r="C44" s="77"/>
      <c r="D44" s="37"/>
      <c r="E44" s="597"/>
      <c r="F44" s="1254"/>
      <c r="G44" s="1262"/>
      <c r="H44" s="1023"/>
      <c r="I44" s="120"/>
      <c r="J44" s="120"/>
    </row>
    <row r="45" spans="1:10" s="9" customFormat="1">
      <c r="A45" s="4"/>
      <c r="B45" s="976"/>
      <c r="C45" s="77" t="s">
        <v>499</v>
      </c>
      <c r="D45" s="37" t="s">
        <v>19</v>
      </c>
      <c r="E45" s="597">
        <v>15</v>
      </c>
      <c r="F45" s="1254">
        <v>0</v>
      </c>
      <c r="G45" s="1262">
        <f>E45*F45</f>
        <v>0</v>
      </c>
      <c r="H45" s="1023"/>
      <c r="I45" s="120"/>
      <c r="J45" s="120"/>
    </row>
    <row r="46" spans="1:10" s="9" customFormat="1" ht="11.4" customHeight="1">
      <c r="A46" s="4"/>
      <c r="B46" s="974"/>
      <c r="C46" s="67"/>
      <c r="D46" s="68"/>
      <c r="E46" s="597"/>
      <c r="F46" s="1254"/>
      <c r="G46" s="1262"/>
      <c r="H46" s="1024"/>
      <c r="I46" s="120"/>
      <c r="J46" s="120"/>
    </row>
    <row r="47" spans="1:10" s="9" customFormat="1">
      <c r="A47" s="4"/>
      <c r="B47" s="976"/>
      <c r="C47" s="77" t="s">
        <v>497</v>
      </c>
      <c r="D47" s="37" t="s">
        <v>19</v>
      </c>
      <c r="E47" s="597">
        <v>5</v>
      </c>
      <c r="F47" s="1253">
        <v>0</v>
      </c>
      <c r="G47" s="1262">
        <f>E47*F47</f>
        <v>0</v>
      </c>
      <c r="H47" s="1023">
        <v>175.3</v>
      </c>
      <c r="I47" s="122">
        <f>F47*H47</f>
        <v>0</v>
      </c>
      <c r="J47" s="122">
        <f>G47-I47</f>
        <v>0</v>
      </c>
    </row>
    <row r="48" spans="1:10" s="9" customFormat="1">
      <c r="A48" s="4"/>
      <c r="B48" s="976"/>
      <c r="C48" s="77"/>
      <c r="D48" s="37"/>
      <c r="E48" s="597"/>
      <c r="F48" s="1253"/>
      <c r="G48" s="1262"/>
      <c r="H48" s="1023"/>
      <c r="I48" s="122"/>
      <c r="J48" s="122"/>
    </row>
    <row r="49" spans="1:10" s="9" customFormat="1">
      <c r="A49" s="4"/>
      <c r="B49" s="976"/>
      <c r="C49" s="77" t="s">
        <v>498</v>
      </c>
      <c r="D49" s="37" t="s">
        <v>19</v>
      </c>
      <c r="E49" s="597">
        <v>25</v>
      </c>
      <c r="F49" s="1253">
        <v>0</v>
      </c>
      <c r="G49" s="1262">
        <f>E49*F49</f>
        <v>0</v>
      </c>
      <c r="H49" s="1023">
        <v>18.600000000000001</v>
      </c>
      <c r="I49" s="122">
        <f>F49*H49</f>
        <v>0</v>
      </c>
      <c r="J49" s="122">
        <f>G49-I49</f>
        <v>0</v>
      </c>
    </row>
    <row r="50" spans="1:10" s="9" customFormat="1">
      <c r="A50" s="4"/>
      <c r="B50" s="976"/>
      <c r="C50" s="77"/>
      <c r="D50" s="37"/>
      <c r="E50" s="597"/>
      <c r="F50" s="1253"/>
      <c r="G50" s="977"/>
      <c r="H50" s="1023"/>
      <c r="I50" s="122"/>
      <c r="J50" s="122"/>
    </row>
    <row r="51" spans="1:10" s="9" customFormat="1" ht="30" customHeight="1">
      <c r="A51" s="4"/>
      <c r="B51" s="1042"/>
      <c r="C51" s="67"/>
      <c r="D51" s="37"/>
      <c r="E51" s="597"/>
      <c r="F51" s="1254"/>
      <c r="G51" s="977"/>
      <c r="H51" s="1024"/>
      <c r="I51" s="120"/>
      <c r="J51" s="120"/>
    </row>
    <row r="52" spans="1:10" s="9" customFormat="1" ht="12" thickBot="1">
      <c r="A52" s="4"/>
      <c r="B52" s="999"/>
      <c r="C52" s="60"/>
      <c r="D52" s="61"/>
      <c r="E52" s="104"/>
      <c r="F52" s="61"/>
      <c r="G52" s="975"/>
      <c r="H52" s="988"/>
      <c r="I52" s="123"/>
      <c r="J52" s="123"/>
    </row>
    <row r="53" spans="1:10" s="13" customFormat="1" ht="20.149999999999999" customHeight="1" thickBot="1">
      <c r="A53" s="21"/>
      <c r="B53" s="980" t="s">
        <v>145</v>
      </c>
      <c r="C53" s="1005"/>
      <c r="D53" s="1006"/>
      <c r="E53" s="1043"/>
      <c r="F53" s="1006"/>
      <c r="G53" s="1263">
        <f>SUM(G7:G52)</f>
        <v>50000</v>
      </c>
      <c r="H53" s="1025"/>
      <c r="I53" s="147">
        <f>SUM(I41:I52)</f>
        <v>0</v>
      </c>
      <c r="J53" s="147">
        <f>SUM(J41:J52)</f>
        <v>0</v>
      </c>
    </row>
  </sheetData>
  <pageMargins left="0.5905524831078367" right="0.27559115878365709" top="0.3937016554052245" bottom="0.3937016554052245" header="0.3" footer="0.3"/>
  <pageSetup paperSize="9" scale="98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0">
    <pageSetUpPr fitToPage="1"/>
  </sheetPr>
  <dimension ref="A1:M48"/>
  <sheetViews>
    <sheetView view="pageBreakPreview" topLeftCell="A32" zoomScale="80" zoomScaleNormal="80" zoomScaleSheetLayoutView="80" zoomScalePageLayoutView="89" workbookViewId="0">
      <selection activeCell="E43" sqref="E43"/>
    </sheetView>
  </sheetViews>
  <sheetFormatPr defaultColWidth="8.90625" defaultRowHeight="15.5"/>
  <cols>
    <col min="1" max="1" width="1.6328125" style="654" customWidth="1"/>
    <col min="2" max="2" width="10.6328125" style="653" customWidth="1"/>
    <col min="3" max="3" width="85.54296875" style="640" customWidth="1"/>
    <col min="4" max="4" width="10.6328125" style="640" customWidth="1"/>
    <col min="5" max="5" width="11.90625" style="658" customWidth="1"/>
    <col min="6" max="6" width="15.81640625" style="659" customWidth="1"/>
    <col min="7" max="7" width="18.6328125" style="685" customWidth="1"/>
    <col min="8" max="8" width="9.36328125" style="686" hidden="1" customWidth="1"/>
    <col min="9" max="9" width="13.90625" style="686" hidden="1" customWidth="1"/>
    <col min="10" max="10" width="15.453125" style="686" hidden="1" customWidth="1"/>
    <col min="11" max="14" width="8.90625" style="686"/>
    <col min="15" max="15" width="13.6328125" style="686" customWidth="1"/>
    <col min="16" max="16" width="17.6328125" style="686" customWidth="1"/>
    <col min="17" max="16384" width="8.90625" style="686"/>
  </cols>
  <sheetData>
    <row r="1" spans="1:10" s="657" customFormat="1" ht="16" thickBot="1">
      <c r="A1" s="641"/>
      <c r="B1" s="639"/>
      <c r="C1" s="640"/>
      <c r="D1" s="641"/>
      <c r="E1" s="655"/>
      <c r="F1" s="642"/>
      <c r="G1" s="656"/>
    </row>
    <row r="2" spans="1:10" s="657" customFormat="1">
      <c r="A2" s="641"/>
      <c r="B2" s="900" t="s">
        <v>483</v>
      </c>
      <c r="C2" s="1053"/>
      <c r="D2" s="1053"/>
      <c r="E2" s="1054"/>
      <c r="F2" s="1055"/>
      <c r="G2" s="1056"/>
    </row>
    <row r="3" spans="1:10" s="657" customFormat="1">
      <c r="A3" s="641"/>
      <c r="B3" s="904" t="s">
        <v>482</v>
      </c>
      <c r="C3" s="641"/>
      <c r="D3" s="641"/>
      <c r="E3" s="655"/>
      <c r="F3" s="642"/>
      <c r="G3" s="1057"/>
    </row>
    <row r="4" spans="1:10" s="657" customFormat="1" ht="20.149999999999999" customHeight="1">
      <c r="A4" s="641"/>
      <c r="B4" s="1058"/>
      <c r="C4" s="640"/>
      <c r="D4" s="640"/>
      <c r="E4" s="658"/>
      <c r="F4" s="659"/>
      <c r="G4" s="1059" t="s">
        <v>58</v>
      </c>
    </row>
    <row r="5" spans="1:10" s="660" customFormat="1" ht="30" customHeight="1">
      <c r="B5" s="1060" t="s">
        <v>0</v>
      </c>
      <c r="C5" s="1061" t="s">
        <v>2</v>
      </c>
      <c r="D5" s="1061" t="s">
        <v>3</v>
      </c>
      <c r="E5" s="1062" t="s">
        <v>4</v>
      </c>
      <c r="F5" s="1061" t="s">
        <v>5</v>
      </c>
      <c r="G5" s="1063" t="s">
        <v>6</v>
      </c>
      <c r="H5" s="1044" t="s">
        <v>217</v>
      </c>
      <c r="I5" s="661" t="s">
        <v>216</v>
      </c>
      <c r="J5" s="661" t="s">
        <v>218</v>
      </c>
    </row>
    <row r="6" spans="1:10" s="662" customFormat="1" ht="20.149999999999999" customHeight="1">
      <c r="B6" s="1064"/>
      <c r="C6" s="1065"/>
      <c r="D6" s="1065"/>
      <c r="E6" s="1066"/>
      <c r="F6" s="1067"/>
      <c r="G6" s="1068"/>
      <c r="H6" s="1045"/>
      <c r="I6" s="663"/>
      <c r="J6" s="663"/>
    </row>
    <row r="7" spans="1:10" s="660" customFormat="1">
      <c r="B7" s="1069" t="s">
        <v>152</v>
      </c>
      <c r="C7" s="1070" t="s">
        <v>59</v>
      </c>
      <c r="D7" s="1071"/>
      <c r="E7" s="1072"/>
      <c r="F7" s="1073"/>
      <c r="G7" s="1074"/>
      <c r="H7" s="1046"/>
      <c r="I7" s="664"/>
      <c r="J7" s="664"/>
    </row>
    <row r="8" spans="1:10" s="660" customFormat="1" ht="11.4" customHeight="1">
      <c r="B8" s="1075"/>
      <c r="C8" s="648"/>
      <c r="D8" s="643"/>
      <c r="E8" s="647"/>
      <c r="F8" s="643"/>
      <c r="G8" s="1076"/>
      <c r="H8" s="1047"/>
      <c r="I8" s="665"/>
      <c r="J8" s="665"/>
    </row>
    <row r="9" spans="1:10" s="660" customFormat="1">
      <c r="B9" s="1077" t="s">
        <v>500</v>
      </c>
      <c r="C9" s="650" t="s">
        <v>60</v>
      </c>
      <c r="D9" s="644"/>
      <c r="E9" s="1078"/>
      <c r="F9" s="645"/>
      <c r="G9" s="1076"/>
      <c r="H9" s="666"/>
      <c r="I9" s="667"/>
      <c r="J9" s="667"/>
    </row>
    <row r="10" spans="1:10" s="660" customFormat="1" ht="11.4" customHeight="1">
      <c r="B10" s="1075"/>
      <c r="C10" s="648"/>
      <c r="D10" s="643"/>
      <c r="E10" s="647"/>
      <c r="F10" s="643"/>
      <c r="G10" s="1076"/>
      <c r="H10" s="1047"/>
      <c r="I10" s="665"/>
      <c r="J10" s="665"/>
    </row>
    <row r="11" spans="1:10" s="660" customFormat="1" ht="31">
      <c r="B11" s="1079"/>
      <c r="C11" s="646" t="s">
        <v>52</v>
      </c>
      <c r="D11" s="644"/>
      <c r="E11" s="647"/>
      <c r="F11" s="645"/>
      <c r="G11" s="1076"/>
      <c r="H11" s="1048"/>
      <c r="I11" s="667"/>
      <c r="J11" s="667"/>
    </row>
    <row r="12" spans="1:10" s="660" customFormat="1">
      <c r="B12" s="1075"/>
      <c r="C12" s="648"/>
      <c r="D12" s="643"/>
      <c r="E12" s="647"/>
      <c r="F12" s="643"/>
      <c r="G12" s="1076"/>
      <c r="H12" s="1047"/>
      <c r="I12" s="665"/>
      <c r="J12" s="665"/>
    </row>
    <row r="13" spans="1:10" s="660" customFormat="1">
      <c r="B13" s="1079"/>
      <c r="C13" s="646" t="s">
        <v>61</v>
      </c>
      <c r="D13" s="644" t="s">
        <v>19</v>
      </c>
      <c r="E13" s="647">
        <f>1.62*1.4*11*14+18</f>
        <v>367</v>
      </c>
      <c r="F13" s="1265">
        <v>0</v>
      </c>
      <c r="G13" s="1264">
        <f>F13*E13</f>
        <v>0</v>
      </c>
      <c r="H13" s="1048">
        <v>1156.5</v>
      </c>
      <c r="I13" s="668">
        <f>F13*H13</f>
        <v>0</v>
      </c>
      <c r="J13" s="668">
        <f>G13-I13</f>
        <v>0</v>
      </c>
    </row>
    <row r="14" spans="1:10" s="660" customFormat="1">
      <c r="B14" s="1075"/>
      <c r="C14" s="648"/>
      <c r="D14" s="643"/>
      <c r="E14" s="647"/>
      <c r="F14" s="1266"/>
      <c r="G14" s="1264"/>
      <c r="H14" s="1047"/>
      <c r="I14" s="667"/>
      <c r="J14" s="667"/>
    </row>
    <row r="15" spans="1:10" s="660" customFormat="1" ht="16.25" customHeight="1">
      <c r="B15" s="1079"/>
      <c r="C15" s="646" t="s">
        <v>53</v>
      </c>
      <c r="D15" s="644" t="s">
        <v>19</v>
      </c>
      <c r="E15" s="647">
        <v>1</v>
      </c>
      <c r="F15" s="1265">
        <v>0</v>
      </c>
      <c r="G15" s="1264">
        <f>F15*E15</f>
        <v>0</v>
      </c>
      <c r="H15" s="1048">
        <v>1407.9</v>
      </c>
      <c r="I15" s="668">
        <f>F15*H15</f>
        <v>0</v>
      </c>
      <c r="J15" s="668">
        <f>G15-I15</f>
        <v>0</v>
      </c>
    </row>
    <row r="16" spans="1:10" s="660" customFormat="1">
      <c r="B16" s="1075"/>
      <c r="C16" s="648"/>
      <c r="D16" s="643"/>
      <c r="E16" s="647"/>
      <c r="F16" s="1266"/>
      <c r="G16" s="1264"/>
      <c r="H16" s="1047"/>
      <c r="I16" s="667"/>
      <c r="J16" s="667"/>
    </row>
    <row r="17" spans="2:10" s="660" customFormat="1">
      <c r="B17" s="1079"/>
      <c r="C17" s="646" t="s">
        <v>62</v>
      </c>
      <c r="D17" s="644" t="s">
        <v>19</v>
      </c>
      <c r="E17" s="647">
        <v>1</v>
      </c>
      <c r="F17" s="1265">
        <v>0</v>
      </c>
      <c r="G17" s="1264">
        <f>F17*E17</f>
        <v>0</v>
      </c>
      <c r="H17" s="1048">
        <v>80</v>
      </c>
      <c r="I17" s="668">
        <f>F17*H17</f>
        <v>0</v>
      </c>
      <c r="J17" s="668">
        <f>G17-I17</f>
        <v>0</v>
      </c>
    </row>
    <row r="18" spans="2:10" s="660" customFormat="1">
      <c r="B18" s="1075"/>
      <c r="C18" s="648"/>
      <c r="D18" s="643"/>
      <c r="E18" s="647"/>
      <c r="F18" s="1265"/>
      <c r="G18" s="1264"/>
      <c r="H18" s="1047"/>
      <c r="I18" s="667"/>
      <c r="J18" s="667"/>
    </row>
    <row r="19" spans="2:10" s="660" customFormat="1">
      <c r="B19" s="1079"/>
      <c r="C19" s="646" t="s">
        <v>63</v>
      </c>
      <c r="D19" s="644" t="s">
        <v>19</v>
      </c>
      <c r="E19" s="647">
        <f>0.05*(E13+E15+E17)</f>
        <v>18</v>
      </c>
      <c r="F19" s="1265">
        <v>0</v>
      </c>
      <c r="G19" s="1264">
        <f>F19*E19</f>
        <v>0</v>
      </c>
      <c r="H19" s="1048">
        <v>0</v>
      </c>
      <c r="I19" s="668">
        <f>F19*H19</f>
        <v>0</v>
      </c>
      <c r="J19" s="668">
        <f>G19-I19</f>
        <v>0</v>
      </c>
    </row>
    <row r="20" spans="2:10" s="660" customFormat="1">
      <c r="B20" s="1075"/>
      <c r="C20" s="648"/>
      <c r="D20" s="643"/>
      <c r="E20" s="647"/>
      <c r="F20" s="1265"/>
      <c r="G20" s="1264"/>
      <c r="H20" s="1047"/>
      <c r="I20" s="667"/>
      <c r="J20" s="667"/>
    </row>
    <row r="21" spans="2:10" s="660" customFormat="1">
      <c r="B21" s="1077" t="s">
        <v>501</v>
      </c>
      <c r="C21" s="646" t="s">
        <v>64</v>
      </c>
      <c r="D21" s="644"/>
      <c r="E21" s="647"/>
      <c r="F21" s="1265"/>
      <c r="G21" s="1264"/>
      <c r="H21" s="1048"/>
      <c r="I21" s="667"/>
      <c r="J21" s="667"/>
    </row>
    <row r="22" spans="2:10" s="660" customFormat="1">
      <c r="B22" s="1075"/>
      <c r="C22" s="649"/>
      <c r="D22" s="643"/>
      <c r="E22" s="647"/>
      <c r="F22" s="1265"/>
      <c r="G22" s="1264"/>
      <c r="H22" s="1047"/>
      <c r="I22" s="667"/>
      <c r="J22" s="667"/>
    </row>
    <row r="23" spans="2:10" s="660" customFormat="1" ht="24" customHeight="1">
      <c r="B23" s="1079"/>
      <c r="C23" s="652" t="s">
        <v>65</v>
      </c>
      <c r="D23" s="644" t="s">
        <v>19</v>
      </c>
      <c r="E23" s="647">
        <f>E13+E15+E17</f>
        <v>369</v>
      </c>
      <c r="F23" s="1265">
        <v>0</v>
      </c>
      <c r="G23" s="1358">
        <v>0</v>
      </c>
      <c r="H23" s="1048">
        <v>940</v>
      </c>
      <c r="I23" s="668">
        <f>F23*H23</f>
        <v>0</v>
      </c>
      <c r="J23" s="668">
        <f>G23-I23</f>
        <v>0</v>
      </c>
    </row>
    <row r="24" spans="2:10" s="660" customFormat="1">
      <c r="B24" s="1075"/>
      <c r="C24" s="669"/>
      <c r="D24" s="643"/>
      <c r="E24" s="647"/>
      <c r="F24" s="1265"/>
      <c r="G24" s="1264"/>
      <c r="H24" s="1047"/>
      <c r="I24" s="667"/>
      <c r="J24" s="667"/>
    </row>
    <row r="25" spans="2:10" s="660" customFormat="1" ht="22.25" customHeight="1">
      <c r="B25" s="1079"/>
      <c r="C25" s="652" t="s">
        <v>66</v>
      </c>
      <c r="D25" s="644" t="s">
        <v>19</v>
      </c>
      <c r="E25" s="647">
        <f>0.5*E23</f>
        <v>185</v>
      </c>
      <c r="F25" s="1265">
        <v>0</v>
      </c>
      <c r="G25" s="1264">
        <f>F25*E25</f>
        <v>0</v>
      </c>
      <c r="H25" s="1048">
        <v>600</v>
      </c>
      <c r="I25" s="668">
        <f>F25*H25</f>
        <v>0</v>
      </c>
      <c r="J25" s="668">
        <f>G25-I25</f>
        <v>0</v>
      </c>
    </row>
    <row r="26" spans="2:10" s="660" customFormat="1">
      <c r="B26" s="1075"/>
      <c r="C26" s="648"/>
      <c r="D26" s="643"/>
      <c r="E26" s="647"/>
      <c r="F26" s="1265"/>
      <c r="G26" s="1264"/>
      <c r="H26" s="1047"/>
      <c r="I26" s="667"/>
      <c r="J26" s="667"/>
    </row>
    <row r="27" spans="2:10" s="660" customFormat="1">
      <c r="B27" s="1077" t="s">
        <v>502</v>
      </c>
      <c r="C27" s="646" t="s">
        <v>67</v>
      </c>
      <c r="D27" s="644"/>
      <c r="E27" s="647"/>
      <c r="F27" s="1265"/>
      <c r="G27" s="1264"/>
      <c r="H27" s="1048"/>
      <c r="I27" s="667"/>
      <c r="J27" s="667"/>
    </row>
    <row r="28" spans="2:10" s="660" customFormat="1">
      <c r="B28" s="1075"/>
      <c r="C28" s="648"/>
      <c r="D28" s="643"/>
      <c r="E28" s="647"/>
      <c r="F28" s="1265"/>
      <c r="G28" s="1264"/>
      <c r="H28" s="1047"/>
      <c r="I28" s="667"/>
      <c r="J28" s="667"/>
    </row>
    <row r="29" spans="2:10" s="660" customFormat="1">
      <c r="B29" s="1079"/>
      <c r="C29" s="646" t="s">
        <v>198</v>
      </c>
      <c r="D29" s="644" t="s">
        <v>38</v>
      </c>
      <c r="E29" s="645">
        <f>(20+10+20+10+12*2+12*2+12*2+20+30+22*2+20)*1.1</f>
        <v>270.60000000000002</v>
      </c>
      <c r="F29" s="1265">
        <v>0</v>
      </c>
      <c r="G29" s="1264">
        <f>F29*E29</f>
        <v>0</v>
      </c>
      <c r="H29" s="1048">
        <v>940</v>
      </c>
      <c r="I29" s="668">
        <f>F29*H29</f>
        <v>0</v>
      </c>
      <c r="J29" s="671">
        <f>G29-I29</f>
        <v>0</v>
      </c>
    </row>
    <row r="30" spans="2:10" s="660" customFormat="1">
      <c r="B30" s="1075"/>
      <c r="C30" s="648"/>
      <c r="D30" s="643"/>
      <c r="E30" s="647"/>
      <c r="F30" s="1267"/>
      <c r="G30" s="1264"/>
      <c r="H30" s="1047"/>
      <c r="I30" s="667"/>
      <c r="J30" s="667"/>
    </row>
    <row r="31" spans="2:10" s="660" customFormat="1" ht="17.399999999999999" hidden="1" customHeight="1">
      <c r="B31" s="1075"/>
      <c r="C31" s="646"/>
      <c r="D31" s="644"/>
      <c r="E31" s="647"/>
      <c r="F31" s="1265"/>
      <c r="G31" s="1264"/>
      <c r="H31" s="1048"/>
      <c r="I31" s="668"/>
      <c r="J31" s="671"/>
    </row>
    <row r="32" spans="2:10" s="660" customFormat="1">
      <c r="B32" s="1075"/>
      <c r="C32" s="648"/>
      <c r="D32" s="643"/>
      <c r="E32" s="647"/>
      <c r="F32" s="1265"/>
      <c r="G32" s="1268"/>
      <c r="H32" s="1047"/>
      <c r="I32" s="672"/>
      <c r="J32" s="672"/>
    </row>
    <row r="33" spans="2:13" s="660" customFormat="1">
      <c r="B33" s="1077" t="s">
        <v>526</v>
      </c>
      <c r="C33" s="646" t="s">
        <v>68</v>
      </c>
      <c r="D33" s="644"/>
      <c r="E33" s="647"/>
      <c r="F33" s="1265"/>
      <c r="G33" s="1268"/>
      <c r="H33" s="1048"/>
      <c r="I33" s="672"/>
      <c r="J33" s="672"/>
    </row>
    <row r="34" spans="2:13" s="660" customFormat="1">
      <c r="B34" s="1075"/>
      <c r="C34" s="648"/>
      <c r="D34" s="643"/>
      <c r="E34" s="647"/>
      <c r="F34" s="1265"/>
      <c r="G34" s="1268"/>
      <c r="H34" s="1047"/>
      <c r="I34" s="672"/>
      <c r="J34" s="672"/>
    </row>
    <row r="35" spans="2:13" s="660" customFormat="1" ht="31">
      <c r="B35" s="1079"/>
      <c r="C35" s="646" t="s">
        <v>69</v>
      </c>
      <c r="D35" s="651"/>
      <c r="E35" s="673"/>
      <c r="F35" s="1265"/>
      <c r="G35" s="1264"/>
      <c r="H35" s="1049"/>
      <c r="I35" s="667"/>
      <c r="J35" s="667"/>
    </row>
    <row r="36" spans="2:13" s="660" customFormat="1">
      <c r="B36" s="1075"/>
      <c r="C36" s="648"/>
      <c r="D36" s="674"/>
      <c r="E36" s="673"/>
      <c r="F36" s="1265"/>
      <c r="G36" s="1264"/>
      <c r="H36" s="1050"/>
      <c r="I36" s="667"/>
      <c r="J36" s="667"/>
    </row>
    <row r="37" spans="2:13" s="660" customFormat="1">
      <c r="B37" s="1079"/>
      <c r="C37" s="646" t="s">
        <v>70</v>
      </c>
      <c r="D37" s="651" t="s">
        <v>19</v>
      </c>
      <c r="E37" s="673">
        <f>2.2*1.5*0.15*2*14</f>
        <v>14</v>
      </c>
      <c r="F37" s="1265">
        <v>0</v>
      </c>
      <c r="G37" s="1264">
        <f>E37*F37</f>
        <v>0</v>
      </c>
      <c r="H37" s="1049">
        <v>40.200000000000003</v>
      </c>
      <c r="I37" s="668">
        <f>F37*H37</f>
        <v>0</v>
      </c>
      <c r="J37" s="668">
        <f>G37-I37</f>
        <v>0</v>
      </c>
    </row>
    <row r="38" spans="2:13" s="660" customFormat="1">
      <c r="B38" s="1079"/>
      <c r="C38" s="646"/>
      <c r="D38" s="651"/>
      <c r="E38" s="673"/>
      <c r="F38" s="1265"/>
      <c r="G38" s="1264"/>
      <c r="H38" s="1049"/>
      <c r="I38" s="668"/>
      <c r="J38" s="668"/>
    </row>
    <row r="39" spans="2:13" s="660" customFormat="1" ht="18.5">
      <c r="B39" s="1079"/>
      <c r="C39" s="646" t="s">
        <v>610</v>
      </c>
      <c r="D39" s="651" t="s">
        <v>611</v>
      </c>
      <c r="E39" s="673">
        <v>100</v>
      </c>
      <c r="F39" s="1265">
        <v>0</v>
      </c>
      <c r="G39" s="1269">
        <f>E39*F39</f>
        <v>0</v>
      </c>
      <c r="H39" s="1051">
        <v>40.200000000000003</v>
      </c>
      <c r="I39" s="749">
        <f>F39*H39</f>
        <v>0</v>
      </c>
      <c r="J39" s="749">
        <f>G39-I39</f>
        <v>0</v>
      </c>
    </row>
    <row r="40" spans="2:13" s="660" customFormat="1">
      <c r="B40" s="1075"/>
      <c r="C40" s="648"/>
      <c r="D40" s="674"/>
      <c r="E40" s="673"/>
      <c r="F40" s="1265"/>
      <c r="G40" s="1264"/>
      <c r="H40" s="1050"/>
      <c r="I40" s="667"/>
      <c r="J40" s="667"/>
    </row>
    <row r="41" spans="2:13" s="660" customFormat="1" ht="15" customHeight="1">
      <c r="B41" s="1080">
        <v>22.18</v>
      </c>
      <c r="C41" s="648" t="s">
        <v>592</v>
      </c>
      <c r="D41" s="674"/>
      <c r="E41" s="673"/>
      <c r="F41" s="1265"/>
      <c r="G41" s="1264"/>
      <c r="H41" s="1050"/>
      <c r="I41" s="667"/>
      <c r="J41" s="667"/>
    </row>
    <row r="42" spans="2:13" s="660" customFormat="1" ht="17.399999999999999" customHeight="1">
      <c r="B42" s="1075"/>
      <c r="D42" s="674"/>
      <c r="E42" s="673"/>
      <c r="F42" s="1265"/>
      <c r="G42" s="1264"/>
      <c r="H42" s="1050"/>
      <c r="I42" s="667"/>
      <c r="J42" s="667"/>
    </row>
    <row r="43" spans="2:13" s="660" customFormat="1">
      <c r="B43" s="1079"/>
      <c r="C43" s="648" t="s">
        <v>593</v>
      </c>
      <c r="D43" s="750" t="s">
        <v>11</v>
      </c>
      <c r="E43" s="675">
        <f>2.5*2*4*9*110%</f>
        <v>198</v>
      </c>
      <c r="F43" s="1265">
        <v>0</v>
      </c>
      <c r="G43" s="1264">
        <f>F43*E43</f>
        <v>0</v>
      </c>
      <c r="H43" s="1052"/>
      <c r="I43" s="668"/>
      <c r="J43" s="668"/>
      <c r="M43" s="645">
        <f>20+10+20+10+12*2+12*2+12*2+20+30+22*2+20</f>
        <v>246</v>
      </c>
    </row>
    <row r="44" spans="2:13" s="660" customFormat="1">
      <c r="B44" s="1079"/>
      <c r="C44" s="648"/>
      <c r="D44" s="750"/>
      <c r="E44" s="675"/>
      <c r="F44" s="1265"/>
      <c r="G44" s="1264"/>
      <c r="H44" s="1052"/>
      <c r="I44" s="668"/>
      <c r="J44" s="668"/>
    </row>
    <row r="45" spans="2:13" s="660" customFormat="1">
      <c r="B45" s="1079"/>
      <c r="C45" s="648" t="s">
        <v>619</v>
      </c>
      <c r="D45" s="750" t="s">
        <v>11</v>
      </c>
      <c r="E45" s="675">
        <v>10</v>
      </c>
      <c r="F45" s="1265">
        <v>0</v>
      </c>
      <c r="G45" s="1264">
        <f>F45*E45</f>
        <v>0</v>
      </c>
      <c r="H45" s="1052"/>
      <c r="I45" s="668"/>
      <c r="J45" s="668"/>
    </row>
    <row r="46" spans="2:13" s="660" customFormat="1" ht="16" thickBot="1">
      <c r="B46" s="1079"/>
      <c r="C46" s="646"/>
      <c r="D46" s="651"/>
      <c r="E46" s="675"/>
      <c r="F46" s="1270"/>
      <c r="G46" s="1271"/>
      <c r="H46" s="1052"/>
      <c r="I46" s="668"/>
      <c r="J46" s="668"/>
    </row>
    <row r="47" spans="2:13" s="676" customFormat="1" ht="20.149999999999999" customHeight="1" thickBot="1">
      <c r="B47" s="1081" t="s">
        <v>146</v>
      </c>
      <c r="C47" s="1082"/>
      <c r="D47" s="1083"/>
      <c r="E47" s="1084"/>
      <c r="F47" s="1272"/>
      <c r="G47" s="1273">
        <v>0</v>
      </c>
      <c r="H47" s="751"/>
      <c r="I47" s="677">
        <f>SUM(I13:I46)</f>
        <v>0</v>
      </c>
      <c r="J47" s="677">
        <f>SUM(J13:J46)</f>
        <v>0</v>
      </c>
    </row>
    <row r="48" spans="2:13" s="676" customFormat="1" ht="15" customHeight="1">
      <c r="B48" s="678"/>
      <c r="C48" s="679"/>
      <c r="D48" s="680"/>
      <c r="E48" s="681"/>
      <c r="F48" s="680"/>
      <c r="G48" s="682"/>
      <c r="H48" s="683"/>
      <c r="I48" s="684"/>
      <c r="J48" s="684"/>
    </row>
  </sheetData>
  <pageMargins left="0.5905524831078367" right="0.27559115878365709" top="0.3937016554052245" bottom="0.3937016554052245" header="0.3" footer="0.3"/>
  <pageSetup paperSize="9" scale="62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1">
    <pageSetUpPr fitToPage="1"/>
  </sheetPr>
  <dimension ref="A1:Q50"/>
  <sheetViews>
    <sheetView view="pageBreakPreview" topLeftCell="B19" zoomScale="85" zoomScaleNormal="100" zoomScaleSheetLayoutView="85" workbookViewId="0">
      <selection activeCell="F19" sqref="F19"/>
    </sheetView>
  </sheetViews>
  <sheetFormatPr defaultColWidth="8.90625" defaultRowHeight="12"/>
  <cols>
    <col min="1" max="1" width="5.36328125" style="20" hidden="1" customWidth="1"/>
    <col min="2" max="2" width="1.6328125" style="20" customWidth="1"/>
    <col min="3" max="3" width="7.90625" style="24" customWidth="1"/>
    <col min="4" max="4" width="82.90625" style="24" customWidth="1"/>
    <col min="5" max="5" width="6.36328125" style="24" customWidth="1"/>
    <col min="6" max="6" width="22.08984375" style="599" customWidth="1"/>
    <col min="7" max="7" width="22.08984375" style="24" customWidth="1"/>
    <col min="8" max="8" width="22.08984375" style="893" customWidth="1"/>
    <col min="9" max="9" width="11.90625" style="894" hidden="1" customWidth="1"/>
    <col min="10" max="10" width="14.453125" style="894" hidden="1" customWidth="1"/>
    <col min="11" max="11" width="11.453125" style="894" hidden="1" customWidth="1"/>
    <col min="12" max="12" width="25.08984375" style="894" customWidth="1"/>
    <col min="13" max="16384" width="8.90625" style="894"/>
  </cols>
  <sheetData>
    <row r="1" spans="1:17" s="3" customFormat="1" ht="12.5" thickBot="1">
      <c r="A1" s="18"/>
      <c r="B1" s="18"/>
      <c r="C1" s="23"/>
      <c r="D1" s="24"/>
      <c r="E1" s="18"/>
      <c r="F1" s="596"/>
      <c r="G1" s="18"/>
      <c r="H1" s="601"/>
    </row>
    <row r="2" spans="1:17" s="3" customFormat="1">
      <c r="A2" s="18"/>
      <c r="B2" s="18"/>
      <c r="C2" s="900" t="s">
        <v>483</v>
      </c>
      <c r="D2" s="943"/>
      <c r="E2" s="943"/>
      <c r="F2" s="1010"/>
      <c r="G2" s="943"/>
      <c r="H2" s="1089"/>
    </row>
    <row r="3" spans="1:17" s="3" customFormat="1">
      <c r="A3" s="18"/>
      <c r="B3" s="18"/>
      <c r="C3" s="904" t="s">
        <v>482</v>
      </c>
      <c r="D3" s="18"/>
      <c r="E3" s="18"/>
      <c r="F3" s="596"/>
      <c r="G3" s="18"/>
      <c r="H3" s="1090"/>
    </row>
    <row r="4" spans="1:17" s="3" customFormat="1" ht="20.149999999999999" customHeight="1">
      <c r="A4" s="18"/>
      <c r="B4" s="18"/>
      <c r="C4" s="1091"/>
      <c r="D4" s="24"/>
      <c r="E4" s="24"/>
      <c r="F4" s="599"/>
      <c r="G4" s="24"/>
      <c r="H4" s="1092" t="s">
        <v>72</v>
      </c>
    </row>
    <row r="5" spans="1:17" s="4" customFormat="1" ht="30" customHeight="1">
      <c r="C5" s="1093" t="s">
        <v>0</v>
      </c>
      <c r="D5" s="626" t="s">
        <v>2</v>
      </c>
      <c r="E5" s="626" t="s">
        <v>3</v>
      </c>
      <c r="F5" s="627" t="s">
        <v>4</v>
      </c>
      <c r="G5" s="626" t="s">
        <v>5</v>
      </c>
      <c r="H5" s="1094" t="s">
        <v>6</v>
      </c>
      <c r="I5" s="618" t="s">
        <v>217</v>
      </c>
      <c r="J5" s="130" t="s">
        <v>216</v>
      </c>
      <c r="K5" s="130" t="s">
        <v>218</v>
      </c>
    </row>
    <row r="6" spans="1:17" s="5" customFormat="1" ht="9.75" customHeight="1">
      <c r="C6" s="1095"/>
      <c r="D6" s="628"/>
      <c r="E6" s="628"/>
      <c r="F6" s="714"/>
      <c r="G6" s="628"/>
      <c r="H6" s="1096"/>
      <c r="I6" s="619"/>
      <c r="J6" s="126"/>
      <c r="K6" s="126"/>
    </row>
    <row r="7" spans="1:17" s="4" customFormat="1" ht="45.75" customHeight="1">
      <c r="A7" s="4">
        <v>2087</v>
      </c>
      <c r="C7" s="1097" t="s">
        <v>153</v>
      </c>
      <c r="D7" s="1098" t="s">
        <v>73</v>
      </c>
      <c r="E7" s="1099"/>
      <c r="F7" s="731"/>
      <c r="G7" s="1100"/>
      <c r="H7" s="1101"/>
      <c r="I7" s="620"/>
      <c r="J7" s="887"/>
      <c r="K7" s="887"/>
      <c r="L7" s="888"/>
      <c r="M7" s="888"/>
      <c r="N7" s="888"/>
    </row>
    <row r="8" spans="1:17" s="4" customFormat="1" ht="16.25" customHeight="1">
      <c r="C8" s="1102"/>
      <c r="D8" s="732"/>
      <c r="E8" s="64"/>
      <c r="F8" s="104"/>
      <c r="G8" s="66"/>
      <c r="H8" s="1103"/>
      <c r="I8" s="989"/>
      <c r="J8" s="120"/>
      <c r="K8" s="120"/>
      <c r="L8" s="888"/>
      <c r="M8" s="888"/>
      <c r="N8" s="888"/>
    </row>
    <row r="9" spans="1:17" s="4" customFormat="1" ht="11.5">
      <c r="C9" s="1102" t="s">
        <v>612</v>
      </c>
      <c r="D9" s="889" t="s">
        <v>613</v>
      </c>
      <c r="E9" s="64"/>
      <c r="F9" s="104"/>
      <c r="G9" s="66"/>
      <c r="H9" s="1104"/>
      <c r="I9" s="989"/>
      <c r="J9" s="120"/>
      <c r="K9" s="120"/>
      <c r="L9" s="888"/>
      <c r="M9" s="888"/>
      <c r="N9" s="888"/>
      <c r="O9" s="888"/>
      <c r="Q9" s="4">
        <f>(75+200)/2</f>
        <v>137.5</v>
      </c>
    </row>
    <row r="10" spans="1:17" s="4" customFormat="1" ht="10.25" customHeight="1">
      <c r="C10" s="1102"/>
      <c r="D10" s="732"/>
      <c r="E10" s="64"/>
      <c r="F10" s="104"/>
      <c r="G10" s="66"/>
      <c r="H10" s="1103"/>
      <c r="I10" s="989"/>
      <c r="J10" s="120"/>
      <c r="K10" s="120"/>
      <c r="L10" s="888"/>
      <c r="M10" s="888"/>
      <c r="N10" s="888"/>
    </row>
    <row r="11" spans="1:17" s="4" customFormat="1" ht="11.5">
      <c r="C11" s="1102"/>
      <c r="D11" s="60" t="s">
        <v>614</v>
      </c>
      <c r="E11" s="64" t="s">
        <v>38</v>
      </c>
      <c r="F11" s="104">
        <v>3500</v>
      </c>
      <c r="G11" s="1252">
        <v>0</v>
      </c>
      <c r="H11" s="1274">
        <f>F11*G11</f>
        <v>0</v>
      </c>
      <c r="I11" s="989"/>
      <c r="J11" s="120"/>
      <c r="K11" s="120"/>
      <c r="L11" s="888"/>
      <c r="M11" s="104">
        <f>(2900+28+31+46+29+25+45+35)*1.1</f>
        <v>3452.9</v>
      </c>
      <c r="N11" s="4" t="s">
        <v>615</v>
      </c>
      <c r="O11" s="4">
        <f>520+20*2</f>
        <v>560</v>
      </c>
    </row>
    <row r="12" spans="1:17" s="4" customFormat="1" ht="11.4" customHeight="1">
      <c r="C12" s="1105"/>
      <c r="D12" s="60"/>
      <c r="E12" s="61"/>
      <c r="F12" s="104"/>
      <c r="G12" s="1251"/>
      <c r="H12" s="1275"/>
      <c r="I12" s="988"/>
      <c r="J12" s="120"/>
      <c r="K12" s="120"/>
      <c r="M12" s="104"/>
    </row>
    <row r="13" spans="1:17" s="4" customFormat="1" ht="16.25" customHeight="1">
      <c r="C13" s="1105"/>
      <c r="D13" s="60" t="s">
        <v>616</v>
      </c>
      <c r="E13" s="61" t="s">
        <v>38</v>
      </c>
      <c r="F13" s="104">
        <v>3300</v>
      </c>
      <c r="G13" s="1251">
        <v>0</v>
      </c>
      <c r="H13" s="1275">
        <f>G13*F13</f>
        <v>0</v>
      </c>
      <c r="I13" s="988"/>
      <c r="J13" s="120"/>
      <c r="K13" s="120"/>
      <c r="M13" s="104">
        <f>(2900+30+15)*1.1</f>
        <v>3239.5</v>
      </c>
    </row>
    <row r="14" spans="1:17" s="4" customFormat="1" ht="11.5">
      <c r="C14" s="1105"/>
      <c r="D14" s="60"/>
      <c r="E14" s="61"/>
      <c r="F14" s="104"/>
      <c r="G14" s="1251"/>
      <c r="H14" s="1275"/>
      <c r="I14" s="988"/>
      <c r="J14" s="120"/>
      <c r="K14" s="120"/>
    </row>
    <row r="15" spans="1:17" s="4" customFormat="1" ht="11.5">
      <c r="C15" s="1001" t="s">
        <v>193</v>
      </c>
      <c r="D15" s="63" t="s">
        <v>180</v>
      </c>
      <c r="E15" s="64"/>
      <c r="F15" s="104"/>
      <c r="G15" s="1251"/>
      <c r="H15" s="1276"/>
      <c r="I15" s="1085"/>
      <c r="J15" s="66"/>
      <c r="K15" s="66"/>
    </row>
    <row r="16" spans="1:17" s="4" customFormat="1" ht="11.5">
      <c r="C16" s="1001"/>
      <c r="D16" s="63"/>
      <c r="E16" s="64"/>
      <c r="F16" s="104"/>
      <c r="G16" s="1251"/>
      <c r="H16" s="1275"/>
      <c r="I16" s="1007"/>
      <c r="J16" s="120"/>
      <c r="K16" s="120"/>
    </row>
    <row r="17" spans="3:15" s="4" customFormat="1" ht="11.5">
      <c r="C17" s="1001"/>
      <c r="D17" s="63" t="s">
        <v>181</v>
      </c>
      <c r="E17" s="64" t="s">
        <v>11</v>
      </c>
      <c r="F17" s="104">
        <f>1600*1.238*1.1</f>
        <v>2178.88</v>
      </c>
      <c r="G17" s="1251">
        <v>0</v>
      </c>
      <c r="H17" s="1274">
        <f>F17*G17</f>
        <v>0</v>
      </c>
      <c r="I17" s="1007">
        <v>10</v>
      </c>
      <c r="J17" s="120">
        <f>G17*I17</f>
        <v>0</v>
      </c>
      <c r="K17" s="122">
        <f>H17-J17</f>
        <v>0</v>
      </c>
      <c r="L17" s="18" t="s">
        <v>617</v>
      </c>
      <c r="N17" s="4" t="s">
        <v>618</v>
      </c>
      <c r="O17" s="4">
        <f>191*2</f>
        <v>382</v>
      </c>
    </row>
    <row r="18" spans="3:15" s="4" customFormat="1" ht="11.5">
      <c r="C18" s="1001"/>
      <c r="D18" s="63"/>
      <c r="E18" s="64"/>
      <c r="F18" s="104"/>
      <c r="G18" s="1251"/>
      <c r="H18" s="1275"/>
      <c r="I18" s="1007"/>
      <c r="J18" s="120"/>
      <c r="K18" s="120"/>
    </row>
    <row r="19" spans="3:15" s="4" customFormat="1" ht="11.5">
      <c r="C19" s="1001"/>
      <c r="D19" s="63" t="s">
        <v>182</v>
      </c>
      <c r="E19" s="64" t="s">
        <v>11</v>
      </c>
      <c r="F19" s="104">
        <f>10%*F17</f>
        <v>217.89</v>
      </c>
      <c r="G19" s="1251">
        <v>0</v>
      </c>
      <c r="H19" s="1275">
        <f>F19*G19</f>
        <v>0</v>
      </c>
      <c r="I19" s="1007">
        <v>10</v>
      </c>
      <c r="J19" s="120">
        <f>G19*I19</f>
        <v>0</v>
      </c>
      <c r="K19" s="122">
        <f>H19-J19</f>
        <v>0</v>
      </c>
    </row>
    <row r="20" spans="3:15" s="4" customFormat="1" ht="11.5">
      <c r="C20" s="1001"/>
      <c r="D20" s="63"/>
      <c r="E20" s="64"/>
      <c r="F20" s="104"/>
      <c r="G20" s="1251"/>
      <c r="H20" s="1275"/>
      <c r="I20" s="1007"/>
      <c r="J20" s="120"/>
      <c r="K20" s="120"/>
    </row>
    <row r="21" spans="3:15" s="4" customFormat="1" ht="11.5">
      <c r="C21" s="1001" t="s">
        <v>173</v>
      </c>
      <c r="D21" s="63" t="s">
        <v>183</v>
      </c>
      <c r="E21" s="64"/>
      <c r="F21" s="104"/>
      <c r="G21" s="1251"/>
      <c r="H21" s="1275"/>
      <c r="I21" s="1007"/>
      <c r="J21" s="120"/>
      <c r="K21" s="120"/>
    </row>
    <row r="22" spans="3:15" s="4" customFormat="1" ht="11.5">
      <c r="C22" s="1001"/>
      <c r="D22" s="63"/>
      <c r="E22" s="64"/>
      <c r="F22" s="104"/>
      <c r="G22" s="1251"/>
      <c r="H22" s="1275"/>
      <c r="I22" s="1007"/>
      <c r="J22" s="120"/>
      <c r="K22" s="120"/>
    </row>
    <row r="23" spans="3:15" s="4" customFormat="1" ht="11.5">
      <c r="C23" s="1001"/>
      <c r="D23" s="63" t="s">
        <v>631</v>
      </c>
      <c r="E23" s="64" t="s">
        <v>19</v>
      </c>
      <c r="F23" s="104">
        <f>F17*0.1+3.5*6*4</f>
        <v>301.89</v>
      </c>
      <c r="G23" s="1251">
        <v>0</v>
      </c>
      <c r="H23" s="1275">
        <f>F23*G23</f>
        <v>0</v>
      </c>
      <c r="I23" s="1007">
        <v>27</v>
      </c>
      <c r="J23" s="120">
        <f>G23*I23</f>
        <v>0</v>
      </c>
      <c r="K23" s="122">
        <f>H23-J23</f>
        <v>0</v>
      </c>
    </row>
    <row r="24" spans="3:15" s="4" customFormat="1" ht="11.5">
      <c r="C24" s="1001"/>
      <c r="D24" s="63"/>
      <c r="E24" s="64"/>
      <c r="F24" s="104"/>
      <c r="G24" s="1251"/>
      <c r="H24" s="1275"/>
      <c r="I24" s="1007"/>
      <c r="J24" s="120"/>
      <c r="K24" s="120"/>
    </row>
    <row r="25" spans="3:15" s="4" customFormat="1" ht="11.5">
      <c r="C25" s="1001"/>
      <c r="D25" s="63" t="s">
        <v>632</v>
      </c>
      <c r="E25" s="64" t="s">
        <v>11</v>
      </c>
      <c r="F25" s="104">
        <f>F17</f>
        <v>2178.88</v>
      </c>
      <c r="G25" s="1251">
        <v>0</v>
      </c>
      <c r="H25" s="1275">
        <f>F25*G25</f>
        <v>0</v>
      </c>
      <c r="I25" s="1007">
        <v>27</v>
      </c>
      <c r="J25" s="120">
        <f>G25*I25</f>
        <v>0</v>
      </c>
      <c r="K25" s="122">
        <f>H25-J25</f>
        <v>0</v>
      </c>
    </row>
    <row r="26" spans="3:15" s="4" customFormat="1" ht="11.5">
      <c r="C26" s="1001"/>
      <c r="D26" s="63"/>
      <c r="E26" s="64"/>
      <c r="F26" s="104"/>
      <c r="G26" s="1251"/>
      <c r="H26" s="1275"/>
      <c r="I26" s="1007"/>
      <c r="J26" s="120"/>
      <c r="K26" s="120"/>
    </row>
    <row r="27" spans="3:15" s="4" customFormat="1" ht="11.5">
      <c r="C27" s="1001" t="s">
        <v>184</v>
      </c>
      <c r="D27" s="63" t="s">
        <v>185</v>
      </c>
      <c r="E27" s="64"/>
      <c r="F27" s="104"/>
      <c r="G27" s="1251"/>
      <c r="H27" s="1275"/>
      <c r="I27" s="1007"/>
      <c r="J27" s="120"/>
      <c r="K27" s="120"/>
    </row>
    <row r="28" spans="3:15" s="4" customFormat="1" ht="11.5">
      <c r="C28" s="1001"/>
      <c r="D28" s="63"/>
      <c r="E28" s="64"/>
      <c r="F28" s="104"/>
      <c r="G28" s="1251"/>
      <c r="H28" s="1275"/>
      <c r="I28" s="1007"/>
      <c r="J28" s="120"/>
      <c r="K28" s="120"/>
    </row>
    <row r="29" spans="3:15" s="4" customFormat="1" ht="11.5">
      <c r="C29" s="1001"/>
      <c r="D29" s="63" t="s">
        <v>186</v>
      </c>
      <c r="E29" s="64" t="s">
        <v>11</v>
      </c>
      <c r="F29" s="104">
        <f>1425*2*0.2*1.1</f>
        <v>627</v>
      </c>
      <c r="G29" s="1251">
        <v>0</v>
      </c>
      <c r="H29" s="1275">
        <f>F29*G29</f>
        <v>0</v>
      </c>
      <c r="I29" s="1007"/>
      <c r="J29" s="120"/>
      <c r="K29" s="120"/>
    </row>
    <row r="30" spans="3:15" s="4" customFormat="1" ht="11.5">
      <c r="C30" s="1001"/>
      <c r="D30" s="63"/>
      <c r="E30" s="64"/>
      <c r="F30" s="104"/>
      <c r="G30" s="1251"/>
      <c r="H30" s="1275"/>
      <c r="I30" s="1007"/>
      <c r="J30" s="120"/>
      <c r="K30" s="120"/>
    </row>
    <row r="31" spans="3:15" s="4" customFormat="1" ht="11.5">
      <c r="C31" s="1001"/>
      <c r="D31" s="63" t="s">
        <v>187</v>
      </c>
      <c r="E31" s="64" t="s">
        <v>11</v>
      </c>
      <c r="F31" s="104">
        <f>1.2*0.2*715</f>
        <v>171.6</v>
      </c>
      <c r="G31" s="1251">
        <v>0</v>
      </c>
      <c r="H31" s="1275">
        <f>F31*G31</f>
        <v>0</v>
      </c>
      <c r="I31" s="1007">
        <v>11</v>
      </c>
      <c r="J31" s="120">
        <f>G31*I31</f>
        <v>0</v>
      </c>
      <c r="K31" s="122">
        <f>H31-J31</f>
        <v>0</v>
      </c>
    </row>
    <row r="32" spans="3:15" s="4" customFormat="1" ht="11.5">
      <c r="C32" s="1001"/>
      <c r="D32" s="63"/>
      <c r="E32" s="64"/>
      <c r="F32" s="104"/>
      <c r="G32" s="1251"/>
      <c r="H32" s="1275"/>
      <c r="I32" s="1007"/>
      <c r="J32" s="120"/>
      <c r="K32" s="120"/>
    </row>
    <row r="33" spans="3:11" s="4" customFormat="1" ht="11.5">
      <c r="C33" s="1001" t="s">
        <v>188</v>
      </c>
      <c r="D33" s="63" t="s">
        <v>594</v>
      </c>
      <c r="E33" s="64" t="s">
        <v>38</v>
      </c>
      <c r="F33" s="104">
        <f>715*1.2</f>
        <v>858</v>
      </c>
      <c r="G33" s="1251">
        <v>0</v>
      </c>
      <c r="H33" s="1275">
        <f>F33*G33</f>
        <v>0</v>
      </c>
      <c r="I33" s="1007">
        <v>285</v>
      </c>
      <c r="J33" s="120">
        <f>G33*I33</f>
        <v>0</v>
      </c>
      <c r="K33" s="122">
        <f>H33-J33</f>
        <v>0</v>
      </c>
    </row>
    <row r="34" spans="3:11" s="4" customFormat="1" ht="11" customHeight="1">
      <c r="C34" s="1001"/>
      <c r="D34" s="63"/>
      <c r="E34" s="64"/>
      <c r="F34" s="104"/>
      <c r="G34" s="1251"/>
      <c r="H34" s="1275"/>
      <c r="I34" s="1007"/>
      <c r="J34" s="120"/>
      <c r="K34" s="120"/>
    </row>
    <row r="35" spans="3:11" s="4" customFormat="1" ht="11.5">
      <c r="C35" s="1001" t="s">
        <v>189</v>
      </c>
      <c r="D35" s="63" t="s">
        <v>190</v>
      </c>
      <c r="E35" s="64"/>
      <c r="F35" s="104"/>
      <c r="G35" s="1251"/>
      <c r="H35" s="1275"/>
      <c r="I35" s="1007"/>
      <c r="J35" s="120"/>
      <c r="K35" s="120"/>
    </row>
    <row r="36" spans="3:11" s="4" customFormat="1" ht="10.25" customHeight="1">
      <c r="C36" s="1001"/>
      <c r="D36" s="63"/>
      <c r="E36" s="64"/>
      <c r="F36" s="104"/>
      <c r="G36" s="1251"/>
      <c r="H36" s="1275"/>
      <c r="I36" s="1007"/>
      <c r="J36" s="120"/>
      <c r="K36" s="120"/>
    </row>
    <row r="37" spans="3:11" s="4" customFormat="1" ht="11.5">
      <c r="C37" s="1001"/>
      <c r="D37" s="63" t="s">
        <v>633</v>
      </c>
      <c r="E37" s="64" t="s">
        <v>71</v>
      </c>
      <c r="F37" s="104">
        <f>F17*3.95</f>
        <v>8606.58</v>
      </c>
      <c r="G37" s="1251">
        <v>0</v>
      </c>
      <c r="H37" s="1275">
        <f>F37*G37</f>
        <v>0</v>
      </c>
      <c r="I37" s="1007">
        <v>106</v>
      </c>
      <c r="J37" s="120">
        <f>G37*I37</f>
        <v>0</v>
      </c>
      <c r="K37" s="122">
        <f>H37-J37</f>
        <v>0</v>
      </c>
    </row>
    <row r="38" spans="3:11" s="4" customFormat="1" ht="11.5">
      <c r="C38" s="1001"/>
      <c r="D38" s="63"/>
      <c r="E38" s="64"/>
      <c r="F38" s="104"/>
      <c r="G38" s="1251"/>
      <c r="H38" s="1275"/>
      <c r="I38" s="1007"/>
      <c r="J38" s="120"/>
      <c r="K38" s="120"/>
    </row>
    <row r="39" spans="3:11" s="4" customFormat="1" ht="11.5">
      <c r="C39" s="1001" t="s">
        <v>191</v>
      </c>
      <c r="D39" s="63" t="s">
        <v>192</v>
      </c>
      <c r="E39" s="64" t="s">
        <v>11</v>
      </c>
      <c r="F39" s="104">
        <f>F17</f>
        <v>2178.88</v>
      </c>
      <c r="G39" s="1251">
        <v>0</v>
      </c>
      <c r="H39" s="1275">
        <f>F39*G39</f>
        <v>0</v>
      </c>
      <c r="I39" s="1007">
        <v>393</v>
      </c>
      <c r="J39" s="120">
        <f>G39*I39</f>
        <v>0</v>
      </c>
      <c r="K39" s="122">
        <f>H39-J39</f>
        <v>0</v>
      </c>
    </row>
    <row r="40" spans="3:11" s="4" customFormat="1" ht="11.5">
      <c r="C40" s="1001"/>
      <c r="D40" s="63"/>
      <c r="E40" s="64"/>
      <c r="F40" s="104"/>
      <c r="G40" s="1251"/>
      <c r="H40" s="1275"/>
      <c r="I40" s="1007"/>
      <c r="J40" s="120"/>
      <c r="K40" s="120"/>
    </row>
    <row r="41" spans="3:11" s="4" customFormat="1" ht="11.5">
      <c r="C41" s="1001"/>
      <c r="D41" s="63"/>
      <c r="E41" s="64"/>
      <c r="F41" s="104"/>
      <c r="G41" s="1251"/>
      <c r="H41" s="1275"/>
      <c r="I41" s="1007"/>
      <c r="J41" s="120"/>
      <c r="K41" s="122"/>
    </row>
    <row r="42" spans="3:11" s="4" customFormat="1" ht="11.5">
      <c r="C42" s="1001"/>
      <c r="D42" s="63"/>
      <c r="E42" s="64"/>
      <c r="F42" s="104"/>
      <c r="G42" s="1251"/>
      <c r="H42" s="1275"/>
      <c r="I42" s="1007"/>
      <c r="J42" s="120"/>
      <c r="K42" s="122"/>
    </row>
    <row r="43" spans="3:11" s="4" customFormat="1" ht="11.5">
      <c r="C43" s="1001"/>
      <c r="D43" s="63"/>
      <c r="E43" s="64"/>
      <c r="F43" s="104"/>
      <c r="G43" s="1251"/>
      <c r="H43" s="1275"/>
      <c r="I43" s="1007"/>
      <c r="J43" s="120"/>
      <c r="K43" s="122"/>
    </row>
    <row r="44" spans="3:11" s="4" customFormat="1" ht="11.5">
      <c r="C44" s="1001"/>
      <c r="D44" s="63"/>
      <c r="E44" s="64"/>
      <c r="F44" s="104"/>
      <c r="G44" s="1251"/>
      <c r="H44" s="1275"/>
      <c r="I44" s="1007"/>
      <c r="J44" s="120"/>
      <c r="K44" s="122"/>
    </row>
    <row r="45" spans="3:11" s="4" customFormat="1" ht="11.5">
      <c r="C45" s="1001"/>
      <c r="D45" s="63"/>
      <c r="E45" s="64"/>
      <c r="F45" s="104"/>
      <c r="G45" s="1251"/>
      <c r="H45" s="1275"/>
      <c r="I45" s="1007"/>
      <c r="J45" s="120"/>
      <c r="K45" s="122"/>
    </row>
    <row r="46" spans="3:11" s="4" customFormat="1" ht="11.5">
      <c r="C46" s="1001"/>
      <c r="D46" s="63"/>
      <c r="E46" s="64"/>
      <c r="F46" s="104"/>
      <c r="G46" s="1251"/>
      <c r="H46" s="1275"/>
      <c r="I46" s="1007"/>
      <c r="J46" s="120"/>
      <c r="K46" s="122"/>
    </row>
    <row r="47" spans="3:11" s="4" customFormat="1" ht="10.25" customHeight="1">
      <c r="C47" s="1001"/>
      <c r="D47" s="63"/>
      <c r="E47" s="64"/>
      <c r="F47" s="104"/>
      <c r="G47" s="1251"/>
      <c r="H47" s="1275"/>
      <c r="I47" s="1007"/>
      <c r="J47" s="120"/>
      <c r="K47" s="120"/>
    </row>
    <row r="48" spans="3:11" s="4" customFormat="1" ht="11" customHeight="1" thickBot="1">
      <c r="C48" s="1035"/>
      <c r="D48" s="63"/>
      <c r="E48" s="890"/>
      <c r="F48" s="104"/>
      <c r="G48" s="1251"/>
      <c r="H48" s="1275"/>
      <c r="I48" s="1086"/>
      <c r="J48" s="891"/>
      <c r="K48" s="891"/>
    </row>
    <row r="49" spans="3:11" s="21" customFormat="1" ht="17.399999999999999" customHeight="1" thickBot="1">
      <c r="C49" s="1106" t="s">
        <v>145</v>
      </c>
      <c r="D49" s="981"/>
      <c r="E49" s="1107"/>
      <c r="F49" s="983"/>
      <c r="G49" s="1277"/>
      <c r="H49" s="1278">
        <f>SUM(H8:H48)</f>
        <v>0</v>
      </c>
      <c r="I49" s="1087"/>
      <c r="J49" s="892">
        <f>SUM(J12:J48)</f>
        <v>0</v>
      </c>
      <c r="K49" s="892">
        <f>SUM(K12:K48)</f>
        <v>0</v>
      </c>
    </row>
    <row r="50" spans="3:11" s="4" customFormat="1" ht="11.5">
      <c r="C50" s="1009"/>
      <c r="D50" s="1009"/>
      <c r="E50" s="1009"/>
      <c r="F50" s="1008"/>
      <c r="G50" s="1009"/>
      <c r="H50" s="1088"/>
    </row>
  </sheetData>
  <pageMargins left="0.5905524831078367" right="0.27559115878365709" top="0.3937016554052245" bottom="0.3937016554052245" header="0.3" footer="0.3"/>
  <pageSetup paperSize="9" scale="58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67E79-41A1-4868-BC0A-794167637E2D}">
  <sheetPr>
    <pageSetUpPr fitToPage="1"/>
  </sheetPr>
  <dimension ref="A1:M34"/>
  <sheetViews>
    <sheetView view="pageBreakPreview" topLeftCell="A5" zoomScaleNormal="70" zoomScaleSheetLayoutView="100" workbookViewId="0">
      <selection activeCell="B3" sqref="B3"/>
    </sheetView>
  </sheetViews>
  <sheetFormatPr defaultColWidth="8.90625" defaultRowHeight="15.5"/>
  <cols>
    <col min="1" max="1" width="1.6328125" style="654" customWidth="1"/>
    <col min="2" max="2" width="11" style="640" customWidth="1"/>
    <col min="3" max="3" width="38.36328125" style="640" customWidth="1"/>
    <col min="4" max="4" width="7.90625" style="640" customWidth="1"/>
    <col min="5" max="5" width="11" style="688" customWidth="1"/>
    <col min="6" max="6" width="10.54296875" style="640" customWidth="1"/>
    <col min="7" max="7" width="17" style="685" customWidth="1"/>
    <col min="8" max="8" width="11.90625" style="686" hidden="1" customWidth="1"/>
    <col min="9" max="9" width="14.453125" style="686" hidden="1" customWidth="1"/>
    <col min="10" max="10" width="11.453125" style="686" hidden="1" customWidth="1"/>
    <col min="11" max="11" width="25.08984375" style="686" customWidth="1"/>
    <col min="12" max="16384" width="8.90625" style="686"/>
  </cols>
  <sheetData>
    <row r="1" spans="1:13" s="657" customFormat="1" ht="16" thickBot="1">
      <c r="A1" s="641"/>
      <c r="B1" s="639"/>
      <c r="C1" s="640"/>
      <c r="D1" s="641"/>
      <c r="E1" s="687"/>
      <c r="F1" s="641"/>
      <c r="G1" s="656"/>
    </row>
    <row r="2" spans="1:13" s="657" customFormat="1">
      <c r="A2" s="641"/>
      <c r="B2" s="900" t="s">
        <v>782</v>
      </c>
      <c r="C2" s="1053"/>
      <c r="D2" s="1053"/>
      <c r="E2" s="1112"/>
      <c r="F2" s="1053"/>
      <c r="G2" s="1056"/>
    </row>
    <row r="3" spans="1:13" s="657" customFormat="1">
      <c r="A3" s="641"/>
      <c r="B3" s="904" t="s">
        <v>482</v>
      </c>
      <c r="C3" s="641"/>
      <c r="D3" s="641"/>
      <c r="E3" s="687"/>
      <c r="F3" s="641"/>
      <c r="G3" s="1057"/>
    </row>
    <row r="4" spans="1:13" s="657" customFormat="1" ht="20.149999999999999" customHeight="1">
      <c r="A4" s="641"/>
      <c r="B4" s="1113"/>
      <c r="C4" s="640"/>
      <c r="D4" s="640"/>
      <c r="E4" s="688"/>
      <c r="F4" s="640"/>
      <c r="G4" s="1059" t="s">
        <v>72</v>
      </c>
    </row>
    <row r="5" spans="1:13" s="660" customFormat="1" ht="30" customHeight="1">
      <c r="B5" s="1114" t="s">
        <v>0</v>
      </c>
      <c r="C5" s="1061" t="s">
        <v>2</v>
      </c>
      <c r="D5" s="1061" t="s">
        <v>3</v>
      </c>
      <c r="E5" s="1115" t="s">
        <v>4</v>
      </c>
      <c r="F5" s="1061" t="s">
        <v>5</v>
      </c>
      <c r="G5" s="1063" t="s">
        <v>6</v>
      </c>
      <c r="H5" s="1044" t="s">
        <v>217</v>
      </c>
      <c r="I5" s="661" t="s">
        <v>216</v>
      </c>
      <c r="J5" s="661" t="s">
        <v>218</v>
      </c>
    </row>
    <row r="6" spans="1:13" s="662" customFormat="1" ht="9.75" customHeight="1">
      <c r="B6" s="1116"/>
      <c r="C6" s="1065"/>
      <c r="D6" s="1065"/>
      <c r="E6" s="1117"/>
      <c r="F6" s="1065"/>
      <c r="G6" s="1068"/>
      <c r="H6" s="1045"/>
      <c r="I6" s="663"/>
      <c r="J6" s="663"/>
    </row>
    <row r="7" spans="1:13" s="660" customFormat="1" ht="21.65" customHeight="1">
      <c r="B7" s="1097" t="s">
        <v>503</v>
      </c>
      <c r="C7" s="1098" t="s">
        <v>504</v>
      </c>
      <c r="D7" s="1099"/>
      <c r="E7" s="731"/>
      <c r="F7" s="791"/>
      <c r="G7" s="1118" t="s">
        <v>214</v>
      </c>
      <c r="H7" s="1046"/>
      <c r="I7" s="664"/>
      <c r="J7" s="664"/>
      <c r="K7" s="689"/>
      <c r="L7" s="689"/>
      <c r="M7" s="689"/>
    </row>
    <row r="8" spans="1:13" s="660" customFormat="1" ht="15" customHeight="1">
      <c r="B8" s="1102"/>
      <c r="C8" s="732"/>
      <c r="D8" s="64"/>
      <c r="E8" s="104"/>
      <c r="F8" s="66"/>
      <c r="G8" s="1103"/>
      <c r="H8" s="1048"/>
      <c r="I8" s="667"/>
      <c r="J8" s="667"/>
      <c r="K8" s="689"/>
      <c r="L8" s="689"/>
      <c r="M8" s="689"/>
    </row>
    <row r="9" spans="1:13" s="660" customFormat="1">
      <c r="B9" s="1001" t="s">
        <v>505</v>
      </c>
      <c r="C9" s="95" t="s">
        <v>506</v>
      </c>
      <c r="D9" s="64"/>
      <c r="E9" s="104"/>
      <c r="F9" s="66"/>
      <c r="G9" s="1103"/>
      <c r="H9" s="1048"/>
      <c r="I9" s="667"/>
      <c r="J9" s="667"/>
    </row>
    <row r="10" spans="1:13" s="660" customFormat="1">
      <c r="B10" s="1001"/>
      <c r="C10" s="95"/>
      <c r="D10" s="64"/>
      <c r="E10" s="104"/>
      <c r="F10" s="66"/>
      <c r="G10" s="1103"/>
      <c r="H10" s="1048"/>
      <c r="I10" s="667"/>
      <c r="J10" s="667"/>
    </row>
    <row r="11" spans="1:13" s="660" customFormat="1">
      <c r="B11" s="1001" t="s">
        <v>508</v>
      </c>
      <c r="C11" s="63" t="s">
        <v>507</v>
      </c>
      <c r="D11" s="64" t="s">
        <v>19</v>
      </c>
      <c r="E11" s="104">
        <f>100*100*0.5</f>
        <v>5000</v>
      </c>
      <c r="F11" s="1279">
        <v>0</v>
      </c>
      <c r="G11" s="1280">
        <f>E11*F11</f>
        <v>0</v>
      </c>
      <c r="H11" s="1048"/>
      <c r="I11" s="667"/>
      <c r="J11" s="667"/>
      <c r="L11" s="641" t="s">
        <v>620</v>
      </c>
    </row>
    <row r="12" spans="1:13" s="660" customFormat="1">
      <c r="B12" s="1001"/>
      <c r="C12" s="63"/>
      <c r="D12" s="64"/>
      <c r="E12" s="104"/>
      <c r="F12" s="1279"/>
      <c r="G12" s="1280"/>
      <c r="H12" s="1048"/>
      <c r="I12" s="667"/>
      <c r="J12" s="667"/>
    </row>
    <row r="13" spans="1:13" s="670" customFormat="1" ht="23">
      <c r="B13" s="1001" t="s">
        <v>509</v>
      </c>
      <c r="C13" s="63" t="s">
        <v>510</v>
      </c>
      <c r="D13" s="64" t="s">
        <v>484</v>
      </c>
      <c r="E13" s="104">
        <v>1</v>
      </c>
      <c r="F13" s="1281">
        <v>50000</v>
      </c>
      <c r="G13" s="1280">
        <f>E13*F13</f>
        <v>50000</v>
      </c>
      <c r="H13" s="1048">
        <v>2493.3000000000002</v>
      </c>
      <c r="I13" s="667">
        <f>F13*H13</f>
        <v>124665000</v>
      </c>
      <c r="J13" s="668">
        <f>G13-I13</f>
        <v>-124615000</v>
      </c>
      <c r="K13" s="691"/>
    </row>
    <row r="14" spans="1:13" s="660" customFormat="1" ht="11.4" customHeight="1">
      <c r="B14" s="1105"/>
      <c r="C14" s="60"/>
      <c r="D14" s="61"/>
      <c r="E14" s="104"/>
      <c r="F14" s="1281"/>
      <c r="G14" s="1280"/>
      <c r="H14" s="1047"/>
      <c r="I14" s="667"/>
      <c r="J14" s="667"/>
    </row>
    <row r="15" spans="1:13" s="660" customFormat="1" ht="23">
      <c r="B15" s="1001" t="s">
        <v>509</v>
      </c>
      <c r="C15" s="63" t="s">
        <v>511</v>
      </c>
      <c r="D15" s="64" t="s">
        <v>484</v>
      </c>
      <c r="E15" s="104">
        <v>1</v>
      </c>
      <c r="F15" s="1281">
        <v>50000</v>
      </c>
      <c r="G15" s="1280">
        <f>E15*F15</f>
        <v>50000</v>
      </c>
      <c r="H15" s="1108"/>
      <c r="I15" s="667"/>
      <c r="J15" s="667"/>
    </row>
    <row r="16" spans="1:13" s="660" customFormat="1">
      <c r="B16" s="1119"/>
      <c r="C16" s="646"/>
      <c r="D16" s="644"/>
      <c r="E16" s="690"/>
      <c r="F16" s="1282"/>
      <c r="G16" s="1283"/>
      <c r="H16" s="1108"/>
      <c r="I16" s="667"/>
      <c r="J16" s="667"/>
    </row>
    <row r="17" spans="2:10" s="660" customFormat="1">
      <c r="B17" s="1119"/>
      <c r="C17" s="646"/>
      <c r="D17" s="644"/>
      <c r="E17" s="690"/>
      <c r="F17" s="1282"/>
      <c r="G17" s="1283"/>
      <c r="H17" s="1108">
        <v>10</v>
      </c>
      <c r="I17" s="667">
        <f>F17*H17</f>
        <v>0</v>
      </c>
      <c r="J17" s="668">
        <f>G17-I17</f>
        <v>0</v>
      </c>
    </row>
    <row r="18" spans="2:10" s="660" customFormat="1" ht="18" customHeight="1">
      <c r="B18" s="1119"/>
      <c r="C18" s="646"/>
      <c r="D18" s="644"/>
      <c r="E18" s="690"/>
      <c r="F18" s="1282"/>
      <c r="G18" s="1283"/>
      <c r="H18" s="1108"/>
      <c r="I18" s="667"/>
      <c r="J18" s="667"/>
    </row>
    <row r="19" spans="2:10" s="660" customFormat="1">
      <c r="B19" s="1119"/>
      <c r="C19" s="646"/>
      <c r="D19" s="644"/>
      <c r="E19" s="690"/>
      <c r="F19" s="1282"/>
      <c r="G19" s="1283"/>
      <c r="H19" s="1108">
        <v>10</v>
      </c>
      <c r="I19" s="667">
        <f>F19*H19</f>
        <v>0</v>
      </c>
      <c r="J19" s="668">
        <f>G19-I19</f>
        <v>0</v>
      </c>
    </row>
    <row r="20" spans="2:10" s="660" customFormat="1">
      <c r="B20" s="1119"/>
      <c r="C20" s="646"/>
      <c r="D20" s="644"/>
      <c r="E20" s="690"/>
      <c r="F20" s="1282"/>
      <c r="G20" s="1283"/>
      <c r="H20" s="1108"/>
      <c r="I20" s="667"/>
      <c r="J20" s="668"/>
    </row>
    <row r="21" spans="2:10" s="660" customFormat="1">
      <c r="B21" s="1119"/>
      <c r="C21" s="646"/>
      <c r="D21" s="644"/>
      <c r="E21" s="690"/>
      <c r="F21" s="1282"/>
      <c r="G21" s="1283"/>
      <c r="H21" s="1108"/>
      <c r="I21" s="667"/>
      <c r="J21" s="668"/>
    </row>
    <row r="22" spans="2:10" s="660" customFormat="1">
      <c r="B22" s="1119"/>
      <c r="C22" s="646"/>
      <c r="D22" s="644"/>
      <c r="E22" s="690"/>
      <c r="F22" s="1282"/>
      <c r="G22" s="1283"/>
      <c r="H22" s="1108"/>
      <c r="I22" s="667"/>
      <c r="J22" s="668"/>
    </row>
    <row r="23" spans="2:10" s="660" customFormat="1">
      <c r="B23" s="1119"/>
      <c r="C23" s="646"/>
      <c r="D23" s="644"/>
      <c r="E23" s="690"/>
      <c r="F23" s="1282"/>
      <c r="G23" s="1283"/>
      <c r="H23" s="1108"/>
      <c r="I23" s="667"/>
      <c r="J23" s="668"/>
    </row>
    <row r="24" spans="2:10" s="660" customFormat="1">
      <c r="B24" s="1119"/>
      <c r="C24" s="646"/>
      <c r="D24" s="644"/>
      <c r="E24" s="690"/>
      <c r="F24" s="1282"/>
      <c r="G24" s="1283"/>
      <c r="H24" s="1108"/>
      <c r="I24" s="667"/>
      <c r="J24" s="668"/>
    </row>
    <row r="25" spans="2:10" s="660" customFormat="1">
      <c r="B25" s="1119"/>
      <c r="C25" s="646"/>
      <c r="D25" s="644"/>
      <c r="E25" s="690"/>
      <c r="F25" s="1282"/>
      <c r="G25" s="1283"/>
      <c r="H25" s="1108"/>
      <c r="I25" s="667"/>
      <c r="J25" s="668"/>
    </row>
    <row r="26" spans="2:10" s="660" customFormat="1">
      <c r="B26" s="1119"/>
      <c r="C26" s="646"/>
      <c r="D26" s="644"/>
      <c r="E26" s="690"/>
      <c r="F26" s="1282"/>
      <c r="G26" s="1283"/>
      <c r="H26" s="1108"/>
      <c r="I26" s="667"/>
      <c r="J26" s="668"/>
    </row>
    <row r="27" spans="2:10" s="660" customFormat="1">
      <c r="B27" s="1119"/>
      <c r="C27" s="646"/>
      <c r="D27" s="644"/>
      <c r="E27" s="690"/>
      <c r="F27" s="1282"/>
      <c r="G27" s="1283"/>
      <c r="H27" s="1108"/>
      <c r="I27" s="667"/>
      <c r="J27" s="668"/>
    </row>
    <row r="28" spans="2:10" s="660" customFormat="1">
      <c r="B28" s="1119"/>
      <c r="C28" s="646"/>
      <c r="D28" s="644"/>
      <c r="E28" s="690"/>
      <c r="F28" s="1282"/>
      <c r="G28" s="1283"/>
      <c r="H28" s="1108"/>
      <c r="I28" s="667"/>
      <c r="J28" s="668"/>
    </row>
    <row r="29" spans="2:10" s="660" customFormat="1">
      <c r="B29" s="1119"/>
      <c r="C29" s="646"/>
      <c r="D29" s="644"/>
      <c r="E29" s="690"/>
      <c r="F29" s="1282"/>
      <c r="G29" s="1283"/>
      <c r="H29" s="1108"/>
      <c r="I29" s="667"/>
      <c r="J29" s="668"/>
    </row>
    <row r="30" spans="2:10" s="660" customFormat="1">
      <c r="B30" s="1119"/>
      <c r="C30" s="646"/>
      <c r="D30" s="644"/>
      <c r="E30" s="690"/>
      <c r="F30" s="1282"/>
      <c r="G30" s="1283"/>
      <c r="H30" s="1108"/>
      <c r="I30" s="667"/>
      <c r="J30" s="668"/>
    </row>
    <row r="31" spans="2:10" s="660" customFormat="1" ht="10.25" customHeight="1">
      <c r="B31" s="1119"/>
      <c r="C31" s="646"/>
      <c r="D31" s="644"/>
      <c r="E31" s="690"/>
      <c r="F31" s="1282"/>
      <c r="G31" s="1283"/>
      <c r="H31" s="1108"/>
      <c r="I31" s="667"/>
      <c r="J31" s="667"/>
    </row>
    <row r="32" spans="2:10" s="660" customFormat="1" ht="11" customHeight="1" thickBot="1">
      <c r="B32" s="1120"/>
      <c r="C32" s="646"/>
      <c r="D32" s="692"/>
      <c r="E32" s="690"/>
      <c r="F32" s="1282"/>
      <c r="G32" s="1283"/>
      <c r="H32" s="1109"/>
      <c r="I32" s="693"/>
      <c r="J32" s="693"/>
    </row>
    <row r="33" spans="2:10" s="676" customFormat="1" ht="17.399999999999999" customHeight="1" thickBot="1">
      <c r="B33" s="1121" t="s">
        <v>145</v>
      </c>
      <c r="C33" s="1082"/>
      <c r="D33" s="1122"/>
      <c r="E33" s="1123"/>
      <c r="F33" s="1284"/>
      <c r="G33" s="1285">
        <v>0</v>
      </c>
      <c r="H33" s="751"/>
      <c r="I33" s="694">
        <f>SUM(I13:I32)</f>
        <v>124665000</v>
      </c>
      <c r="J33" s="694">
        <f>SUM(J13:J32)</f>
        <v>-124615000</v>
      </c>
    </row>
    <row r="34" spans="2:10" s="660" customFormat="1">
      <c r="B34" s="691"/>
      <c r="C34" s="691"/>
      <c r="D34" s="691"/>
      <c r="E34" s="1110"/>
      <c r="F34" s="691"/>
      <c r="G34" s="1111"/>
    </row>
  </sheetData>
  <pageMargins left="0.7" right="0.7" top="0.75" bottom="0.75" header="0.3" footer="0.3"/>
  <pageSetup paperSize="9" scale="91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3">
    <pageSetUpPr fitToPage="1"/>
  </sheetPr>
  <dimension ref="A1:U89"/>
  <sheetViews>
    <sheetView view="pageBreakPreview" topLeftCell="A62" zoomScale="98" zoomScaleNormal="100" zoomScaleSheetLayoutView="98" workbookViewId="0">
      <selection activeCell="B3" sqref="B3"/>
    </sheetView>
  </sheetViews>
  <sheetFormatPr defaultColWidth="8.90625" defaultRowHeight="11.5"/>
  <cols>
    <col min="1" max="1" width="1.6328125" style="20" customWidth="1"/>
    <col min="2" max="2" width="7.90625" style="24" customWidth="1"/>
    <col min="3" max="3" width="42.54296875" style="24" customWidth="1"/>
    <col min="4" max="4" width="7.90625" style="24" customWidth="1"/>
    <col min="5" max="5" width="9.54296875" style="599" customWidth="1"/>
    <col min="6" max="6" width="12.54296875" style="24" customWidth="1"/>
    <col min="7" max="7" width="19.08984375" style="24" customWidth="1"/>
    <col min="8" max="8" width="13" style="11" hidden="1" customWidth="1"/>
    <col min="9" max="9" width="16" style="11" hidden="1" customWidth="1"/>
    <col min="10" max="10" width="13" style="11" hidden="1" customWidth="1"/>
    <col min="11" max="16384" width="8.90625" style="11"/>
  </cols>
  <sheetData>
    <row r="1" spans="1:13" s="8" customFormat="1" ht="12" thickBot="1">
      <c r="A1" s="18"/>
      <c r="B1" s="23"/>
      <c r="C1" s="24"/>
      <c r="D1" s="18"/>
      <c r="E1" s="596"/>
      <c r="F1" s="18"/>
      <c r="G1" s="18"/>
    </row>
    <row r="2" spans="1:13" s="8" customFormat="1">
      <c r="A2" s="18"/>
      <c r="B2" s="900" t="s">
        <v>782</v>
      </c>
      <c r="C2" s="943"/>
      <c r="D2" s="943"/>
      <c r="E2" s="1010"/>
      <c r="F2" s="943"/>
      <c r="G2" s="992"/>
    </row>
    <row r="3" spans="1:13" s="8" customFormat="1">
      <c r="A3" s="18"/>
      <c r="B3" s="904" t="s">
        <v>482</v>
      </c>
      <c r="C3" s="18"/>
      <c r="D3" s="18"/>
      <c r="E3" s="596"/>
      <c r="F3" s="18"/>
      <c r="G3" s="993"/>
    </row>
    <row r="4" spans="1:13" s="8" customFormat="1" ht="20.149999999999999" customHeight="1">
      <c r="A4" s="18"/>
      <c r="B4" s="1091"/>
      <c r="C4" s="24"/>
      <c r="D4" s="24"/>
      <c r="E4" s="599"/>
      <c r="F4" s="24"/>
      <c r="G4" s="967" t="s">
        <v>74</v>
      </c>
    </row>
    <row r="5" spans="1:13" s="14" customFormat="1" ht="30" customHeight="1">
      <c r="A5" s="4"/>
      <c r="B5" s="1093" t="s">
        <v>0</v>
      </c>
      <c r="C5" s="626" t="s">
        <v>2</v>
      </c>
      <c r="D5" s="626" t="s">
        <v>3</v>
      </c>
      <c r="E5" s="627" t="s">
        <v>4</v>
      </c>
      <c r="F5" s="626" t="s">
        <v>5</v>
      </c>
      <c r="G5" s="969" t="s">
        <v>6</v>
      </c>
      <c r="H5" s="618" t="s">
        <v>217</v>
      </c>
      <c r="I5" s="130" t="s">
        <v>216</v>
      </c>
      <c r="J5" s="130" t="s">
        <v>218</v>
      </c>
    </row>
    <row r="6" spans="1:13" s="15" customFormat="1" ht="20.149999999999999" customHeight="1">
      <c r="A6" s="5"/>
      <c r="B6" s="1095"/>
      <c r="C6" s="701"/>
      <c r="D6" s="701"/>
      <c r="E6" s="702"/>
      <c r="F6" s="700"/>
      <c r="G6" s="971"/>
      <c r="H6" s="619"/>
      <c r="I6" s="133"/>
      <c r="J6" s="133"/>
    </row>
    <row r="7" spans="1:13" s="15" customFormat="1" ht="20.149999999999999" customHeight="1">
      <c r="A7" s="5"/>
      <c r="B7" s="1124"/>
      <c r="C7" s="697"/>
      <c r="D7" s="697"/>
      <c r="E7" s="703"/>
      <c r="F7" s="697"/>
      <c r="G7" s="1125"/>
      <c r="H7" s="698"/>
      <c r="I7" s="699"/>
      <c r="J7" s="699"/>
    </row>
    <row r="8" spans="1:13" s="14" customFormat="1">
      <c r="A8" s="4"/>
      <c r="B8" s="1003" t="s">
        <v>154</v>
      </c>
      <c r="C8" s="95" t="s">
        <v>75</v>
      </c>
      <c r="D8" s="64"/>
      <c r="E8" s="104"/>
      <c r="F8" s="66"/>
      <c r="G8" s="978"/>
      <c r="H8" s="620"/>
      <c r="I8" s="134"/>
      <c r="J8" s="134"/>
    </row>
    <row r="9" spans="1:13" s="14" customFormat="1" ht="11.4" customHeight="1">
      <c r="A9" s="4"/>
      <c r="B9" s="1105"/>
      <c r="C9" s="60"/>
      <c r="D9" s="61"/>
      <c r="E9" s="104"/>
      <c r="F9" s="61"/>
      <c r="G9" s="978"/>
      <c r="H9" s="621"/>
      <c r="I9" s="135"/>
      <c r="J9" s="135"/>
    </row>
    <row r="10" spans="1:13" s="14" customFormat="1" ht="23">
      <c r="A10" s="4"/>
      <c r="B10" s="1003" t="s">
        <v>567</v>
      </c>
      <c r="C10" s="95" t="s">
        <v>76</v>
      </c>
      <c r="D10" s="64"/>
      <c r="E10" s="104"/>
      <c r="F10" s="66"/>
      <c r="G10" s="978"/>
      <c r="H10" s="622"/>
      <c r="I10" s="135"/>
      <c r="J10" s="135"/>
    </row>
    <row r="11" spans="1:13" s="14" customFormat="1" ht="11.4" customHeight="1">
      <c r="A11" s="4"/>
      <c r="B11" s="1105"/>
      <c r="C11" s="60"/>
      <c r="D11" s="61"/>
      <c r="E11" s="104"/>
      <c r="F11" s="61"/>
      <c r="G11" s="978"/>
      <c r="H11" s="621"/>
      <c r="I11" s="135"/>
      <c r="J11" s="135"/>
    </row>
    <row r="12" spans="1:13" s="14" customFormat="1" ht="23">
      <c r="A12" s="4"/>
      <c r="B12" s="1001"/>
      <c r="C12" s="63" t="s">
        <v>77</v>
      </c>
      <c r="D12" s="64"/>
      <c r="E12" s="104"/>
      <c r="F12" s="66"/>
      <c r="G12" s="978"/>
      <c r="H12" s="622"/>
      <c r="I12" s="135"/>
      <c r="J12" s="135"/>
    </row>
    <row r="13" spans="1:13" s="14" customFormat="1" ht="11.4" customHeight="1">
      <c r="A13" s="4"/>
      <c r="B13" s="1105"/>
      <c r="C13" s="60"/>
      <c r="D13" s="61"/>
      <c r="E13" s="104"/>
      <c r="F13" s="88"/>
      <c r="G13" s="978"/>
      <c r="H13" s="621"/>
      <c r="I13" s="135"/>
      <c r="J13" s="135"/>
    </row>
    <row r="14" spans="1:13" s="14" customFormat="1">
      <c r="A14" s="4"/>
      <c r="B14" s="1001"/>
      <c r="C14" s="63" t="s">
        <v>595</v>
      </c>
      <c r="D14" s="64" t="s">
        <v>19</v>
      </c>
      <c r="E14" s="104">
        <f>(5000+5450*0.2)*1.1</f>
        <v>6699</v>
      </c>
      <c r="F14" s="1286">
        <v>0</v>
      </c>
      <c r="G14" s="978">
        <f>E14*F14</f>
        <v>0</v>
      </c>
      <c r="H14" s="622"/>
      <c r="I14" s="122">
        <f>F14*H14</f>
        <v>0</v>
      </c>
      <c r="J14" s="122">
        <f>G14-I14</f>
        <v>0</v>
      </c>
      <c r="M14" s="8" t="s">
        <v>634</v>
      </c>
    </row>
    <row r="15" spans="1:13" s="14" customFormat="1">
      <c r="A15" s="4"/>
      <c r="B15" s="1001"/>
      <c r="C15" s="63"/>
      <c r="D15" s="64"/>
      <c r="E15" s="104"/>
      <c r="F15" s="1286"/>
      <c r="G15" s="978"/>
      <c r="H15" s="622"/>
      <c r="I15" s="135"/>
      <c r="J15" s="135"/>
    </row>
    <row r="16" spans="1:13" s="14" customFormat="1" ht="23">
      <c r="A16" s="4"/>
      <c r="B16" s="1003" t="s">
        <v>568</v>
      </c>
      <c r="C16" s="95" t="s">
        <v>78</v>
      </c>
      <c r="D16" s="64"/>
      <c r="E16" s="104"/>
      <c r="F16" s="1287"/>
      <c r="G16" s="978"/>
      <c r="H16" s="622"/>
      <c r="I16" s="135"/>
      <c r="J16" s="135"/>
    </row>
    <row r="17" spans="1:21" s="14" customFormat="1" ht="11.4" customHeight="1">
      <c r="A17" s="4"/>
      <c r="B17" s="1105"/>
      <c r="C17" s="60"/>
      <c r="D17" s="61"/>
      <c r="E17" s="104"/>
      <c r="F17" s="1287"/>
      <c r="G17" s="978"/>
      <c r="H17" s="621"/>
      <c r="I17" s="135"/>
      <c r="J17" s="135"/>
    </row>
    <row r="18" spans="1:21" s="14" customFormat="1">
      <c r="A18" s="4"/>
      <c r="B18" s="1001"/>
      <c r="C18" s="63" t="s">
        <v>79</v>
      </c>
      <c r="D18" s="64" t="s">
        <v>19</v>
      </c>
      <c r="E18" s="104">
        <f>0.1*E14</f>
        <v>669.9</v>
      </c>
      <c r="F18" s="1286">
        <v>0</v>
      </c>
      <c r="G18" s="978">
        <f>E18*F18</f>
        <v>0</v>
      </c>
      <c r="H18" s="622">
        <v>212.5</v>
      </c>
      <c r="I18" s="122">
        <f>F18*H18</f>
        <v>0</v>
      </c>
      <c r="J18" s="122">
        <f>G18-I18</f>
        <v>0</v>
      </c>
      <c r="O18" s="14" t="s">
        <v>635</v>
      </c>
      <c r="P18" s="14" t="s">
        <v>636</v>
      </c>
      <c r="Q18" s="14" t="s">
        <v>637</v>
      </c>
      <c r="R18" s="14" t="s">
        <v>640</v>
      </c>
      <c r="S18" s="14" t="s">
        <v>618</v>
      </c>
      <c r="T18" s="14" t="s">
        <v>641</v>
      </c>
      <c r="U18" s="14" t="s">
        <v>642</v>
      </c>
    </row>
    <row r="19" spans="1:21" s="14" customFormat="1" ht="11.4" customHeight="1">
      <c r="A19" s="4"/>
      <c r="B19" s="1105"/>
      <c r="C19" s="60"/>
      <c r="D19" s="61"/>
      <c r="E19" s="104"/>
      <c r="F19" s="1287"/>
      <c r="G19" s="978"/>
      <c r="H19" s="622"/>
      <c r="I19" s="135"/>
      <c r="J19" s="135"/>
      <c r="O19" s="14">
        <f>994.105-992.601</f>
        <v>1.50400000000002</v>
      </c>
      <c r="P19" s="14">
        <f>993.41-992.947</f>
        <v>0.462999999999965</v>
      </c>
      <c r="Q19" s="14">
        <f>999.542-1000.095</f>
        <v>-0.55299999999999705</v>
      </c>
      <c r="R19" s="14">
        <f>991.636-992.116</f>
        <v>-0.48000000000001802</v>
      </c>
      <c r="S19" s="14">
        <f>995.927-996.304</f>
        <v>-0.37699999999995298</v>
      </c>
      <c r="T19" s="14">
        <f>995.254-995.773</f>
        <v>-0.51900000000000501</v>
      </c>
      <c r="U19" s="14">
        <f>991.877-992.27</f>
        <v>-0.39300000000002899</v>
      </c>
    </row>
    <row r="20" spans="1:21" s="14" customFormat="1">
      <c r="A20" s="4"/>
      <c r="B20" s="1001"/>
      <c r="C20" s="63" t="s">
        <v>80</v>
      </c>
      <c r="D20" s="64" t="s">
        <v>19</v>
      </c>
      <c r="E20" s="104">
        <f>10%*E14</f>
        <v>669.9</v>
      </c>
      <c r="F20" s="1286">
        <v>0</v>
      </c>
      <c r="G20" s="978">
        <f>E20*F20</f>
        <v>0</v>
      </c>
      <c r="H20" s="622">
        <v>106.3</v>
      </c>
      <c r="I20" s="122">
        <f>F20*H20</f>
        <v>0</v>
      </c>
      <c r="J20" s="122">
        <f>G20-I20</f>
        <v>0</v>
      </c>
      <c r="O20" s="14">
        <f>993.508-993.187</f>
        <v>0.32100000000002599</v>
      </c>
      <c r="P20" s="14">
        <f>993.06-992.754</f>
        <v>0.305999999999926</v>
      </c>
    </row>
    <row r="21" spans="1:21" s="14" customFormat="1" ht="11.4" customHeight="1">
      <c r="A21" s="4"/>
      <c r="B21" s="1105"/>
      <c r="C21" s="60"/>
      <c r="D21" s="61"/>
      <c r="E21" s="104"/>
      <c r="F21" s="1287"/>
      <c r="G21" s="978"/>
      <c r="H21" s="622"/>
      <c r="I21" s="135"/>
      <c r="J21" s="135"/>
      <c r="O21" s="14">
        <f t="shared" ref="O21:U21" si="0">AVERAGE(O19:O20)</f>
        <v>0.91250000000002296</v>
      </c>
      <c r="P21" s="14">
        <f t="shared" si="0"/>
        <v>0.384499999999945</v>
      </c>
      <c r="Q21" s="14">
        <f t="shared" si="0"/>
        <v>-0.55299999999999705</v>
      </c>
      <c r="R21" s="14">
        <f t="shared" si="0"/>
        <v>-0.48000000000001802</v>
      </c>
      <c r="S21" s="14">
        <f t="shared" si="0"/>
        <v>-0.37699999999995298</v>
      </c>
      <c r="T21" s="14">
        <f t="shared" si="0"/>
        <v>-0.51900000000000501</v>
      </c>
      <c r="U21" s="14">
        <f t="shared" si="0"/>
        <v>-0.39300000000002899</v>
      </c>
    </row>
    <row r="22" spans="1:21" s="14" customFormat="1" ht="23">
      <c r="A22" s="4"/>
      <c r="B22" s="1003" t="s">
        <v>174</v>
      </c>
      <c r="C22" s="95" t="s">
        <v>81</v>
      </c>
      <c r="D22" s="64"/>
      <c r="E22" s="602"/>
      <c r="F22" s="1287"/>
      <c r="G22" s="978"/>
      <c r="H22" s="623"/>
      <c r="I22" s="135"/>
      <c r="J22" s="135"/>
      <c r="O22" s="14">
        <f>600*O21*7*1.1</f>
        <v>4215.75000000011</v>
      </c>
      <c r="P22" s="14">
        <f>500*(P21-0.15-0.08)*7</f>
        <v>540.74999999980798</v>
      </c>
      <c r="Q22" s="14">
        <f>710*(Q21)*7</f>
        <v>-2748.4099999999899</v>
      </c>
      <c r="R22" s="14">
        <f>530*(R21)*7</f>
        <v>-1780.80000000007</v>
      </c>
      <c r="S22" s="14">
        <f>190*(S21)*7</f>
        <v>-501.40999999993699</v>
      </c>
      <c r="T22" s="14">
        <f>95*(T21)*7</f>
        <v>-345.135000000003</v>
      </c>
      <c r="U22" s="14">
        <f>120*(U21)*7</f>
        <v>-330.12000000002399</v>
      </c>
    </row>
    <row r="23" spans="1:21" s="14" customFormat="1" ht="11.4" customHeight="1">
      <c r="A23" s="4"/>
      <c r="B23" s="1105"/>
      <c r="C23" s="60"/>
      <c r="D23" s="61"/>
      <c r="E23" s="104"/>
      <c r="F23" s="1287"/>
      <c r="G23" s="978"/>
      <c r="H23" s="621"/>
      <c r="I23" s="135"/>
      <c r="J23" s="135"/>
      <c r="O23" s="14" t="s">
        <v>638</v>
      </c>
      <c r="P23" s="14" t="s">
        <v>638</v>
      </c>
      <c r="Q23" s="14" t="s">
        <v>639</v>
      </c>
      <c r="R23" s="14" t="s">
        <v>639</v>
      </c>
      <c r="S23" s="14" t="s">
        <v>639</v>
      </c>
      <c r="T23" s="14" t="s">
        <v>639</v>
      </c>
      <c r="U23" s="14" t="s">
        <v>639</v>
      </c>
    </row>
    <row r="24" spans="1:21" s="14" customFormat="1">
      <c r="A24" s="4"/>
      <c r="B24" s="1001"/>
      <c r="C24" s="63" t="s">
        <v>82</v>
      </c>
      <c r="D24" s="64" t="s">
        <v>19</v>
      </c>
      <c r="E24" s="104">
        <f>(5800+5450*0.5)</f>
        <v>8525</v>
      </c>
      <c r="F24" s="1286">
        <v>0</v>
      </c>
      <c r="G24" s="978">
        <f>E24*F24</f>
        <v>0</v>
      </c>
      <c r="H24" s="622">
        <v>5941.5</v>
      </c>
      <c r="I24" s="122">
        <f>F24*H24</f>
        <v>0</v>
      </c>
      <c r="J24" s="122">
        <f>G24-I24</f>
        <v>0</v>
      </c>
    </row>
    <row r="25" spans="1:21" s="14" customFormat="1" ht="11.4" customHeight="1">
      <c r="A25" s="4"/>
      <c r="B25" s="1105"/>
      <c r="C25" s="60"/>
      <c r="D25" s="61"/>
      <c r="E25" s="104"/>
      <c r="F25" s="1286"/>
      <c r="G25" s="978"/>
      <c r="H25" s="621"/>
      <c r="I25" s="135"/>
      <c r="J25" s="135"/>
      <c r="O25" s="14" t="s">
        <v>643</v>
      </c>
      <c r="P25" s="14">
        <f>O22+P22</f>
        <v>4756.49999999992</v>
      </c>
    </row>
    <row r="26" spans="1:21" s="14" customFormat="1">
      <c r="A26" s="4"/>
      <c r="B26" s="1001"/>
      <c r="C26" s="63" t="s">
        <v>83</v>
      </c>
      <c r="D26" s="64" t="s">
        <v>19</v>
      </c>
      <c r="E26" s="104">
        <f>0.3*2860*0.05</f>
        <v>42.9</v>
      </c>
      <c r="F26" s="1286">
        <v>0</v>
      </c>
      <c r="G26" s="978">
        <f>E26*F26</f>
        <v>0</v>
      </c>
      <c r="H26" s="622">
        <v>1188.3</v>
      </c>
      <c r="I26" s="122">
        <f>F26*H26</f>
        <v>0</v>
      </c>
      <c r="J26" s="122">
        <f>G26-I26</f>
        <v>0</v>
      </c>
      <c r="O26" s="14" t="s">
        <v>644</v>
      </c>
      <c r="P26" s="14">
        <f>SUM(Q22:U22)</f>
        <v>-5705.87500000002</v>
      </c>
    </row>
    <row r="27" spans="1:21" s="14" customFormat="1" ht="11.4" customHeight="1">
      <c r="A27" s="4"/>
      <c r="B27" s="1105"/>
      <c r="C27" s="60"/>
      <c r="D27" s="61"/>
      <c r="E27" s="104"/>
      <c r="F27" s="1286"/>
      <c r="G27" s="978"/>
      <c r="H27" s="621"/>
      <c r="I27" s="135"/>
      <c r="J27" s="135"/>
    </row>
    <row r="28" spans="1:21" s="14" customFormat="1">
      <c r="A28" s="4"/>
      <c r="B28" s="1001"/>
      <c r="C28" s="63" t="s">
        <v>84</v>
      </c>
      <c r="D28" s="64" t="s">
        <v>19</v>
      </c>
      <c r="E28" s="104">
        <f>0.1*2860*0.02</f>
        <v>5.72</v>
      </c>
      <c r="F28" s="1286">
        <v>0</v>
      </c>
      <c r="G28" s="978">
        <f>E28*F28</f>
        <v>0</v>
      </c>
      <c r="H28" s="622">
        <v>396.1</v>
      </c>
      <c r="I28" s="122">
        <f>F28*H28</f>
        <v>0</v>
      </c>
      <c r="J28" s="122">
        <f>G28-I28</f>
        <v>0</v>
      </c>
    </row>
    <row r="29" spans="1:21" s="14" customFormat="1" ht="11.4" customHeight="1">
      <c r="A29" s="4"/>
      <c r="B29" s="1105"/>
      <c r="C29" s="60"/>
      <c r="D29" s="61"/>
      <c r="E29" s="104"/>
      <c r="F29" s="1286"/>
      <c r="G29" s="978"/>
      <c r="H29" s="621"/>
      <c r="I29" s="135"/>
      <c r="J29" s="135"/>
    </row>
    <row r="30" spans="1:21" s="14" customFormat="1" ht="11.4" customHeight="1">
      <c r="A30" s="4"/>
      <c r="B30" s="1105"/>
      <c r="C30" s="60"/>
      <c r="D30" s="61"/>
      <c r="E30" s="104"/>
      <c r="F30" s="1286"/>
      <c r="G30" s="978"/>
      <c r="H30" s="621"/>
      <c r="I30" s="135"/>
      <c r="J30" s="135"/>
    </row>
    <row r="31" spans="1:21" s="14" customFormat="1" ht="23">
      <c r="A31" s="4"/>
      <c r="B31" s="1003" t="s">
        <v>175</v>
      </c>
      <c r="C31" s="95" t="s">
        <v>85</v>
      </c>
      <c r="D31" s="64"/>
      <c r="E31" s="104"/>
      <c r="F31" s="1286"/>
      <c r="G31" s="978"/>
      <c r="H31" s="744"/>
      <c r="I31" s="745"/>
      <c r="J31" s="745"/>
    </row>
    <row r="32" spans="1:21" s="14" customFormat="1" ht="11.4" customHeight="1">
      <c r="A32" s="4"/>
      <c r="B32" s="1105"/>
      <c r="C32" s="60"/>
      <c r="D32" s="61"/>
      <c r="E32" s="104"/>
      <c r="F32" s="1286"/>
      <c r="G32" s="978"/>
      <c r="H32" s="746"/>
      <c r="I32" s="745"/>
      <c r="J32" s="745"/>
    </row>
    <row r="33" spans="1:10" s="14" customFormat="1">
      <c r="A33" s="4"/>
      <c r="B33" s="1001"/>
      <c r="C33" s="63" t="s">
        <v>569</v>
      </c>
      <c r="D33" s="64"/>
      <c r="E33" s="104"/>
      <c r="F33" s="1286"/>
      <c r="G33" s="978"/>
      <c r="H33" s="744"/>
      <c r="I33" s="745"/>
      <c r="J33" s="745"/>
    </row>
    <row r="34" spans="1:10" s="14" customFormat="1" ht="11.4" customHeight="1">
      <c r="A34" s="4"/>
      <c r="B34" s="1105"/>
      <c r="C34" s="60"/>
      <c r="D34" s="61"/>
      <c r="E34" s="104"/>
      <c r="F34" s="1286"/>
      <c r="G34" s="978"/>
      <c r="H34" s="746"/>
      <c r="I34" s="745"/>
      <c r="J34" s="745"/>
    </row>
    <row r="35" spans="1:10" s="14" customFormat="1" ht="15.65" customHeight="1">
      <c r="A35" s="4"/>
      <c r="B35" s="1001"/>
      <c r="C35" s="63" t="s">
        <v>570</v>
      </c>
      <c r="D35" s="64" t="s">
        <v>19</v>
      </c>
      <c r="E35" s="104">
        <v>100</v>
      </c>
      <c r="F35" s="1286">
        <v>0</v>
      </c>
      <c r="G35" s="978">
        <f>E35*F35</f>
        <v>0</v>
      </c>
      <c r="H35" s="744">
        <v>0</v>
      </c>
      <c r="I35" s="747">
        <f>F35*H35</f>
        <v>0</v>
      </c>
      <c r="J35" s="747">
        <f>G35-I35</f>
        <v>0</v>
      </c>
    </row>
    <row r="36" spans="1:10" s="14" customFormat="1" ht="11.4" customHeight="1">
      <c r="A36" s="4"/>
      <c r="B36" s="1105"/>
      <c r="C36" s="60"/>
      <c r="D36" s="61"/>
      <c r="E36" s="104"/>
      <c r="F36" s="1286"/>
      <c r="G36" s="978"/>
      <c r="H36" s="746"/>
      <c r="I36" s="745"/>
      <c r="J36" s="745"/>
    </row>
    <row r="37" spans="1:10" s="14" customFormat="1">
      <c r="A37" s="4"/>
      <c r="B37" s="1001"/>
      <c r="C37" s="63" t="s">
        <v>571</v>
      </c>
      <c r="D37" s="64" t="s">
        <v>19</v>
      </c>
      <c r="E37" s="104">
        <v>100</v>
      </c>
      <c r="F37" s="1286">
        <v>0</v>
      </c>
      <c r="G37" s="978">
        <f>E37*F37</f>
        <v>0</v>
      </c>
      <c r="H37" s="744">
        <v>0</v>
      </c>
      <c r="I37" s="747">
        <f>F37*H37</f>
        <v>0</v>
      </c>
      <c r="J37" s="747">
        <f>G37-I37</f>
        <v>0</v>
      </c>
    </row>
    <row r="38" spans="1:10" s="14" customFormat="1">
      <c r="A38" s="4"/>
      <c r="B38" s="1001"/>
      <c r="C38" s="63"/>
      <c r="D38" s="64"/>
      <c r="E38" s="104"/>
      <c r="F38" s="1286"/>
      <c r="G38" s="978"/>
      <c r="H38" s="622"/>
      <c r="I38" s="638"/>
      <c r="J38" s="638"/>
    </row>
    <row r="39" spans="1:10" s="14" customFormat="1">
      <c r="A39" s="4"/>
      <c r="B39" s="1003" t="s">
        <v>576</v>
      </c>
      <c r="C39" s="95" t="s">
        <v>577</v>
      </c>
      <c r="D39" s="64"/>
      <c r="E39" s="104"/>
      <c r="F39" s="1286"/>
      <c r="G39" s="978"/>
      <c r="H39" s="622"/>
      <c r="I39" s="638"/>
      <c r="J39" s="638"/>
    </row>
    <row r="40" spans="1:10" s="14" customFormat="1">
      <c r="A40" s="4"/>
      <c r="B40" s="1001"/>
      <c r="C40" s="63"/>
      <c r="D40" s="64"/>
      <c r="E40" s="104"/>
      <c r="F40" s="1286"/>
      <c r="G40" s="978"/>
      <c r="H40" s="622"/>
      <c r="I40" s="638"/>
      <c r="J40" s="638"/>
    </row>
    <row r="41" spans="1:10" s="14" customFormat="1">
      <c r="A41" s="4"/>
      <c r="B41" s="1001"/>
      <c r="C41" s="63" t="s">
        <v>596</v>
      </c>
      <c r="D41" s="64" t="s">
        <v>19</v>
      </c>
      <c r="E41" s="104">
        <f>(2900*0.15*7+5450*0.15)*1.1</f>
        <v>4248.75</v>
      </c>
      <c r="F41" s="1286">
        <v>0</v>
      </c>
      <c r="G41" s="978">
        <f>E41*F41</f>
        <v>0</v>
      </c>
      <c r="H41" s="622"/>
      <c r="I41" s="638"/>
      <c r="J41" s="638"/>
    </row>
    <row r="42" spans="1:10" s="14" customFormat="1">
      <c r="A42" s="4"/>
      <c r="B42" s="1001"/>
      <c r="C42" s="63"/>
      <c r="D42" s="64"/>
      <c r="E42" s="104"/>
      <c r="F42" s="1286"/>
      <c r="G42" s="978"/>
      <c r="H42" s="622"/>
      <c r="I42" s="638"/>
      <c r="J42" s="638"/>
    </row>
    <row r="43" spans="1:10" s="14" customFormat="1">
      <c r="A43" s="4"/>
      <c r="B43" s="1003" t="s">
        <v>572</v>
      </c>
      <c r="C43" s="95" t="s">
        <v>86</v>
      </c>
      <c r="D43" s="64"/>
      <c r="E43" s="104"/>
      <c r="F43" s="1286"/>
      <c r="G43" s="978"/>
      <c r="H43" s="622"/>
      <c r="I43" s="135"/>
      <c r="J43" s="135"/>
    </row>
    <row r="44" spans="1:10" s="14" customFormat="1" ht="11.4" customHeight="1">
      <c r="A44" s="4"/>
      <c r="B44" s="1105"/>
      <c r="C44" s="60"/>
      <c r="D44" s="61"/>
      <c r="E44" s="104"/>
      <c r="F44" s="1286"/>
      <c r="G44" s="978"/>
      <c r="H44" s="621"/>
      <c r="I44" s="135"/>
      <c r="J44" s="135"/>
    </row>
    <row r="45" spans="1:10" s="14" customFormat="1">
      <c r="A45" s="4"/>
      <c r="B45" s="1001"/>
      <c r="C45" s="63" t="s">
        <v>87</v>
      </c>
      <c r="D45" s="64" t="s">
        <v>11</v>
      </c>
      <c r="E45" s="104">
        <f>(2900*7+5450)*1.1</f>
        <v>28325</v>
      </c>
      <c r="F45" s="1286">
        <v>0</v>
      </c>
      <c r="G45" s="978">
        <f>E45*F45</f>
        <v>0</v>
      </c>
      <c r="H45" s="622">
        <v>10200</v>
      </c>
      <c r="I45" s="122">
        <f>F45*H45</f>
        <v>0</v>
      </c>
      <c r="J45" s="122">
        <f>G45-I45</f>
        <v>0</v>
      </c>
    </row>
    <row r="46" spans="1:10" s="14" customFormat="1">
      <c r="A46" s="4"/>
      <c r="B46" s="1001"/>
      <c r="C46" s="63"/>
      <c r="D46" s="64"/>
      <c r="E46" s="104"/>
      <c r="F46" s="1286"/>
      <c r="G46" s="978"/>
      <c r="H46" s="622"/>
      <c r="I46" s="638"/>
      <c r="J46" s="638"/>
    </row>
    <row r="47" spans="1:10" s="14" customFormat="1">
      <c r="A47" s="4"/>
      <c r="B47" s="1003" t="s">
        <v>573</v>
      </c>
      <c r="C47" s="95" t="s">
        <v>88</v>
      </c>
      <c r="D47" s="64"/>
      <c r="E47" s="104"/>
      <c r="F47" s="1287"/>
      <c r="G47" s="978"/>
      <c r="H47" s="622"/>
      <c r="I47" s="638"/>
      <c r="J47" s="638"/>
    </row>
    <row r="48" spans="1:10" s="14" customFormat="1">
      <c r="A48" s="4"/>
      <c r="B48" s="1105"/>
      <c r="C48" s="60"/>
      <c r="D48" s="61"/>
      <c r="E48" s="104"/>
      <c r="F48" s="1287"/>
      <c r="G48" s="978"/>
      <c r="H48" s="622"/>
      <c r="I48" s="638"/>
      <c r="J48" s="638"/>
    </row>
    <row r="49" spans="1:10" s="14" customFormat="1">
      <c r="A49" s="4"/>
      <c r="B49" s="1001"/>
      <c r="C49" s="63" t="s">
        <v>89</v>
      </c>
      <c r="D49" s="64" t="s">
        <v>19</v>
      </c>
      <c r="E49" s="104">
        <f>E41*10%</f>
        <v>424.88</v>
      </c>
      <c r="F49" s="1286">
        <v>0</v>
      </c>
      <c r="G49" s="978">
        <f>E49*F49</f>
        <v>0</v>
      </c>
      <c r="H49" s="622"/>
      <c r="I49" s="638"/>
      <c r="J49" s="638"/>
    </row>
    <row r="50" spans="1:10" s="14" customFormat="1">
      <c r="A50" s="4"/>
      <c r="B50" s="1105"/>
      <c r="C50" s="60"/>
      <c r="D50" s="61"/>
      <c r="E50" s="104"/>
      <c r="F50" s="61"/>
      <c r="G50" s="978"/>
      <c r="H50" s="622"/>
      <c r="I50" s="638"/>
      <c r="J50" s="638"/>
    </row>
    <row r="51" spans="1:10" s="14" customFormat="1" ht="12" thickBot="1">
      <c r="A51" s="4"/>
      <c r="B51" s="1001"/>
      <c r="C51" s="63"/>
      <c r="D51" s="64"/>
      <c r="E51" s="104"/>
      <c r="F51" s="88"/>
      <c r="G51" s="978"/>
      <c r="H51" s="622"/>
      <c r="I51" s="638"/>
      <c r="J51" s="638"/>
    </row>
    <row r="52" spans="1:10" s="16" customFormat="1" ht="20.149999999999999" customHeight="1" thickBot="1">
      <c r="A52" s="21"/>
      <c r="B52" s="1143" t="s">
        <v>146</v>
      </c>
      <c r="C52" s="1144"/>
      <c r="D52" s="1145"/>
      <c r="E52" s="1146"/>
      <c r="F52" s="1145"/>
      <c r="G52" s="1147">
        <f>SUM(G8:G51)</f>
        <v>0</v>
      </c>
      <c r="H52" s="635"/>
      <c r="I52" s="636">
        <f>SUM(I8:I51)</f>
        <v>0</v>
      </c>
      <c r="J52" s="636">
        <f>SUM(J8:J51)</f>
        <v>0</v>
      </c>
    </row>
    <row r="53" spans="1:10" s="16" customFormat="1" ht="20.149999999999999" customHeight="1">
      <c r="A53" s="21"/>
      <c r="B53" s="1128"/>
      <c r="C53" s="1129"/>
      <c r="D53" s="1130"/>
      <c r="E53" s="1131"/>
      <c r="F53" s="1130"/>
      <c r="G53" s="1132"/>
      <c r="H53" s="634"/>
      <c r="I53" s="634"/>
      <c r="J53" s="634"/>
    </row>
    <row r="54" spans="1:10" s="16" customFormat="1" ht="15" customHeight="1">
      <c r="A54" s="21"/>
      <c r="B54" s="1128"/>
      <c r="C54" s="1129"/>
      <c r="D54" s="1130"/>
      <c r="E54" s="1133"/>
      <c r="F54" s="1134"/>
      <c r="G54" s="1135"/>
      <c r="I54" s="637"/>
      <c r="J54" s="637"/>
    </row>
    <row r="55" spans="1:10" s="8" customFormat="1">
      <c r="A55" s="18"/>
      <c r="B55" s="1136" t="str">
        <f>B2</f>
        <v>Contract No. 9/3/1/424</v>
      </c>
      <c r="C55" s="24"/>
      <c r="D55" s="18"/>
      <c r="E55" s="596"/>
      <c r="F55" s="18"/>
      <c r="G55" s="1137"/>
      <c r="I55" s="112"/>
      <c r="J55" s="112"/>
    </row>
    <row r="56" spans="1:10" s="8" customFormat="1">
      <c r="A56" s="18"/>
      <c r="B56" s="904" t="str">
        <f>B3</f>
        <v>Construction of Road Paving and Stormwater in Rapotokwane</v>
      </c>
      <c r="C56" s="18"/>
      <c r="D56" s="18"/>
      <c r="E56" s="596"/>
      <c r="F56" s="18"/>
      <c r="G56" s="1137"/>
      <c r="I56" s="112"/>
      <c r="J56" s="112"/>
    </row>
    <row r="57" spans="1:10" s="8" customFormat="1">
      <c r="A57" s="18"/>
      <c r="B57" s="1138"/>
      <c r="C57" s="18"/>
      <c r="D57" s="18"/>
      <c r="E57" s="596"/>
      <c r="F57" s="18"/>
      <c r="G57" s="1137"/>
      <c r="I57" s="112"/>
      <c r="J57" s="112"/>
    </row>
    <row r="58" spans="1:10" s="8" customFormat="1" ht="20.149999999999999" customHeight="1">
      <c r="A58" s="18"/>
      <c r="B58" s="1091"/>
      <c r="C58" s="24"/>
      <c r="D58" s="24"/>
      <c r="E58" s="599"/>
      <c r="F58" s="24"/>
      <c r="G58" s="1139" t="s">
        <v>74</v>
      </c>
      <c r="I58" s="113"/>
      <c r="J58" s="113"/>
    </row>
    <row r="59" spans="1:10" s="14" customFormat="1" ht="30" customHeight="1">
      <c r="A59" s="4"/>
      <c r="B59" s="1093" t="s">
        <v>0</v>
      </c>
      <c r="C59" s="626" t="s">
        <v>2</v>
      </c>
      <c r="D59" s="626" t="s">
        <v>3</v>
      </c>
      <c r="E59" s="627" t="s">
        <v>4</v>
      </c>
      <c r="F59" s="626" t="s">
        <v>5</v>
      </c>
      <c r="G59" s="1140" t="s">
        <v>6</v>
      </c>
      <c r="H59" s="618" t="s">
        <v>217</v>
      </c>
      <c r="I59" s="130" t="s">
        <v>216</v>
      </c>
      <c r="J59" s="130" t="s">
        <v>218</v>
      </c>
    </row>
    <row r="60" spans="1:10" s="15" customFormat="1" ht="20.149999999999999" customHeight="1">
      <c r="A60" s="5"/>
      <c r="B60" s="1126" t="s">
        <v>212</v>
      </c>
      <c r="C60" s="628"/>
      <c r="D60" s="629"/>
      <c r="E60" s="630"/>
      <c r="F60" s="629"/>
      <c r="G60" s="1127">
        <f>G52</f>
        <v>0</v>
      </c>
      <c r="H60" s="624"/>
      <c r="I60" s="149">
        <f>I52</f>
        <v>0</v>
      </c>
      <c r="J60" s="149">
        <f>J52</f>
        <v>0</v>
      </c>
    </row>
    <row r="61" spans="1:10" s="15" customFormat="1" ht="20.149999999999999" customHeight="1">
      <c r="A61" s="5"/>
      <c r="B61" s="1128"/>
      <c r="C61" s="697"/>
      <c r="D61" s="729"/>
      <c r="E61" s="731"/>
      <c r="F61" s="730"/>
      <c r="G61" s="1141"/>
      <c r="H61" s="136"/>
      <c r="I61" s="137"/>
      <c r="J61" s="137"/>
    </row>
    <row r="62" spans="1:10" s="14" customFormat="1" ht="34.5">
      <c r="A62" s="4"/>
      <c r="B62" s="1003" t="s">
        <v>574</v>
      </c>
      <c r="C62" s="95" t="s">
        <v>575</v>
      </c>
      <c r="D62" s="64"/>
      <c r="E62" s="104"/>
      <c r="F62" s="88"/>
      <c r="G62" s="978"/>
      <c r="H62" s="622"/>
      <c r="I62" s="121"/>
      <c r="J62" s="121"/>
    </row>
    <row r="63" spans="1:10" s="14" customFormat="1" ht="11.4" customHeight="1">
      <c r="A63" s="4"/>
      <c r="B63" s="1105"/>
      <c r="C63" s="60"/>
      <c r="D63" s="61"/>
      <c r="E63" s="104"/>
      <c r="F63" s="88"/>
      <c r="G63" s="978"/>
      <c r="H63" s="621"/>
      <c r="I63" s="121"/>
      <c r="J63" s="121"/>
    </row>
    <row r="64" spans="1:10" s="14" customFormat="1" ht="23">
      <c r="A64" s="4"/>
      <c r="B64" s="1001"/>
      <c r="C64" s="63" t="s">
        <v>90</v>
      </c>
      <c r="D64" s="64" t="s">
        <v>19</v>
      </c>
      <c r="E64" s="104">
        <v>100</v>
      </c>
      <c r="F64" s="1251">
        <v>0</v>
      </c>
      <c r="G64" s="978">
        <f>E64*F64</f>
        <v>0</v>
      </c>
      <c r="H64" s="622">
        <v>106.3</v>
      </c>
      <c r="I64" s="122">
        <f>F64*H64</f>
        <v>0</v>
      </c>
      <c r="J64" s="122">
        <f>G64-I64</f>
        <v>0</v>
      </c>
    </row>
    <row r="65" spans="1:13" s="14" customFormat="1" ht="11.4" customHeight="1">
      <c r="A65" s="4"/>
      <c r="B65" s="1105"/>
      <c r="C65" s="60"/>
      <c r="D65" s="61"/>
      <c r="E65" s="104"/>
      <c r="F65" s="1251"/>
      <c r="G65" s="978"/>
      <c r="H65" s="621"/>
      <c r="I65" s="121"/>
      <c r="J65" s="121"/>
    </row>
    <row r="66" spans="1:13" s="14" customFormat="1" ht="12" customHeight="1">
      <c r="A66" s="4"/>
      <c r="B66" s="1001"/>
      <c r="C66" s="63" t="s">
        <v>91</v>
      </c>
      <c r="D66" s="64" t="s">
        <v>19</v>
      </c>
      <c r="E66" s="104">
        <f>(E64/0.15)*3</f>
        <v>2000</v>
      </c>
      <c r="F66" s="1251">
        <v>0</v>
      </c>
      <c r="G66" s="978">
        <f>E66*F66</f>
        <v>0</v>
      </c>
      <c r="H66" s="622">
        <v>76.5</v>
      </c>
      <c r="I66" s="122">
        <f>F66*H66</f>
        <v>0</v>
      </c>
      <c r="J66" s="122">
        <f>G66-I66</f>
        <v>0</v>
      </c>
    </row>
    <row r="67" spans="1:13" s="14" customFormat="1" ht="12" customHeight="1">
      <c r="A67" s="4"/>
      <c r="B67" s="1105"/>
      <c r="C67" s="60"/>
      <c r="D67" s="61"/>
      <c r="E67" s="104"/>
      <c r="F67" s="1251"/>
      <c r="G67" s="978"/>
      <c r="H67" s="621"/>
      <c r="I67" s="121"/>
      <c r="J67" s="121"/>
    </row>
    <row r="68" spans="1:13" s="14" customFormat="1" ht="12" customHeight="1">
      <c r="A68" s="4"/>
      <c r="B68" s="1001"/>
      <c r="C68" s="63" t="s">
        <v>92</v>
      </c>
      <c r="D68" s="64" t="s">
        <v>19</v>
      </c>
      <c r="E68" s="104">
        <f>E64</f>
        <v>100</v>
      </c>
      <c r="F68" s="1251">
        <v>0</v>
      </c>
      <c r="G68" s="978">
        <f>E68*F68</f>
        <v>0</v>
      </c>
      <c r="H68" s="622">
        <v>76.5</v>
      </c>
      <c r="I68" s="122">
        <f>F68*H68</f>
        <v>0</v>
      </c>
      <c r="J68" s="122">
        <f>G68-I68</f>
        <v>0</v>
      </c>
    </row>
    <row r="69" spans="1:13" s="14" customFormat="1" ht="11.4" customHeight="1">
      <c r="A69" s="4"/>
      <c r="B69" s="1105"/>
      <c r="C69" s="60"/>
      <c r="D69" s="61"/>
      <c r="E69" s="104"/>
      <c r="F69" s="1252"/>
      <c r="G69" s="978"/>
      <c r="H69" s="621"/>
      <c r="I69" s="121"/>
      <c r="J69" s="121"/>
    </row>
    <row r="70" spans="1:13" s="14" customFormat="1" ht="34.5">
      <c r="A70" s="4"/>
      <c r="B70" s="1105" t="s">
        <v>645</v>
      </c>
      <c r="C70" s="60" t="s">
        <v>647</v>
      </c>
      <c r="D70" s="64" t="s">
        <v>19</v>
      </c>
      <c r="E70" s="104">
        <f>(E14+E24)*2</f>
        <v>30448</v>
      </c>
      <c r="F70" s="1252">
        <v>0</v>
      </c>
      <c r="G70" s="978">
        <f>E70*F70</f>
        <v>0</v>
      </c>
      <c r="H70" s="621"/>
      <c r="I70" s="121"/>
      <c r="J70" s="121"/>
      <c r="M70" s="8" t="s">
        <v>649</v>
      </c>
    </row>
    <row r="71" spans="1:13" s="14" customFormat="1">
      <c r="A71" s="4"/>
      <c r="B71" s="1105"/>
      <c r="C71" s="60"/>
      <c r="D71" s="61"/>
      <c r="E71" s="104"/>
      <c r="F71" s="61"/>
      <c r="G71" s="978"/>
      <c r="H71" s="621"/>
      <c r="I71" s="121"/>
      <c r="J71" s="121"/>
    </row>
    <row r="72" spans="1:13" s="14" customFormat="1">
      <c r="A72" s="4"/>
      <c r="B72" s="1105"/>
      <c r="C72" s="60"/>
      <c r="D72" s="61"/>
      <c r="E72" s="104"/>
      <c r="F72" s="61"/>
      <c r="G72" s="978"/>
      <c r="H72" s="621"/>
      <c r="I72" s="121"/>
      <c r="J72" s="121"/>
    </row>
    <row r="73" spans="1:13" s="14" customFormat="1">
      <c r="A73" s="4"/>
      <c r="B73" s="1142"/>
      <c r="C73" s="60"/>
      <c r="D73" s="61"/>
      <c r="E73" s="104"/>
      <c r="F73" s="61"/>
      <c r="G73" s="978"/>
      <c r="H73" s="621"/>
      <c r="I73" s="121"/>
      <c r="J73" s="121"/>
    </row>
    <row r="74" spans="1:13" s="14" customFormat="1">
      <c r="A74" s="4"/>
      <c r="B74" s="1142"/>
      <c r="C74" s="60"/>
      <c r="D74" s="61"/>
      <c r="E74" s="104"/>
      <c r="F74" s="61"/>
      <c r="G74" s="978"/>
      <c r="H74" s="621"/>
      <c r="I74" s="121"/>
      <c r="J74" s="121"/>
    </row>
    <row r="75" spans="1:13" s="16" customFormat="1" ht="20.149999999999999" customHeight="1" thickBot="1">
      <c r="A75" s="21"/>
      <c r="B75" s="1106" t="s">
        <v>145</v>
      </c>
      <c r="C75" s="981"/>
      <c r="D75" s="982"/>
      <c r="E75" s="983"/>
      <c r="F75" s="982"/>
      <c r="G75" s="1017">
        <f>SUM(G60:G74)</f>
        <v>0</v>
      </c>
      <c r="H75" s="625"/>
      <c r="I75" s="148">
        <f>SUM(I60:I74)</f>
        <v>0</v>
      </c>
      <c r="J75" s="148">
        <f>SUM(J60:J74)</f>
        <v>0</v>
      </c>
    </row>
    <row r="76" spans="1:13">
      <c r="D76" s="97"/>
      <c r="E76" s="603"/>
      <c r="F76" s="97"/>
      <c r="G76" s="97"/>
    </row>
    <row r="80" spans="1:13" s="14" customFormat="1" ht="23">
      <c r="A80" s="4"/>
      <c r="B80" s="59" t="s">
        <v>646</v>
      </c>
      <c r="C80" s="60" t="s">
        <v>648</v>
      </c>
      <c r="D80" s="64" t="s">
        <v>19</v>
      </c>
      <c r="E80" s="104"/>
      <c r="F80" s="61"/>
      <c r="G80" s="110"/>
      <c r="H80" s="621"/>
      <c r="I80" s="121"/>
      <c r="J80" s="121"/>
    </row>
    <row r="83" spans="8:10">
      <c r="H83" s="7"/>
      <c r="I83" s="7"/>
      <c r="J83" s="7"/>
    </row>
    <row r="84" spans="8:10">
      <c r="H84" s="7"/>
      <c r="I84" s="7"/>
      <c r="J84" s="7"/>
    </row>
    <row r="85" spans="8:10">
      <c r="H85" s="7"/>
      <c r="I85" s="7"/>
      <c r="J85" s="7"/>
    </row>
    <row r="86" spans="8:10">
      <c r="H86" s="7"/>
      <c r="I86" s="7"/>
      <c r="J86" s="7"/>
    </row>
    <row r="87" spans="8:10">
      <c r="H87" s="9"/>
      <c r="I87" s="9"/>
      <c r="J87" s="9"/>
    </row>
    <row r="88" spans="8:10">
      <c r="H88" s="9"/>
      <c r="I88" s="9"/>
      <c r="J88" s="9"/>
    </row>
    <row r="89" spans="8:10">
      <c r="H89" s="10"/>
      <c r="I89" s="10"/>
      <c r="J89" s="10"/>
    </row>
  </sheetData>
  <pageMargins left="0.59055118110236227" right="0.27559055118110237" top="0.39370078740157483" bottom="0.39370078740157483" header="0.31496062992125984" footer="0.31496062992125984"/>
  <pageSetup paperSize="9" scale="95" fitToHeight="0" orientation="portrait" r:id="rId1"/>
  <rowBreaks count="1" manualBreakCount="1">
    <brk id="53" max="10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4">
    <pageSetUpPr fitToPage="1"/>
  </sheetPr>
  <dimension ref="A1:J42"/>
  <sheetViews>
    <sheetView view="pageBreakPreview" topLeftCell="A6" zoomScaleNormal="100" zoomScaleSheetLayoutView="100" workbookViewId="0">
      <selection activeCell="B3" sqref="B3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59.54296875" style="20" customWidth="1"/>
    <col min="4" max="4" width="7.6328125" style="20" customWidth="1"/>
    <col min="5" max="5" width="9.6328125" style="605" customWidth="1"/>
    <col min="6" max="6" width="12.36328125" style="20" customWidth="1"/>
    <col min="7" max="7" width="15.54296875" style="20" customWidth="1"/>
    <col min="8" max="8" width="12.6328125" style="11" hidden="1" customWidth="1"/>
    <col min="9" max="9" width="14.54296875" style="11" hidden="1" customWidth="1"/>
    <col min="10" max="10" width="14.90625" style="11" hidden="1" customWidth="1"/>
    <col min="11" max="16384" width="8.90625" style="11"/>
  </cols>
  <sheetData>
    <row r="1" spans="1:10" s="8" customFormat="1" ht="12" thickBot="1">
      <c r="A1" s="18"/>
      <c r="B1" s="23"/>
      <c r="C1" s="24"/>
      <c r="D1" s="18"/>
      <c r="E1" s="600"/>
      <c r="F1" s="18"/>
      <c r="G1" s="18"/>
    </row>
    <row r="2" spans="1:10" s="8" customFormat="1">
      <c r="A2" s="18"/>
      <c r="B2" s="900" t="s">
        <v>782</v>
      </c>
      <c r="C2" s="943"/>
      <c r="D2" s="943"/>
      <c r="E2" s="1150"/>
      <c r="F2" s="943"/>
      <c r="G2" s="992"/>
    </row>
    <row r="3" spans="1:10" s="8" customFormat="1">
      <c r="A3" s="18"/>
      <c r="B3" s="904" t="s">
        <v>482</v>
      </c>
      <c r="C3" s="18"/>
      <c r="D3" s="18"/>
      <c r="E3" s="600"/>
      <c r="F3" s="18"/>
      <c r="G3" s="993"/>
    </row>
    <row r="4" spans="1:10" s="8" customFormat="1" ht="20.149999999999999" customHeight="1">
      <c r="A4" s="18"/>
      <c r="B4" s="966"/>
      <c r="C4" s="18"/>
      <c r="D4" s="18"/>
      <c r="E4" s="600"/>
      <c r="F4" s="18"/>
      <c r="G4" s="1026" t="s">
        <v>93</v>
      </c>
    </row>
    <row r="5" spans="1:10" s="14" customFormat="1" ht="30" customHeight="1">
      <c r="A5" s="4"/>
      <c r="B5" s="968" t="s">
        <v>0</v>
      </c>
      <c r="C5" s="785" t="s">
        <v>2</v>
      </c>
      <c r="D5" s="785" t="s">
        <v>3</v>
      </c>
      <c r="E5" s="1151" t="s">
        <v>4</v>
      </c>
      <c r="F5" s="785" t="s">
        <v>5</v>
      </c>
      <c r="G5" s="1027" t="s">
        <v>6</v>
      </c>
      <c r="H5" s="1018" t="s">
        <v>217</v>
      </c>
      <c r="I5" s="116" t="s">
        <v>216</v>
      </c>
      <c r="J5" s="116" t="s">
        <v>218</v>
      </c>
    </row>
    <row r="6" spans="1:10" s="15" customFormat="1" ht="20.149999999999999" customHeight="1">
      <c r="A6" s="5"/>
      <c r="B6" s="970"/>
      <c r="C6" s="710"/>
      <c r="D6" s="1028"/>
      <c r="E6" s="1152"/>
      <c r="F6" s="1028"/>
      <c r="G6" s="1029"/>
      <c r="H6" s="1019"/>
      <c r="I6" s="131"/>
      <c r="J6" s="131"/>
    </row>
    <row r="7" spans="1:10" s="15" customFormat="1" ht="20.149999999999999" customHeight="1">
      <c r="A7" s="5"/>
      <c r="B7" s="1153"/>
      <c r="C7" s="1154"/>
      <c r="D7" s="730"/>
      <c r="E7" s="1155"/>
      <c r="F7" s="1156"/>
      <c r="G7" s="1157"/>
      <c r="H7" s="1148"/>
      <c r="I7" s="127"/>
      <c r="J7" s="127"/>
    </row>
    <row r="8" spans="1:10" s="14" customFormat="1">
      <c r="A8" s="4"/>
      <c r="B8" s="1003" t="s">
        <v>155</v>
      </c>
      <c r="C8" s="95" t="s">
        <v>94</v>
      </c>
      <c r="D8" s="64"/>
      <c r="E8" s="98"/>
      <c r="F8" s="66"/>
      <c r="G8" s="978"/>
      <c r="H8" s="989"/>
      <c r="I8" s="121"/>
      <c r="J8" s="121"/>
    </row>
    <row r="9" spans="1:10" s="14" customFormat="1" ht="11.4" customHeight="1">
      <c r="A9" s="4"/>
      <c r="B9" s="1105"/>
      <c r="C9" s="60"/>
      <c r="D9" s="61"/>
      <c r="E9" s="98"/>
      <c r="F9" s="61"/>
      <c r="G9" s="978"/>
      <c r="H9" s="988"/>
      <c r="I9" s="121"/>
      <c r="J9" s="121"/>
    </row>
    <row r="10" spans="1:10" s="14" customFormat="1" ht="23">
      <c r="A10" s="4"/>
      <c r="B10" s="1003" t="s">
        <v>176</v>
      </c>
      <c r="C10" s="95" t="s">
        <v>650</v>
      </c>
      <c r="D10" s="64"/>
      <c r="E10" s="98"/>
      <c r="F10" s="66"/>
      <c r="G10" s="978"/>
      <c r="H10" s="989"/>
      <c r="I10" s="121"/>
      <c r="J10" s="121"/>
    </row>
    <row r="11" spans="1:10" s="14" customFormat="1">
      <c r="A11" s="4"/>
      <c r="B11" s="1003"/>
      <c r="C11" s="95"/>
      <c r="D11" s="64"/>
      <c r="E11" s="98"/>
      <c r="F11" s="66"/>
      <c r="G11" s="978"/>
      <c r="H11" s="989"/>
      <c r="I11" s="121"/>
      <c r="J11" s="121"/>
    </row>
    <row r="12" spans="1:10" s="14" customFormat="1" ht="11.4" customHeight="1">
      <c r="A12" s="4"/>
      <c r="B12" s="1142"/>
      <c r="C12" s="60" t="s">
        <v>566</v>
      </c>
      <c r="D12" s="61"/>
      <c r="E12" s="98"/>
      <c r="F12" s="61"/>
      <c r="G12" s="978"/>
      <c r="H12" s="988"/>
      <c r="I12" s="121"/>
      <c r="J12" s="121"/>
    </row>
    <row r="13" spans="1:10" s="14" customFormat="1" ht="11.4" customHeight="1">
      <c r="A13" s="4"/>
      <c r="B13" s="1142"/>
      <c r="C13" s="60"/>
      <c r="D13" s="61"/>
      <c r="E13" s="98"/>
      <c r="F13" s="61"/>
      <c r="G13" s="978"/>
      <c r="H13" s="988"/>
      <c r="I13" s="121"/>
      <c r="J13" s="121"/>
    </row>
    <row r="14" spans="1:10" s="14" customFormat="1" ht="24.9" customHeight="1">
      <c r="A14" s="4"/>
      <c r="B14" s="1142"/>
      <c r="C14" s="60" t="s">
        <v>653</v>
      </c>
      <c r="D14" s="64" t="s">
        <v>19</v>
      </c>
      <c r="E14" s="98">
        <f>(6.5*1635*0.15+5450*0.15)*1.1</f>
        <v>2653</v>
      </c>
      <c r="F14" s="1252">
        <v>0</v>
      </c>
      <c r="G14" s="978">
        <f t="shared" ref="G14" si="0">E14*F14</f>
        <v>0</v>
      </c>
      <c r="H14" s="988"/>
      <c r="I14" s="121"/>
      <c r="J14" s="121"/>
    </row>
    <row r="15" spans="1:10" s="14" customFormat="1" ht="12" customHeight="1">
      <c r="A15" s="4"/>
      <c r="B15" s="1142"/>
      <c r="C15" s="60"/>
      <c r="D15" s="64"/>
      <c r="E15" s="98"/>
      <c r="F15" s="1252"/>
      <c r="G15" s="978"/>
      <c r="H15" s="988"/>
      <c r="I15" s="121"/>
      <c r="J15" s="121"/>
    </row>
    <row r="16" spans="1:10" s="14" customFormat="1">
      <c r="A16" s="4"/>
      <c r="B16" s="1142"/>
      <c r="C16" s="60" t="s">
        <v>651</v>
      </c>
      <c r="D16" s="61"/>
      <c r="E16" s="98"/>
      <c r="F16" s="1252"/>
      <c r="G16" s="978"/>
      <c r="H16" s="988"/>
      <c r="I16" s="121"/>
      <c r="J16" s="121"/>
    </row>
    <row r="17" spans="1:10" s="14" customFormat="1" ht="11.4" customHeight="1">
      <c r="A17" s="4"/>
      <c r="B17" s="1142"/>
      <c r="D17" s="61"/>
      <c r="E17" s="98"/>
      <c r="F17" s="1252"/>
      <c r="G17" s="978"/>
      <c r="H17" s="988"/>
      <c r="I17" s="121"/>
      <c r="J17" s="121"/>
    </row>
    <row r="18" spans="1:10" s="14" customFormat="1" ht="25.25" customHeight="1">
      <c r="A18" s="4"/>
      <c r="B18" s="1142"/>
      <c r="C18" s="60" t="s">
        <v>652</v>
      </c>
      <c r="D18" s="61" t="s">
        <v>19</v>
      </c>
      <c r="E18" s="98">
        <f>(6.5*1225*0.15+5450*0.15)*1.1</f>
        <v>2213</v>
      </c>
      <c r="F18" s="1252">
        <v>0</v>
      </c>
      <c r="G18" s="978">
        <f t="shared" ref="G18" si="1">E18*F18</f>
        <v>0</v>
      </c>
      <c r="H18" s="988"/>
      <c r="I18" s="121"/>
      <c r="J18" s="121"/>
    </row>
    <row r="19" spans="1:10" s="14" customFormat="1" ht="11.4" customHeight="1">
      <c r="A19" s="4"/>
      <c r="B19" s="1142"/>
      <c r="C19" s="60"/>
      <c r="D19" s="61"/>
      <c r="E19" s="98"/>
      <c r="F19" s="61"/>
      <c r="G19" s="978"/>
      <c r="H19" s="988"/>
      <c r="I19" s="121"/>
      <c r="J19" s="121"/>
    </row>
    <row r="20" spans="1:10" s="14" customFormat="1">
      <c r="A20" s="4"/>
      <c r="B20" s="1035"/>
      <c r="C20" s="63"/>
      <c r="D20" s="64"/>
      <c r="E20" s="98"/>
      <c r="F20" s="88"/>
      <c r="G20" s="978"/>
      <c r="H20" s="989"/>
      <c r="I20" s="122"/>
      <c r="J20" s="122"/>
    </row>
    <row r="21" spans="1:10" s="14" customFormat="1">
      <c r="A21" s="4"/>
      <c r="B21" s="999"/>
      <c r="C21" s="67"/>
      <c r="D21" s="68"/>
      <c r="E21" s="604"/>
      <c r="F21" s="68"/>
      <c r="G21" s="1034"/>
      <c r="H21" s="1024"/>
      <c r="I21" s="119"/>
      <c r="J21" s="119"/>
    </row>
    <row r="22" spans="1:10" s="14" customFormat="1">
      <c r="A22" s="4"/>
      <c r="B22" s="999"/>
      <c r="C22" s="67"/>
      <c r="D22" s="68"/>
      <c r="E22" s="604"/>
      <c r="F22" s="68"/>
      <c r="G22" s="1034"/>
      <c r="H22" s="1024"/>
      <c r="I22" s="119"/>
      <c r="J22" s="119"/>
    </row>
    <row r="23" spans="1:10" s="14" customFormat="1">
      <c r="A23" s="4"/>
      <c r="B23" s="999"/>
      <c r="C23" s="67"/>
      <c r="D23" s="68"/>
      <c r="E23" s="604"/>
      <c r="F23" s="68"/>
      <c r="G23" s="1034"/>
      <c r="H23" s="1024"/>
      <c r="I23" s="119"/>
      <c r="J23" s="119"/>
    </row>
    <row r="24" spans="1:10" s="14" customFormat="1">
      <c r="A24" s="4"/>
      <c r="B24" s="999"/>
      <c r="C24" s="67"/>
      <c r="D24" s="68"/>
      <c r="E24" s="604"/>
      <c r="F24" s="68"/>
      <c r="G24" s="1034"/>
      <c r="H24" s="1024"/>
      <c r="I24" s="119"/>
      <c r="J24" s="119"/>
    </row>
    <row r="25" spans="1:10" s="14" customFormat="1">
      <c r="A25" s="4"/>
      <c r="B25" s="999"/>
      <c r="C25" s="67"/>
      <c r="D25" s="68"/>
      <c r="E25" s="604"/>
      <c r="F25" s="68"/>
      <c r="G25" s="1034"/>
      <c r="H25" s="1024"/>
      <c r="I25" s="119"/>
      <c r="J25" s="119"/>
    </row>
    <row r="26" spans="1:10" s="14" customFormat="1">
      <c r="A26" s="4"/>
      <c r="B26" s="999"/>
      <c r="C26" s="67"/>
      <c r="D26" s="68"/>
      <c r="E26" s="604"/>
      <c r="F26" s="68"/>
      <c r="G26" s="1034"/>
      <c r="H26" s="1024"/>
      <c r="I26" s="119"/>
      <c r="J26" s="119"/>
    </row>
    <row r="27" spans="1:10" s="14" customFormat="1">
      <c r="A27" s="4"/>
      <c r="B27" s="999"/>
      <c r="C27" s="67"/>
      <c r="D27" s="68"/>
      <c r="E27" s="604"/>
      <c r="F27" s="68"/>
      <c r="G27" s="1034"/>
      <c r="H27" s="1024"/>
      <c r="I27" s="119"/>
      <c r="J27" s="119"/>
    </row>
    <row r="28" spans="1:10" s="14" customFormat="1">
      <c r="A28" s="4"/>
      <c r="B28" s="999"/>
      <c r="C28" s="67"/>
      <c r="D28" s="68"/>
      <c r="E28" s="604"/>
      <c r="F28" s="68"/>
      <c r="G28" s="1034"/>
      <c r="H28" s="1024"/>
      <c r="I28" s="119"/>
      <c r="J28" s="119"/>
    </row>
    <row r="29" spans="1:10" s="14" customFormat="1">
      <c r="A29" s="4"/>
      <c r="B29" s="999"/>
      <c r="C29" s="67"/>
      <c r="D29" s="68"/>
      <c r="E29" s="604"/>
      <c r="F29" s="68"/>
      <c r="G29" s="1034"/>
      <c r="H29" s="1024"/>
      <c r="I29" s="119"/>
      <c r="J29" s="119"/>
    </row>
    <row r="30" spans="1:10" s="14" customFormat="1">
      <c r="A30" s="4"/>
      <c r="B30" s="999"/>
      <c r="C30" s="67"/>
      <c r="D30" s="68"/>
      <c r="E30" s="604"/>
      <c r="F30" s="68"/>
      <c r="G30" s="1034"/>
      <c r="H30" s="1024"/>
      <c r="I30" s="119"/>
      <c r="J30" s="119"/>
    </row>
    <row r="31" spans="1:10" s="14" customFormat="1">
      <c r="A31" s="4"/>
      <c r="B31" s="999"/>
      <c r="C31" s="67"/>
      <c r="D31" s="68"/>
      <c r="E31" s="604"/>
      <c r="F31" s="68"/>
      <c r="G31" s="1034"/>
      <c r="H31" s="1024"/>
      <c r="I31" s="119"/>
      <c r="J31" s="119"/>
    </row>
    <row r="32" spans="1:10" s="14" customFormat="1">
      <c r="A32" s="4"/>
      <c r="B32" s="999"/>
      <c r="C32" s="67"/>
      <c r="D32" s="68"/>
      <c r="E32" s="604"/>
      <c r="F32" s="68"/>
      <c r="G32" s="1034"/>
      <c r="H32" s="1024"/>
      <c r="I32" s="119"/>
      <c r="J32" s="119"/>
    </row>
    <row r="33" spans="1:10" s="14" customFormat="1">
      <c r="A33" s="4"/>
      <c r="B33" s="999"/>
      <c r="C33" s="67"/>
      <c r="D33" s="68"/>
      <c r="E33" s="604"/>
      <c r="F33" s="68"/>
      <c r="G33" s="1034"/>
      <c r="H33" s="1024"/>
      <c r="I33" s="119"/>
      <c r="J33" s="119"/>
    </row>
    <row r="34" spans="1:10" s="14" customFormat="1">
      <c r="A34" s="4"/>
      <c r="B34" s="999"/>
      <c r="C34" s="67"/>
      <c r="D34" s="68"/>
      <c r="E34" s="604"/>
      <c r="F34" s="68"/>
      <c r="G34" s="1034"/>
      <c r="H34" s="1024"/>
      <c r="I34" s="119"/>
      <c r="J34" s="119"/>
    </row>
    <row r="35" spans="1:10" s="14" customFormat="1">
      <c r="A35" s="4"/>
      <c r="B35" s="999"/>
      <c r="C35" s="67"/>
      <c r="D35" s="68"/>
      <c r="E35" s="604"/>
      <c r="F35" s="68"/>
      <c r="G35" s="1034"/>
      <c r="H35" s="1024"/>
      <c r="I35" s="119"/>
      <c r="J35" s="119"/>
    </row>
    <row r="36" spans="1:10" s="14" customFormat="1">
      <c r="A36" s="4"/>
      <c r="B36" s="999"/>
      <c r="C36" s="67"/>
      <c r="D36" s="68"/>
      <c r="E36" s="604"/>
      <c r="F36" s="68"/>
      <c r="G36" s="1034"/>
      <c r="H36" s="1024"/>
      <c r="I36" s="119"/>
      <c r="J36" s="119"/>
    </row>
    <row r="37" spans="1:10" s="14" customFormat="1">
      <c r="A37" s="4"/>
      <c r="B37" s="999"/>
      <c r="C37" s="67"/>
      <c r="D37" s="68"/>
      <c r="E37" s="604"/>
      <c r="F37" s="68"/>
      <c r="G37" s="1034"/>
      <c r="H37" s="1024"/>
      <c r="I37" s="119"/>
      <c r="J37" s="119"/>
    </row>
    <row r="38" spans="1:10" s="14" customFormat="1" ht="12" thickBot="1">
      <c r="A38" s="4"/>
      <c r="B38" s="999"/>
      <c r="C38" s="67"/>
      <c r="D38" s="68"/>
      <c r="E38" s="604"/>
      <c r="F38" s="68"/>
      <c r="G38" s="1034"/>
      <c r="H38" s="1024"/>
      <c r="I38" s="119"/>
      <c r="J38" s="119"/>
    </row>
    <row r="39" spans="1:10" s="16" customFormat="1" ht="20.149999999999999" customHeight="1" thickBot="1">
      <c r="A39" s="21"/>
      <c r="B39" s="980" t="s">
        <v>145</v>
      </c>
      <c r="C39" s="1005"/>
      <c r="D39" s="1006"/>
      <c r="E39" s="1158"/>
      <c r="F39" s="1006"/>
      <c r="G39" s="1017">
        <f>SUM(G7:G38)</f>
        <v>0</v>
      </c>
      <c r="H39" s="1025"/>
      <c r="I39" s="147">
        <f>SUM(I20:I38)</f>
        <v>0</v>
      </c>
      <c r="J39" s="147">
        <f>SUM(J20:J38)</f>
        <v>0</v>
      </c>
    </row>
    <row r="40" spans="1:10" s="14" customFormat="1">
      <c r="A40" s="4"/>
      <c r="B40" s="4"/>
      <c r="C40" s="4"/>
      <c r="D40" s="4"/>
      <c r="E40" s="1149"/>
      <c r="F40" s="4"/>
      <c r="G40" s="4"/>
      <c r="H40" s="11"/>
    </row>
    <row r="42" spans="1:10">
      <c r="G42" s="96"/>
    </row>
  </sheetData>
  <pageMargins left="0.5905524831078367" right="0.27559115878365709" top="0.3937016554052245" bottom="0.3937016554052245" header="0.3" footer="0.3"/>
  <pageSetup paperSize="9" scale="84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5">
    <pageSetUpPr fitToPage="1"/>
  </sheetPr>
  <dimension ref="A1:J42"/>
  <sheetViews>
    <sheetView view="pageBreakPreview" topLeftCell="A17" zoomScaleNormal="100" zoomScaleSheetLayoutView="100" workbookViewId="0">
      <selection activeCell="B2" sqref="B2:G4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43.36328125" style="20" customWidth="1"/>
    <col min="4" max="4" width="8.36328125" style="20" customWidth="1"/>
    <col min="5" max="5" width="10.36328125" style="20" customWidth="1"/>
    <col min="6" max="6" width="12.6328125" style="20" customWidth="1"/>
    <col min="7" max="7" width="17" style="20" customWidth="1"/>
    <col min="8" max="8" width="11.6328125" style="11" hidden="1" customWidth="1"/>
    <col min="9" max="9" width="13.36328125" style="11" hidden="1" customWidth="1"/>
    <col min="10" max="10" width="12" style="11" hidden="1" customWidth="1"/>
    <col min="11" max="16384" width="8.90625" style="11"/>
  </cols>
  <sheetData>
    <row r="1" spans="1:10" s="8" customFormat="1" ht="12" thickBot="1">
      <c r="A1" s="18"/>
      <c r="B1" s="23"/>
      <c r="C1" s="24"/>
      <c r="D1" s="18"/>
      <c r="E1" s="18"/>
      <c r="F1" s="18"/>
      <c r="G1" s="18"/>
    </row>
    <row r="2" spans="1:10" s="8" customFormat="1">
      <c r="A2" s="18"/>
      <c r="B2" s="900" t="s">
        <v>782</v>
      </c>
      <c r="C2" s="943"/>
      <c r="D2" s="943"/>
      <c r="E2" s="943"/>
      <c r="F2" s="943"/>
      <c r="G2" s="992"/>
    </row>
    <row r="3" spans="1:10" s="8" customFormat="1">
      <c r="A3" s="18"/>
      <c r="B3" s="904" t="s">
        <v>482</v>
      </c>
      <c r="C3" s="18"/>
      <c r="D3" s="18"/>
      <c r="E3" s="18"/>
      <c r="F3" s="18"/>
      <c r="G3" s="993"/>
    </row>
    <row r="4" spans="1:10" s="8" customFormat="1" ht="20.149999999999999" customHeight="1">
      <c r="A4" s="18"/>
      <c r="B4" s="966"/>
      <c r="C4" s="18"/>
      <c r="D4" s="18"/>
      <c r="E4" s="18"/>
      <c r="F4" s="18"/>
      <c r="G4" s="1026" t="s">
        <v>95</v>
      </c>
    </row>
    <row r="5" spans="1:10" s="14" customFormat="1" ht="30" customHeight="1">
      <c r="A5" s="4"/>
      <c r="B5" s="968" t="s">
        <v>0</v>
      </c>
      <c r="C5" s="785" t="s">
        <v>2</v>
      </c>
      <c r="D5" s="785" t="s">
        <v>3</v>
      </c>
      <c r="E5" s="785" t="s">
        <v>4</v>
      </c>
      <c r="F5" s="785" t="s">
        <v>5</v>
      </c>
      <c r="G5" s="1027" t="s">
        <v>6</v>
      </c>
      <c r="H5" s="1018" t="s">
        <v>217</v>
      </c>
      <c r="I5" s="116" t="s">
        <v>216</v>
      </c>
      <c r="J5" s="116" t="s">
        <v>218</v>
      </c>
    </row>
    <row r="6" spans="1:10" s="15" customFormat="1" ht="20.149999999999999" customHeight="1">
      <c r="A6" s="5"/>
      <c r="B6" s="970"/>
      <c r="C6" s="710"/>
      <c r="D6" s="1028"/>
      <c r="E6" s="1028"/>
      <c r="F6" s="1028"/>
      <c r="G6" s="1029"/>
      <c r="H6" s="1019"/>
      <c r="I6" s="131"/>
      <c r="J6" s="131"/>
    </row>
    <row r="7" spans="1:10" s="14" customFormat="1">
      <c r="A7" s="4"/>
      <c r="B7" s="972" t="s">
        <v>156</v>
      </c>
      <c r="C7" s="95" t="s">
        <v>96</v>
      </c>
      <c r="D7" s="996"/>
      <c r="E7" s="1165"/>
      <c r="F7" s="1166"/>
      <c r="G7" s="1167"/>
      <c r="H7" s="1159"/>
      <c r="I7" s="139"/>
      <c r="J7" s="139"/>
    </row>
    <row r="8" spans="1:10" s="14" customFormat="1" ht="11.4" customHeight="1">
      <c r="A8" s="4"/>
      <c r="B8" s="974"/>
      <c r="C8" s="67"/>
      <c r="D8" s="75"/>
      <c r="E8" s="75"/>
      <c r="F8" s="75"/>
      <c r="G8" s="1168"/>
      <c r="H8" s="1160"/>
      <c r="I8" s="141"/>
      <c r="J8" s="141"/>
    </row>
    <row r="9" spans="1:10" s="14" customFormat="1" ht="23">
      <c r="A9" s="4"/>
      <c r="B9" s="998" t="s">
        <v>560</v>
      </c>
      <c r="C9" s="105" t="s">
        <v>654</v>
      </c>
      <c r="D9" s="76"/>
      <c r="E9" s="78"/>
      <c r="F9" s="79"/>
      <c r="G9" s="1168"/>
      <c r="H9" s="1161"/>
      <c r="I9" s="141"/>
      <c r="J9" s="141"/>
    </row>
    <row r="10" spans="1:10" s="14" customFormat="1" ht="11.4" customHeight="1">
      <c r="A10" s="4"/>
      <c r="B10" s="974"/>
      <c r="C10" s="67"/>
      <c r="D10" s="75"/>
      <c r="E10" s="75"/>
      <c r="F10" s="75"/>
      <c r="G10" s="1168"/>
      <c r="H10" s="1160"/>
      <c r="I10" s="141"/>
      <c r="J10" s="141"/>
    </row>
    <row r="11" spans="1:10" s="14" customFormat="1">
      <c r="A11" s="4"/>
      <c r="B11" s="976"/>
      <c r="C11" s="77" t="s">
        <v>562</v>
      </c>
      <c r="D11" s="76"/>
      <c r="E11" s="78"/>
      <c r="F11" s="79"/>
      <c r="G11" s="1168"/>
      <c r="H11" s="1161"/>
      <c r="I11" s="141"/>
      <c r="J11" s="141"/>
    </row>
    <row r="12" spans="1:10" s="14" customFormat="1" ht="11.4" customHeight="1">
      <c r="A12" s="4"/>
      <c r="B12" s="974"/>
      <c r="C12" s="67"/>
      <c r="D12" s="75"/>
      <c r="E12" s="59"/>
      <c r="F12" s="1288"/>
      <c r="G12" s="1168"/>
      <c r="H12" s="1162"/>
      <c r="I12" s="141"/>
      <c r="J12" s="141"/>
    </row>
    <row r="13" spans="1:10" s="14" customFormat="1" ht="12.5">
      <c r="A13" s="4"/>
      <c r="B13" s="1169"/>
      <c r="C13" s="63" t="s">
        <v>561</v>
      </c>
      <c r="D13" s="62" t="s">
        <v>19</v>
      </c>
      <c r="E13" s="84">
        <f>'SECTION 3400    '!E18</f>
        <v>2213</v>
      </c>
      <c r="F13" s="1289">
        <f>0.7*'SECTION 3400    '!F18</f>
        <v>0</v>
      </c>
      <c r="G13" s="1170">
        <f>E13*F13</f>
        <v>0</v>
      </c>
      <c r="H13" s="1163">
        <v>2218.5</v>
      </c>
      <c r="I13" s="159">
        <f>F13*H13</f>
        <v>0</v>
      </c>
      <c r="J13" s="122">
        <f>G13-I13</f>
        <v>0</v>
      </c>
    </row>
    <row r="14" spans="1:10" s="14" customFormat="1" ht="11.4" customHeight="1">
      <c r="A14" s="4"/>
      <c r="B14" s="974"/>
      <c r="C14" s="67"/>
      <c r="D14" s="75"/>
      <c r="E14" s="59"/>
      <c r="F14" s="1288"/>
      <c r="G14" s="1170"/>
      <c r="H14" s="1164"/>
      <c r="I14" s="160"/>
      <c r="J14" s="143"/>
    </row>
    <row r="15" spans="1:10" s="14" customFormat="1" ht="12.5">
      <c r="A15" s="4"/>
      <c r="B15" s="998" t="s">
        <v>563</v>
      </c>
      <c r="C15" s="105" t="s">
        <v>97</v>
      </c>
      <c r="D15" s="76"/>
      <c r="E15" s="84"/>
      <c r="F15" s="1288"/>
      <c r="G15" s="1170"/>
      <c r="H15" s="1163"/>
      <c r="I15" s="160"/>
      <c r="J15" s="143"/>
    </row>
    <row r="16" spans="1:10" s="14" customFormat="1" ht="11.4" customHeight="1">
      <c r="A16" s="4"/>
      <c r="B16" s="974"/>
      <c r="C16" s="67"/>
      <c r="D16" s="75"/>
      <c r="E16" s="59"/>
      <c r="F16" s="1288"/>
      <c r="G16" s="1170"/>
      <c r="H16" s="1164"/>
      <c r="I16" s="160"/>
      <c r="J16" s="143"/>
    </row>
    <row r="17" spans="1:10" s="14" customFormat="1" ht="18" customHeight="1">
      <c r="A17" s="4"/>
      <c r="B17" s="976"/>
      <c r="C17" s="77" t="s">
        <v>98</v>
      </c>
      <c r="D17" s="76" t="s">
        <v>99</v>
      </c>
      <c r="E17" s="84">
        <f>(E13*2100*3%/1000)*1.1</f>
        <v>153.4</v>
      </c>
      <c r="F17" s="1290">
        <v>0</v>
      </c>
      <c r="G17" s="1170">
        <f t="shared" ref="G17:G25" si="0">E17*F17</f>
        <v>0</v>
      </c>
      <c r="H17" s="1163">
        <v>177.5</v>
      </c>
      <c r="I17" s="159">
        <f>F17*H17</f>
        <v>0</v>
      </c>
      <c r="J17" s="122">
        <f>G17-I17</f>
        <v>0</v>
      </c>
    </row>
    <row r="18" spans="1:10" s="14" customFormat="1" ht="11.4" customHeight="1">
      <c r="A18" s="4"/>
      <c r="B18" s="974"/>
      <c r="C18" s="67"/>
      <c r="D18" s="75"/>
      <c r="E18" s="59"/>
      <c r="F18" s="1288"/>
      <c r="G18" s="1170"/>
      <c r="H18" s="1164"/>
      <c r="I18" s="160"/>
      <c r="J18" s="143"/>
    </row>
    <row r="19" spans="1:10" s="14" customFormat="1" ht="11.4" customHeight="1">
      <c r="A19" s="4"/>
      <c r="B19" s="1171" t="s">
        <v>564</v>
      </c>
      <c r="C19" s="60" t="s">
        <v>200</v>
      </c>
      <c r="D19" s="59" t="s">
        <v>201</v>
      </c>
      <c r="E19" s="59">
        <v>140</v>
      </c>
      <c r="F19" s="1291">
        <v>0</v>
      </c>
      <c r="G19" s="1170">
        <f>E19*F19</f>
        <v>0</v>
      </c>
      <c r="H19" s="1164">
        <v>366.05250000000001</v>
      </c>
      <c r="I19" s="159">
        <f>F19*H19</f>
        <v>0</v>
      </c>
      <c r="J19" s="122">
        <f>G19-I19</f>
        <v>0</v>
      </c>
    </row>
    <row r="20" spans="1:10" s="14" customFormat="1" ht="11.4" customHeight="1">
      <c r="A20" s="4"/>
      <c r="B20" s="974"/>
      <c r="C20" s="67"/>
      <c r="D20" s="75"/>
      <c r="E20" s="59"/>
      <c r="F20" s="1288"/>
      <c r="G20" s="1170"/>
      <c r="H20" s="1164"/>
      <c r="I20" s="160"/>
      <c r="J20" s="143"/>
    </row>
    <row r="21" spans="1:10" s="14" customFormat="1" ht="23">
      <c r="A21" s="4"/>
      <c r="B21" s="998" t="s">
        <v>591</v>
      </c>
      <c r="C21" s="77" t="s">
        <v>100</v>
      </c>
      <c r="D21" s="76"/>
      <c r="E21" s="84"/>
      <c r="F21" s="1291"/>
      <c r="G21" s="1170"/>
      <c r="H21" s="1163"/>
      <c r="I21" s="160"/>
      <c r="J21" s="143"/>
    </row>
    <row r="22" spans="1:10" s="14" customFormat="1" ht="11.4" customHeight="1">
      <c r="A22" s="4"/>
      <c r="B22" s="974"/>
      <c r="C22" s="67"/>
      <c r="D22" s="75"/>
      <c r="E22" s="59"/>
      <c r="F22" s="1291"/>
      <c r="G22" s="1170"/>
      <c r="H22" s="1164"/>
      <c r="I22" s="160"/>
      <c r="J22" s="143"/>
    </row>
    <row r="23" spans="1:10" s="14" customFormat="1" ht="12.5">
      <c r="A23" s="4"/>
      <c r="B23" s="1000"/>
      <c r="C23" s="77" t="s">
        <v>101</v>
      </c>
      <c r="D23" s="76" t="s">
        <v>19</v>
      </c>
      <c r="E23" s="84">
        <f>E13*0.1</f>
        <v>221.3</v>
      </c>
      <c r="F23" s="1289">
        <v>0</v>
      </c>
      <c r="G23" s="1170">
        <f t="shared" si="0"/>
        <v>0</v>
      </c>
      <c r="H23" s="1163">
        <v>665.6</v>
      </c>
      <c r="I23" s="159">
        <f>F23*H23</f>
        <v>0</v>
      </c>
      <c r="J23" s="122">
        <f>G23-I23</f>
        <v>0</v>
      </c>
    </row>
    <row r="24" spans="1:10" s="14" customFormat="1" ht="11.4" customHeight="1">
      <c r="A24" s="4"/>
      <c r="B24" s="999"/>
      <c r="C24" s="67"/>
      <c r="D24" s="75"/>
      <c r="E24" s="59"/>
      <c r="F24" s="1291"/>
      <c r="G24" s="1170"/>
      <c r="H24" s="1164"/>
      <c r="I24" s="160"/>
      <c r="J24" s="143"/>
    </row>
    <row r="25" spans="1:10" s="14" customFormat="1" ht="12.5">
      <c r="A25" s="4"/>
      <c r="B25" s="998" t="s">
        <v>565</v>
      </c>
      <c r="C25" s="77" t="s">
        <v>102</v>
      </c>
      <c r="D25" s="76" t="s">
        <v>19</v>
      </c>
      <c r="E25" s="84">
        <f>2000*0.15</f>
        <v>300</v>
      </c>
      <c r="F25" s="1289">
        <v>0</v>
      </c>
      <c r="G25" s="1170">
        <f t="shared" si="0"/>
        <v>0</v>
      </c>
      <c r="H25" s="1163">
        <v>66.599999999999994</v>
      </c>
      <c r="I25" s="159">
        <f>F25*H25</f>
        <v>0</v>
      </c>
      <c r="J25" s="122">
        <f>G25-I25</f>
        <v>0</v>
      </c>
    </row>
    <row r="26" spans="1:10" s="14" customFormat="1" ht="11.4" customHeight="1">
      <c r="A26" s="4"/>
      <c r="B26" s="999"/>
      <c r="C26" s="67"/>
      <c r="D26" s="75"/>
      <c r="E26" s="59"/>
      <c r="F26" s="59"/>
      <c r="G26" s="1170"/>
      <c r="H26" s="1162"/>
      <c r="I26" s="143"/>
      <c r="J26" s="143"/>
    </row>
    <row r="27" spans="1:10" s="14" customFormat="1">
      <c r="A27" s="4"/>
      <c r="B27" s="999"/>
      <c r="C27" s="67"/>
      <c r="D27" s="75"/>
      <c r="E27" s="59"/>
      <c r="F27" s="75"/>
      <c r="G27" s="1170"/>
      <c r="H27" s="1162"/>
      <c r="I27" s="143"/>
      <c r="J27" s="143"/>
    </row>
    <row r="28" spans="1:10" s="14" customFormat="1">
      <c r="A28" s="4"/>
      <c r="B28" s="999"/>
      <c r="C28" s="67"/>
      <c r="D28" s="75"/>
      <c r="E28" s="75"/>
      <c r="F28" s="75"/>
      <c r="G28" s="1170"/>
      <c r="H28" s="1160"/>
      <c r="I28" s="143"/>
      <c r="J28" s="143"/>
    </row>
    <row r="29" spans="1:10" s="14" customFormat="1">
      <c r="A29" s="4"/>
      <c r="B29" s="999"/>
      <c r="C29" s="67"/>
      <c r="D29" s="75"/>
      <c r="E29" s="75"/>
      <c r="F29" s="75"/>
      <c r="G29" s="1170"/>
      <c r="H29" s="1160"/>
      <c r="I29" s="143"/>
      <c r="J29" s="143"/>
    </row>
    <row r="30" spans="1:10" s="14" customFormat="1">
      <c r="A30" s="4"/>
      <c r="B30" s="999"/>
      <c r="C30" s="67"/>
      <c r="D30" s="75"/>
      <c r="E30" s="75"/>
      <c r="F30" s="75"/>
      <c r="G30" s="1170"/>
      <c r="H30" s="1160"/>
      <c r="I30" s="143"/>
      <c r="J30" s="143"/>
    </row>
    <row r="31" spans="1:10" s="14" customFormat="1">
      <c r="A31" s="4"/>
      <c r="B31" s="999"/>
      <c r="C31" s="67"/>
      <c r="D31" s="75"/>
      <c r="E31" s="75"/>
      <c r="F31" s="75"/>
      <c r="G31" s="1168"/>
      <c r="H31" s="1160"/>
      <c r="I31" s="141"/>
      <c r="J31" s="141"/>
    </row>
    <row r="32" spans="1:10" s="14" customFormat="1">
      <c r="A32" s="4"/>
      <c r="B32" s="999"/>
      <c r="C32" s="67"/>
      <c r="D32" s="75"/>
      <c r="E32" s="75"/>
      <c r="F32" s="75"/>
      <c r="G32" s="1168"/>
      <c r="H32" s="1160"/>
      <c r="I32" s="141"/>
      <c r="J32" s="141"/>
    </row>
    <row r="33" spans="1:10" s="14" customFormat="1">
      <c r="A33" s="4"/>
      <c r="B33" s="999"/>
      <c r="C33" s="67"/>
      <c r="D33" s="75"/>
      <c r="E33" s="75"/>
      <c r="F33" s="75"/>
      <c r="G33" s="1168"/>
      <c r="H33" s="1160"/>
      <c r="I33" s="141"/>
      <c r="J33" s="141"/>
    </row>
    <row r="34" spans="1:10" s="14" customFormat="1">
      <c r="A34" s="4"/>
      <c r="B34" s="999"/>
      <c r="C34" s="67"/>
      <c r="D34" s="75"/>
      <c r="E34" s="75"/>
      <c r="F34" s="75"/>
      <c r="G34" s="1168"/>
      <c r="H34" s="1160"/>
      <c r="I34" s="141"/>
      <c r="J34" s="141"/>
    </row>
    <row r="35" spans="1:10" s="14" customFormat="1">
      <c r="A35" s="4"/>
      <c r="B35" s="999"/>
      <c r="C35" s="67"/>
      <c r="D35" s="75"/>
      <c r="E35" s="75"/>
      <c r="F35" s="75"/>
      <c r="G35" s="1168"/>
      <c r="H35" s="1160"/>
      <c r="I35" s="141"/>
      <c r="J35" s="141"/>
    </row>
    <row r="36" spans="1:10" s="14" customFormat="1">
      <c r="A36" s="4"/>
      <c r="B36" s="999"/>
      <c r="C36" s="67"/>
      <c r="D36" s="75"/>
      <c r="E36" s="75"/>
      <c r="F36" s="75"/>
      <c r="G36" s="1168"/>
      <c r="H36" s="1160"/>
      <c r="I36" s="141"/>
      <c r="J36" s="141"/>
    </row>
    <row r="37" spans="1:10" s="14" customFormat="1">
      <c r="A37" s="4"/>
      <c r="B37" s="999"/>
      <c r="C37" s="67"/>
      <c r="D37" s="75"/>
      <c r="E37" s="75"/>
      <c r="F37" s="75"/>
      <c r="G37" s="1168"/>
      <c r="H37" s="1160"/>
      <c r="I37" s="141"/>
      <c r="J37" s="141"/>
    </row>
    <row r="38" spans="1:10" s="14" customFormat="1">
      <c r="A38" s="4"/>
      <c r="B38" s="999"/>
      <c r="C38" s="67"/>
      <c r="D38" s="75"/>
      <c r="E38" s="75"/>
      <c r="F38" s="75"/>
      <c r="G38" s="1168"/>
      <c r="H38" s="1160"/>
      <c r="I38" s="141"/>
      <c r="J38" s="141"/>
    </row>
    <row r="39" spans="1:10" s="14" customFormat="1">
      <c r="A39" s="4"/>
      <c r="B39" s="999"/>
      <c r="C39" s="67"/>
      <c r="D39" s="75"/>
      <c r="E39" s="75"/>
      <c r="F39" s="75"/>
      <c r="G39" s="1168"/>
      <c r="H39" s="1160"/>
      <c r="I39" s="141"/>
      <c r="J39" s="141"/>
    </row>
    <row r="40" spans="1:10" s="14" customFormat="1">
      <c r="A40" s="4"/>
      <c r="B40" s="999"/>
      <c r="C40" s="67"/>
      <c r="D40" s="75"/>
      <c r="E40" s="75"/>
      <c r="F40" s="75"/>
      <c r="G40" s="1168"/>
      <c r="H40" s="1160"/>
      <c r="I40" s="141"/>
      <c r="J40" s="141"/>
    </row>
    <row r="41" spans="1:10" s="14" customFormat="1" ht="12" thickBot="1">
      <c r="A41" s="4"/>
      <c r="B41" s="999"/>
      <c r="C41" s="67"/>
      <c r="D41" s="75"/>
      <c r="E41" s="75"/>
      <c r="F41" s="75"/>
      <c r="G41" s="1168"/>
      <c r="H41" s="1160"/>
      <c r="I41" s="141"/>
      <c r="J41" s="141"/>
    </row>
    <row r="42" spans="1:10" s="16" customFormat="1" ht="20.149999999999999" customHeight="1" thickBot="1">
      <c r="A42" s="21"/>
      <c r="B42" s="980" t="s">
        <v>145</v>
      </c>
      <c r="C42" s="1005"/>
      <c r="D42" s="1006"/>
      <c r="E42" s="1006"/>
      <c r="F42" s="1006"/>
      <c r="G42" s="1017">
        <f>SUM(G7:G41)</f>
        <v>0</v>
      </c>
      <c r="H42" s="1025"/>
      <c r="I42" s="147">
        <f>SUM(I13:I41)</f>
        <v>0</v>
      </c>
      <c r="J42" s="147">
        <f>SUM(J13:J41)</f>
        <v>0</v>
      </c>
    </row>
  </sheetData>
  <pageMargins left="0.5905524831078367" right="0.27559115878365709" top="0.3937016554052245" bottom="0.3937016554052245" header="0.3" footer="0.3"/>
  <pageSetup paperSize="9" scale="95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EBC9B-16E0-4F91-BC71-497F9096ACCC}">
  <dimension ref="A1:I29"/>
  <sheetViews>
    <sheetView view="pageBreakPreview" zoomScale="80" zoomScaleNormal="100" zoomScaleSheetLayoutView="80" workbookViewId="0">
      <selection sqref="A1:G3"/>
    </sheetView>
  </sheetViews>
  <sheetFormatPr defaultColWidth="9.08984375" defaultRowHeight="11.5"/>
  <cols>
    <col min="1" max="2" width="9.08984375" style="866"/>
    <col min="3" max="3" width="56.453125" style="866" customWidth="1"/>
    <col min="4" max="4" width="7.36328125" style="866" customWidth="1"/>
    <col min="5" max="5" width="13.36328125" style="866" customWidth="1"/>
    <col min="6" max="6" width="14.36328125" style="885" customWidth="1"/>
    <col min="7" max="7" width="16.08984375" style="885" customWidth="1"/>
    <col min="8" max="16384" width="9.08984375" style="866"/>
  </cols>
  <sheetData>
    <row r="1" spans="1:9">
      <c r="A1" s="900" t="s">
        <v>782</v>
      </c>
      <c r="B1" s="943"/>
      <c r="C1" s="943"/>
      <c r="D1" s="943"/>
      <c r="E1" s="943"/>
      <c r="F1" s="943"/>
      <c r="G1" s="1359"/>
    </row>
    <row r="2" spans="1:9">
      <c r="A2" s="904" t="s">
        <v>482</v>
      </c>
      <c r="B2" s="18"/>
      <c r="C2" s="18"/>
      <c r="D2" s="18"/>
      <c r="E2" s="18"/>
      <c r="F2" s="18"/>
      <c r="G2" s="1173"/>
    </row>
    <row r="3" spans="1:9" ht="12" thickBot="1">
      <c r="A3" s="1360"/>
      <c r="B3" s="1361"/>
      <c r="C3" s="1361"/>
      <c r="D3" s="1361"/>
      <c r="E3" s="1361"/>
      <c r="F3" s="1362"/>
      <c r="G3" s="1363" t="s">
        <v>95</v>
      </c>
    </row>
    <row r="4" spans="1:9">
      <c r="A4" s="844" t="s">
        <v>624</v>
      </c>
      <c r="B4" s="845"/>
      <c r="C4" s="846" t="s">
        <v>625</v>
      </c>
      <c r="D4" s="846" t="s">
        <v>626</v>
      </c>
      <c r="E4" s="847" t="s">
        <v>627</v>
      </c>
      <c r="F4" s="871" t="s">
        <v>628</v>
      </c>
      <c r="G4" s="872" t="s">
        <v>629</v>
      </c>
    </row>
    <row r="5" spans="1:9" ht="12" thickBot="1">
      <c r="A5" s="848"/>
      <c r="B5" s="849"/>
      <c r="C5" s="850"/>
      <c r="D5" s="850"/>
      <c r="E5" s="851"/>
      <c r="F5" s="873"/>
      <c r="G5" s="874"/>
    </row>
    <row r="6" spans="1:9" ht="12" thickBot="1">
      <c r="A6" s="852"/>
      <c r="B6" s="1176"/>
      <c r="C6" s="854"/>
      <c r="D6" s="1177"/>
      <c r="E6" s="856"/>
      <c r="F6" s="898"/>
      <c r="G6" s="1178"/>
    </row>
    <row r="7" spans="1:9">
      <c r="A7" s="914">
        <v>4100</v>
      </c>
      <c r="B7" s="1175"/>
      <c r="C7" s="798" t="s">
        <v>655</v>
      </c>
      <c r="D7" s="814"/>
      <c r="E7" s="860"/>
      <c r="F7" s="828"/>
      <c r="G7" s="905"/>
    </row>
    <row r="8" spans="1:9">
      <c r="A8" s="859"/>
      <c r="B8" s="814"/>
      <c r="C8" s="802"/>
      <c r="D8" s="814"/>
      <c r="E8" s="860"/>
      <c r="F8" s="828"/>
      <c r="G8" s="905"/>
    </row>
    <row r="9" spans="1:9">
      <c r="A9" s="861">
        <v>41.01</v>
      </c>
      <c r="B9" s="814"/>
      <c r="C9" s="802" t="s">
        <v>656</v>
      </c>
      <c r="D9" s="814"/>
      <c r="E9" s="860"/>
      <c r="F9" s="828"/>
      <c r="G9" s="905"/>
    </row>
    <row r="10" spans="1:9">
      <c r="A10" s="859"/>
      <c r="B10" s="814"/>
      <c r="C10" s="802"/>
      <c r="D10" s="814"/>
      <c r="E10" s="860"/>
      <c r="F10" s="828"/>
      <c r="G10" s="905"/>
      <c r="I10" s="866" t="s">
        <v>774</v>
      </c>
    </row>
    <row r="11" spans="1:9">
      <c r="A11" s="859"/>
      <c r="B11" s="814"/>
      <c r="C11" s="802" t="s">
        <v>657</v>
      </c>
      <c r="D11" s="814" t="s">
        <v>658</v>
      </c>
      <c r="E11" s="866">
        <f>(1900+1200+1200+1150)*0.8</f>
        <v>4360</v>
      </c>
      <c r="F11" s="828">
        <v>0</v>
      </c>
      <c r="G11" s="1172">
        <f>E11*F11</f>
        <v>0</v>
      </c>
      <c r="I11" s="866">
        <f>(1900+1200+1200+1150)</f>
        <v>5450</v>
      </c>
    </row>
    <row r="12" spans="1:9">
      <c r="A12" s="859"/>
      <c r="B12" s="814"/>
      <c r="C12" s="802"/>
      <c r="D12" s="814"/>
      <c r="E12" s="860"/>
      <c r="F12" s="828"/>
      <c r="G12" s="905"/>
    </row>
    <row r="13" spans="1:9">
      <c r="A13" s="861"/>
      <c r="B13" s="814"/>
      <c r="C13" s="862"/>
      <c r="D13" s="814"/>
      <c r="E13" s="860"/>
      <c r="F13" s="828"/>
      <c r="G13" s="905"/>
    </row>
    <row r="14" spans="1:9">
      <c r="A14" s="861"/>
      <c r="B14" s="814"/>
      <c r="C14" s="862"/>
      <c r="D14" s="814"/>
      <c r="E14" s="860"/>
      <c r="F14" s="828"/>
      <c r="G14" s="905"/>
    </row>
    <row r="15" spans="1:9">
      <c r="A15" s="861"/>
      <c r="B15" s="814"/>
      <c r="C15" s="862"/>
      <c r="D15" s="814"/>
      <c r="E15" s="860"/>
      <c r="F15" s="828"/>
      <c r="G15" s="905"/>
    </row>
    <row r="16" spans="1:9">
      <c r="A16" s="861"/>
      <c r="B16" s="814"/>
      <c r="C16" s="862"/>
      <c r="D16" s="814"/>
      <c r="E16" s="860"/>
      <c r="F16" s="828"/>
      <c r="G16" s="905"/>
    </row>
    <row r="17" spans="1:7">
      <c r="A17" s="861"/>
      <c r="B17" s="814"/>
      <c r="C17" s="862"/>
      <c r="D17" s="814"/>
      <c r="E17" s="860"/>
      <c r="F17" s="828"/>
      <c r="G17" s="905"/>
    </row>
    <row r="18" spans="1:7">
      <c r="A18" s="861"/>
      <c r="B18" s="814"/>
      <c r="C18" s="862"/>
      <c r="D18" s="814"/>
      <c r="E18" s="860"/>
      <c r="F18" s="828"/>
      <c r="G18" s="905"/>
    </row>
    <row r="19" spans="1:7">
      <c r="A19" s="861"/>
      <c r="B19" s="814"/>
      <c r="C19" s="862"/>
      <c r="D19" s="814"/>
      <c r="E19" s="860"/>
      <c r="F19" s="828"/>
      <c r="G19" s="905"/>
    </row>
    <row r="20" spans="1:7">
      <c r="A20" s="861"/>
      <c r="B20" s="814"/>
      <c r="C20" s="862"/>
      <c r="D20" s="814"/>
      <c r="E20" s="860"/>
      <c r="F20" s="828"/>
      <c r="G20" s="905"/>
    </row>
    <row r="21" spans="1:7">
      <c r="A21" s="861"/>
      <c r="B21" s="814"/>
      <c r="C21" s="862"/>
      <c r="D21" s="814"/>
      <c r="E21" s="860"/>
      <c r="F21" s="828"/>
      <c r="G21" s="905"/>
    </row>
    <row r="22" spans="1:7">
      <c r="A22" s="861"/>
      <c r="B22" s="814"/>
      <c r="C22" s="862"/>
      <c r="D22" s="814"/>
      <c r="E22" s="860"/>
      <c r="F22" s="828"/>
      <c r="G22" s="905"/>
    </row>
    <row r="23" spans="1:7">
      <c r="A23" s="861"/>
      <c r="B23" s="814"/>
      <c r="C23" s="862"/>
      <c r="D23" s="814"/>
      <c r="E23" s="860"/>
      <c r="F23" s="828"/>
      <c r="G23" s="905"/>
    </row>
    <row r="24" spans="1:7">
      <c r="A24" s="861"/>
      <c r="B24" s="814"/>
      <c r="C24" s="862"/>
      <c r="D24" s="814"/>
      <c r="E24" s="860"/>
      <c r="F24" s="828"/>
      <c r="G24" s="905"/>
    </row>
    <row r="25" spans="1:7">
      <c r="A25" s="861"/>
      <c r="B25" s="814"/>
      <c r="C25" s="862"/>
      <c r="D25" s="814"/>
      <c r="E25" s="860"/>
      <c r="F25" s="828"/>
      <c r="G25" s="905"/>
    </row>
    <row r="26" spans="1:7">
      <c r="A26" s="861"/>
      <c r="B26" s="814"/>
      <c r="C26" s="862"/>
      <c r="D26" s="814"/>
      <c r="E26" s="860"/>
      <c r="F26" s="828"/>
      <c r="G26" s="905"/>
    </row>
    <row r="27" spans="1:7">
      <c r="A27" s="859"/>
      <c r="B27" s="814"/>
      <c r="C27" s="862"/>
      <c r="D27" s="814"/>
      <c r="E27" s="860"/>
      <c r="F27" s="828"/>
      <c r="G27" s="905"/>
    </row>
    <row r="28" spans="1:7">
      <c r="A28" s="883"/>
      <c r="B28" s="820"/>
      <c r="D28" s="820"/>
      <c r="F28" s="884"/>
      <c r="G28" s="1173"/>
    </row>
    <row r="29" spans="1:7" ht="12" thickBot="1">
      <c r="A29" s="863"/>
      <c r="B29" s="868" t="s">
        <v>630</v>
      </c>
      <c r="C29" s="865"/>
      <c r="D29" s="864"/>
      <c r="E29" s="865"/>
      <c r="F29" s="1174"/>
      <c r="G29" s="882">
        <f>SUM(G9:G28)</f>
        <v>0</v>
      </c>
    </row>
  </sheetData>
  <phoneticPr fontId="94" type="noConversion"/>
  <pageMargins left="0.7" right="0.7" top="0.75" bottom="0.75" header="0.3" footer="0.3"/>
  <pageSetup scale="71" orientation="portrait" r:id="rId1"/>
  <colBreaks count="1" manualBreakCount="1">
    <brk id="7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E975A-F7DC-44E7-9505-34ED72A4640A}">
  <dimension ref="A3:G31"/>
  <sheetViews>
    <sheetView view="pageBreakPreview" topLeftCell="A9" zoomScale="94" zoomScaleNormal="100" zoomScaleSheetLayoutView="94" workbookViewId="0">
      <selection activeCell="C17" sqref="C17"/>
    </sheetView>
  </sheetViews>
  <sheetFormatPr defaultColWidth="9.08984375" defaultRowHeight="12"/>
  <cols>
    <col min="1" max="2" width="9.08984375" style="797"/>
    <col min="3" max="3" width="56.453125" style="797" customWidth="1"/>
    <col min="4" max="4" width="7.36328125" style="797" customWidth="1"/>
    <col min="5" max="5" width="13.36328125" style="797" customWidth="1"/>
    <col min="6" max="6" width="14.36328125" style="831" customWidth="1"/>
    <col min="7" max="7" width="16.08984375" style="831" customWidth="1"/>
    <col min="8" max="16384" width="9.08984375" style="797"/>
  </cols>
  <sheetData>
    <row r="3" spans="1:7" ht="12.5" thickBot="1"/>
    <row r="4" spans="1:7">
      <c r="A4" s="900" t="s">
        <v>782</v>
      </c>
      <c r="B4" s="943"/>
      <c r="C4" s="943"/>
      <c r="D4" s="943"/>
      <c r="E4" s="943"/>
      <c r="F4" s="943"/>
      <c r="G4" s="1359"/>
    </row>
    <row r="5" spans="1:7">
      <c r="A5" s="904" t="s">
        <v>482</v>
      </c>
      <c r="B5" s="18"/>
      <c r="C5" s="18"/>
      <c r="D5" s="18"/>
      <c r="E5" s="18"/>
      <c r="F5" s="18"/>
      <c r="G5" s="1173"/>
    </row>
    <row r="6" spans="1:7" ht="12.5" thickBot="1">
      <c r="A6" s="1360"/>
      <c r="B6" s="1361"/>
      <c r="C6" s="1361"/>
      <c r="D6" s="1361"/>
      <c r="E6" s="1361"/>
      <c r="F6" s="1362"/>
      <c r="G6" s="1363" t="s">
        <v>784</v>
      </c>
    </row>
    <row r="7" spans="1:7">
      <c r="A7" s="1364"/>
      <c r="B7" s="853"/>
      <c r="C7" s="1365"/>
      <c r="D7" s="855"/>
      <c r="E7" s="903"/>
      <c r="F7" s="875"/>
      <c r="G7" s="876"/>
    </row>
    <row r="8" spans="1:7">
      <c r="A8" s="1366">
        <v>4500</v>
      </c>
      <c r="B8" s="857"/>
      <c r="C8" s="1367" t="s">
        <v>666</v>
      </c>
      <c r="D8" s="858"/>
      <c r="E8" s="1368"/>
      <c r="F8" s="877"/>
      <c r="G8" s="1369"/>
    </row>
    <row r="9" spans="1:7">
      <c r="A9" s="818"/>
      <c r="B9" s="814"/>
      <c r="C9" s="802"/>
      <c r="D9" s="814"/>
      <c r="E9" s="860"/>
      <c r="F9" s="828"/>
      <c r="G9" s="1370"/>
    </row>
    <row r="10" spans="1:7">
      <c r="A10" s="1371">
        <v>45.01</v>
      </c>
      <c r="B10" s="814"/>
      <c r="C10" s="802" t="s">
        <v>659</v>
      </c>
      <c r="D10" s="814"/>
      <c r="E10" s="860"/>
      <c r="F10" s="828"/>
      <c r="G10" s="1370"/>
    </row>
    <row r="11" spans="1:7">
      <c r="A11" s="818"/>
      <c r="B11" s="814"/>
      <c r="C11" s="802"/>
      <c r="D11" s="814"/>
      <c r="E11" s="860"/>
      <c r="F11" s="828"/>
      <c r="G11" s="1370"/>
    </row>
    <row r="12" spans="1:7" ht="23.5">
      <c r="A12" s="818"/>
      <c r="B12" s="814"/>
      <c r="C12" s="1372" t="s">
        <v>775</v>
      </c>
      <c r="D12" s="814" t="s">
        <v>776</v>
      </c>
      <c r="E12" s="860">
        <f>(1900+1200+1200+1150)*1.1</f>
        <v>5995</v>
      </c>
      <c r="F12" s="828">
        <v>0</v>
      </c>
      <c r="G12" s="1370">
        <f>E12*F12</f>
        <v>0</v>
      </c>
    </row>
    <row r="13" spans="1:7">
      <c r="A13" s="818"/>
      <c r="B13" s="814"/>
      <c r="C13" s="802"/>
      <c r="D13" s="814"/>
      <c r="E13" s="860"/>
      <c r="F13" s="828"/>
      <c r="G13" s="1373"/>
    </row>
    <row r="14" spans="1:7">
      <c r="A14" s="818">
        <v>45.02</v>
      </c>
      <c r="B14" s="814"/>
      <c r="C14" s="802" t="s">
        <v>660</v>
      </c>
      <c r="D14" s="814"/>
      <c r="E14" s="860"/>
      <c r="F14" s="828"/>
      <c r="G14" s="1370"/>
    </row>
    <row r="15" spans="1:7">
      <c r="A15" s="1371"/>
      <c r="B15" s="814"/>
      <c r="C15" s="862"/>
      <c r="D15" s="814"/>
      <c r="E15" s="860"/>
      <c r="F15" s="828"/>
      <c r="G15" s="1370"/>
    </row>
    <row r="16" spans="1:7">
      <c r="A16" s="1371"/>
      <c r="B16" s="814"/>
      <c r="C16" s="862" t="s">
        <v>777</v>
      </c>
      <c r="D16" s="814" t="s">
        <v>658</v>
      </c>
      <c r="E16" s="860">
        <v>100</v>
      </c>
      <c r="F16" s="828">
        <v>0</v>
      </c>
      <c r="G16" s="1370">
        <f>E16*F16</f>
        <v>0</v>
      </c>
    </row>
    <row r="17" spans="1:7">
      <c r="A17" s="1371"/>
      <c r="B17" s="814"/>
      <c r="C17" s="862"/>
      <c r="D17" s="814"/>
      <c r="E17" s="860"/>
      <c r="F17" s="828"/>
      <c r="G17" s="1370"/>
    </row>
    <row r="18" spans="1:7">
      <c r="A18" s="1371">
        <v>45.03</v>
      </c>
      <c r="B18" s="814"/>
      <c r="C18" s="862" t="s">
        <v>661</v>
      </c>
      <c r="D18" s="814"/>
      <c r="E18" s="860"/>
      <c r="F18" s="828"/>
      <c r="G18" s="1370"/>
    </row>
    <row r="19" spans="1:7">
      <c r="A19" s="1371"/>
      <c r="B19" s="814"/>
      <c r="C19" s="862"/>
      <c r="D19" s="814"/>
      <c r="E19" s="860"/>
      <c r="F19" s="828"/>
      <c r="G19" s="1370"/>
    </row>
    <row r="20" spans="1:7" ht="14">
      <c r="A20" s="1371"/>
      <c r="B20" s="814"/>
      <c r="C20" s="862" t="s">
        <v>662</v>
      </c>
      <c r="D20" s="814" t="s">
        <v>766</v>
      </c>
      <c r="E20" s="860">
        <v>100</v>
      </c>
      <c r="F20" s="828">
        <v>0</v>
      </c>
      <c r="G20" s="1370">
        <f>E20*F20</f>
        <v>0</v>
      </c>
    </row>
    <row r="21" spans="1:7">
      <c r="A21" s="1371"/>
      <c r="B21" s="814"/>
      <c r="C21" s="862"/>
      <c r="D21" s="814"/>
      <c r="E21" s="860"/>
      <c r="F21" s="828"/>
      <c r="G21" s="1370"/>
    </row>
    <row r="22" spans="1:7" ht="14">
      <c r="A22" s="1371"/>
      <c r="B22" s="814"/>
      <c r="C22" s="862" t="s">
        <v>663</v>
      </c>
      <c r="D22" s="814" t="s">
        <v>766</v>
      </c>
      <c r="E22" s="860">
        <v>100</v>
      </c>
      <c r="F22" s="828">
        <v>0</v>
      </c>
      <c r="G22" s="1370">
        <f>E22*F22</f>
        <v>0</v>
      </c>
    </row>
    <row r="23" spans="1:7">
      <c r="A23" s="1371"/>
      <c r="B23" s="814"/>
      <c r="C23" s="862"/>
      <c r="D23" s="814"/>
      <c r="E23" s="860"/>
      <c r="F23" s="828"/>
      <c r="G23" s="1370"/>
    </row>
    <row r="24" spans="1:7">
      <c r="A24" s="1371">
        <v>45.04</v>
      </c>
      <c r="B24" s="814"/>
      <c r="C24" s="862" t="s">
        <v>664</v>
      </c>
      <c r="D24" s="814"/>
      <c r="E24" s="860"/>
      <c r="F24" s="828"/>
      <c r="G24" s="1370"/>
    </row>
    <row r="25" spans="1:7">
      <c r="A25" s="1371"/>
      <c r="B25" s="814"/>
      <c r="C25" s="862"/>
      <c r="D25" s="814"/>
      <c r="E25" s="860"/>
      <c r="F25" s="828"/>
      <c r="G25" s="1370"/>
    </row>
    <row r="26" spans="1:7">
      <c r="A26" s="1371"/>
      <c r="B26" s="814"/>
      <c r="C26" s="862" t="s">
        <v>665</v>
      </c>
      <c r="D26" s="814" t="s">
        <v>658</v>
      </c>
      <c r="E26" s="860">
        <f>(1900+1200+1200+1150)*60%*1.1</f>
        <v>3597</v>
      </c>
      <c r="F26" s="828">
        <v>0</v>
      </c>
      <c r="G26" s="1370">
        <f>E26*F26</f>
        <v>0</v>
      </c>
    </row>
    <row r="27" spans="1:7">
      <c r="A27" s="1371"/>
      <c r="B27" s="814"/>
      <c r="C27" s="862"/>
      <c r="D27" s="814"/>
      <c r="E27" s="860"/>
      <c r="F27" s="828"/>
      <c r="G27" s="1370"/>
    </row>
    <row r="28" spans="1:7">
      <c r="A28" s="1371"/>
      <c r="B28" s="814"/>
      <c r="C28" s="862"/>
      <c r="D28" s="814"/>
      <c r="E28" s="860"/>
      <c r="F28" s="828"/>
      <c r="G28" s="1370"/>
    </row>
    <row r="29" spans="1:7">
      <c r="A29" s="818"/>
      <c r="B29" s="814"/>
      <c r="C29" s="862"/>
      <c r="D29" s="814"/>
      <c r="E29" s="860"/>
      <c r="F29" s="828"/>
      <c r="G29" s="1370"/>
    </row>
    <row r="30" spans="1:7">
      <c r="A30" s="1374"/>
      <c r="B30" s="1375"/>
      <c r="C30" s="1376"/>
      <c r="D30" s="1375"/>
      <c r="E30" s="1376"/>
      <c r="F30" s="880"/>
      <c r="G30" s="880"/>
    </row>
    <row r="31" spans="1:7" s="870" customFormat="1" thickBot="1">
      <c r="A31" s="867"/>
      <c r="B31" s="868" t="s">
        <v>630</v>
      </c>
      <c r="C31" s="869"/>
      <c r="D31" s="868"/>
      <c r="E31" s="869"/>
      <c r="F31" s="881"/>
      <c r="G31" s="882">
        <f>SUM(G10:G30)</f>
        <v>0</v>
      </c>
    </row>
  </sheetData>
  <pageMargins left="0.7" right="0.7" top="0.75" bottom="0.75" header="0.3" footer="0.3"/>
  <pageSetup scale="67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19">
    <pageSetUpPr fitToPage="1"/>
  </sheetPr>
  <dimension ref="A1:J28"/>
  <sheetViews>
    <sheetView view="pageBreakPreview" topLeftCell="A5" zoomScale="98" zoomScaleNormal="100" zoomScaleSheetLayoutView="98" workbookViewId="0">
      <selection activeCell="F17" sqref="F17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45.08984375" style="20" customWidth="1"/>
    <col min="4" max="4" width="8.36328125" style="20" customWidth="1"/>
    <col min="5" max="5" width="11.90625" style="20" customWidth="1"/>
    <col min="6" max="6" width="13" style="20" customWidth="1"/>
    <col min="7" max="7" width="13.6328125" style="20" customWidth="1"/>
    <col min="8" max="8" width="9.453125" style="11" hidden="1" customWidth="1"/>
    <col min="9" max="9" width="12" style="11" hidden="1" customWidth="1"/>
    <col min="10" max="10" width="0" style="11" hidden="1" customWidth="1"/>
    <col min="11" max="16384" width="8.90625" style="11"/>
  </cols>
  <sheetData>
    <row r="1" spans="1:10" s="8" customFormat="1" ht="12" thickBot="1">
      <c r="A1" s="18"/>
      <c r="B1" s="23"/>
      <c r="C1" s="24"/>
      <c r="D1" s="18"/>
      <c r="E1" s="18"/>
      <c r="F1" s="18"/>
      <c r="G1" s="18"/>
    </row>
    <row r="2" spans="1:10" s="8" customFormat="1">
      <c r="A2" s="18"/>
      <c r="B2" s="900" t="s">
        <v>782</v>
      </c>
      <c r="C2" s="943"/>
      <c r="D2" s="943"/>
      <c r="E2" s="943"/>
      <c r="F2" s="943"/>
      <c r="G2" s="992"/>
    </row>
    <row r="3" spans="1:10" s="8" customFormat="1">
      <c r="A3" s="18"/>
      <c r="B3" s="904" t="s">
        <v>482</v>
      </c>
      <c r="C3" s="18"/>
      <c r="D3" s="18"/>
      <c r="E3" s="18"/>
      <c r="F3" s="18"/>
      <c r="G3" s="993"/>
    </row>
    <row r="4" spans="1:10" s="8" customFormat="1" ht="20.149999999999999" customHeight="1">
      <c r="A4" s="18"/>
      <c r="B4" s="966"/>
      <c r="C4" s="18"/>
      <c r="D4" s="18"/>
      <c r="E4" s="18"/>
      <c r="F4" s="18"/>
      <c r="G4" s="1026" t="s">
        <v>103</v>
      </c>
    </row>
    <row r="5" spans="1:10" s="14" customFormat="1" ht="30" customHeight="1">
      <c r="A5" s="4"/>
      <c r="B5" s="968" t="s">
        <v>0</v>
      </c>
      <c r="C5" s="785" t="s">
        <v>2</v>
      </c>
      <c r="D5" s="785" t="s">
        <v>3</v>
      </c>
      <c r="E5" s="785" t="s">
        <v>4</v>
      </c>
      <c r="F5" s="785" t="s">
        <v>5</v>
      </c>
      <c r="G5" s="1027" t="s">
        <v>6</v>
      </c>
      <c r="H5" s="1018" t="s">
        <v>217</v>
      </c>
      <c r="I5" s="116" t="s">
        <v>216</v>
      </c>
      <c r="J5" s="116" t="s">
        <v>218</v>
      </c>
    </row>
    <row r="6" spans="1:10" s="15" customFormat="1" ht="20.149999999999999" customHeight="1">
      <c r="A6" s="5"/>
      <c r="B6" s="970"/>
      <c r="C6" s="710"/>
      <c r="D6" s="1028"/>
      <c r="E6" s="1028"/>
      <c r="F6" s="1028"/>
      <c r="G6" s="1029"/>
      <c r="H6" s="1019"/>
      <c r="I6" s="131"/>
      <c r="J6" s="131"/>
    </row>
    <row r="7" spans="1:10" s="14" customFormat="1" ht="23">
      <c r="A7" s="4"/>
      <c r="B7" s="972" t="s">
        <v>157</v>
      </c>
      <c r="C7" s="788" t="s">
        <v>104</v>
      </c>
      <c r="D7" s="789"/>
      <c r="E7" s="1179"/>
      <c r="F7" s="1038"/>
      <c r="G7" s="1039"/>
      <c r="H7" s="724"/>
      <c r="I7" s="132"/>
      <c r="J7" s="132"/>
    </row>
    <row r="8" spans="1:10" s="14" customFormat="1" ht="11.4" customHeight="1">
      <c r="A8" s="4"/>
      <c r="B8" s="974"/>
      <c r="C8" s="67"/>
      <c r="D8" s="68"/>
      <c r="E8" s="68"/>
      <c r="F8" s="68"/>
      <c r="G8" s="1180"/>
      <c r="H8" s="1024"/>
      <c r="I8" s="118"/>
      <c r="J8" s="118"/>
    </row>
    <row r="9" spans="1:10" s="14" customFormat="1">
      <c r="A9" s="4"/>
      <c r="B9" s="998" t="s">
        <v>559</v>
      </c>
      <c r="C9" s="105" t="s">
        <v>105</v>
      </c>
      <c r="D9" s="37"/>
      <c r="E9" s="80"/>
      <c r="F9" s="82"/>
      <c r="G9" s="1040"/>
      <c r="H9" s="1023"/>
      <c r="I9" s="144"/>
      <c r="J9" s="144"/>
    </row>
    <row r="10" spans="1:10" s="14" customFormat="1" ht="11.4" customHeight="1">
      <c r="A10" s="4"/>
      <c r="B10" s="974"/>
      <c r="C10" s="67"/>
      <c r="D10" s="68"/>
      <c r="E10" s="68"/>
      <c r="F10" s="68"/>
      <c r="G10" s="1180"/>
      <c r="H10" s="1024"/>
      <c r="I10" s="118"/>
      <c r="J10" s="118"/>
    </row>
    <row r="11" spans="1:10" s="14" customFormat="1">
      <c r="A11" s="4"/>
      <c r="B11" s="976"/>
      <c r="C11" s="77" t="s">
        <v>106</v>
      </c>
      <c r="D11" s="37" t="s">
        <v>11</v>
      </c>
      <c r="E11" s="80">
        <v>100</v>
      </c>
      <c r="F11" s="1292">
        <v>0</v>
      </c>
      <c r="G11" s="1262">
        <f>E11*F11</f>
        <v>0</v>
      </c>
      <c r="H11" s="989">
        <v>15</v>
      </c>
      <c r="I11" s="122">
        <f>F11*H11</f>
        <v>0</v>
      </c>
      <c r="J11" s="122">
        <f>G11-I11</f>
        <v>0</v>
      </c>
    </row>
    <row r="12" spans="1:10" s="14" customFormat="1" ht="11.4" customHeight="1">
      <c r="A12" s="4"/>
      <c r="B12" s="974"/>
      <c r="C12" s="67"/>
      <c r="D12" s="68"/>
      <c r="E12" s="68"/>
      <c r="F12" s="1258"/>
      <c r="G12" s="1262"/>
      <c r="H12" s="1024"/>
      <c r="I12" s="123"/>
      <c r="J12" s="123"/>
    </row>
    <row r="13" spans="1:10" s="14" customFormat="1">
      <c r="A13" s="4"/>
      <c r="B13" s="998" t="s">
        <v>621</v>
      </c>
      <c r="C13" s="77" t="s">
        <v>622</v>
      </c>
      <c r="D13" s="37"/>
      <c r="E13" s="80"/>
      <c r="F13" s="1258"/>
      <c r="G13" s="1262"/>
      <c r="H13" s="1023"/>
      <c r="I13" s="120"/>
      <c r="J13" s="120"/>
    </row>
    <row r="14" spans="1:10" s="14" customFormat="1">
      <c r="A14" s="4"/>
      <c r="B14" s="999"/>
      <c r="C14" s="67"/>
      <c r="D14" s="68"/>
      <c r="E14" s="68"/>
      <c r="F14" s="1258"/>
      <c r="G14" s="1261"/>
      <c r="H14" s="989">
        <v>25.5</v>
      </c>
      <c r="I14" s="122" t="e">
        <f>#REF!*H14</f>
        <v>#REF!</v>
      </c>
      <c r="J14" s="122" t="e">
        <f>#REF!-I14</f>
        <v>#REF!</v>
      </c>
    </row>
    <row r="15" spans="1:10" s="14" customFormat="1">
      <c r="A15" s="4"/>
      <c r="B15" s="976"/>
      <c r="C15" s="63" t="s">
        <v>623</v>
      </c>
      <c r="D15" s="37" t="s">
        <v>19</v>
      </c>
      <c r="E15" s="80">
        <v>10</v>
      </c>
      <c r="F15" s="1292">
        <v>0</v>
      </c>
      <c r="G15" s="1262">
        <f>E15*F15</f>
        <v>0</v>
      </c>
      <c r="H15" s="989">
        <v>25.5</v>
      </c>
      <c r="I15" s="122">
        <f>F15*H15</f>
        <v>0</v>
      </c>
      <c r="J15" s="122">
        <f>G15-I15</f>
        <v>0</v>
      </c>
    </row>
    <row r="16" spans="1:10" s="14" customFormat="1">
      <c r="A16" s="4"/>
      <c r="B16" s="999"/>
      <c r="C16" s="67"/>
      <c r="D16" s="68"/>
      <c r="E16" s="68"/>
      <c r="F16" s="1258"/>
      <c r="G16" s="1261"/>
      <c r="H16" s="1024"/>
      <c r="I16" s="118"/>
      <c r="J16" s="118"/>
    </row>
    <row r="17" spans="1:10" s="14" customFormat="1">
      <c r="A17" s="4"/>
      <c r="B17" s="999"/>
      <c r="C17" s="67"/>
      <c r="D17" s="68"/>
      <c r="E17" s="68"/>
      <c r="F17" s="1258"/>
      <c r="G17" s="1261"/>
      <c r="H17" s="1024"/>
      <c r="I17" s="118"/>
      <c r="J17" s="118"/>
    </row>
    <row r="18" spans="1:10" s="14" customFormat="1">
      <c r="A18" s="4"/>
      <c r="B18" s="999"/>
      <c r="C18" s="67"/>
      <c r="D18" s="68"/>
      <c r="E18" s="68"/>
      <c r="F18" s="1258"/>
      <c r="G18" s="1261"/>
      <c r="H18" s="1024"/>
      <c r="I18" s="118"/>
      <c r="J18" s="118"/>
    </row>
    <row r="19" spans="1:10" s="14" customFormat="1">
      <c r="A19" s="4"/>
      <c r="B19" s="999"/>
      <c r="C19" s="67"/>
      <c r="D19" s="68"/>
      <c r="E19" s="68"/>
      <c r="F19" s="1258"/>
      <c r="G19" s="1261"/>
      <c r="H19" s="1024"/>
      <c r="I19" s="118"/>
      <c r="J19" s="118"/>
    </row>
    <row r="20" spans="1:10" s="14" customFormat="1">
      <c r="A20" s="4"/>
      <c r="B20" s="999"/>
      <c r="C20" s="67"/>
      <c r="D20" s="68"/>
      <c r="E20" s="68"/>
      <c r="F20" s="1258"/>
      <c r="G20" s="1261"/>
      <c r="H20" s="1024"/>
      <c r="I20" s="118"/>
      <c r="J20" s="118"/>
    </row>
    <row r="21" spans="1:10" s="14" customFormat="1">
      <c r="A21" s="4"/>
      <c r="B21" s="999"/>
      <c r="C21" s="67"/>
      <c r="D21" s="68"/>
      <c r="E21" s="68"/>
      <c r="F21" s="1258"/>
      <c r="G21" s="1261"/>
      <c r="H21" s="1024"/>
      <c r="I21" s="118"/>
      <c r="J21" s="118"/>
    </row>
    <row r="22" spans="1:10" s="14" customFormat="1">
      <c r="A22" s="4"/>
      <c r="B22" s="999"/>
      <c r="C22" s="67"/>
      <c r="D22" s="68"/>
      <c r="E22" s="68"/>
      <c r="F22" s="1258"/>
      <c r="G22" s="1261"/>
      <c r="H22" s="1024"/>
      <c r="I22" s="118"/>
      <c r="J22" s="118"/>
    </row>
    <row r="23" spans="1:10" s="14" customFormat="1">
      <c r="A23" s="4"/>
      <c r="B23" s="999"/>
      <c r="C23" s="67"/>
      <c r="D23" s="68"/>
      <c r="E23" s="68"/>
      <c r="F23" s="1258"/>
      <c r="G23" s="1261"/>
      <c r="H23" s="1024"/>
      <c r="I23" s="118"/>
      <c r="J23" s="118"/>
    </row>
    <row r="24" spans="1:10" s="14" customFormat="1">
      <c r="A24" s="4"/>
      <c r="B24" s="999"/>
      <c r="C24" s="67"/>
      <c r="D24" s="68"/>
      <c r="E24" s="68"/>
      <c r="F24" s="1258"/>
      <c r="G24" s="1261"/>
      <c r="H24" s="1024"/>
      <c r="I24" s="118"/>
      <c r="J24" s="118"/>
    </row>
    <row r="25" spans="1:10" s="14" customFormat="1" ht="12" thickBot="1">
      <c r="A25" s="21"/>
      <c r="B25" s="980" t="s">
        <v>145</v>
      </c>
      <c r="C25" s="1005"/>
      <c r="D25" s="1006"/>
      <c r="E25" s="1006"/>
      <c r="F25" s="1293"/>
      <c r="G25" s="1263">
        <f>SUM(G11:G24)</f>
        <v>0</v>
      </c>
      <c r="H25" s="1024"/>
      <c r="I25" s="118"/>
      <c r="J25" s="118"/>
    </row>
    <row r="26" spans="1:10" s="14" customFormat="1">
      <c r="A26" s="20"/>
      <c r="B26" s="20"/>
      <c r="C26" s="20"/>
      <c r="D26" s="20"/>
      <c r="E26" s="20"/>
      <c r="F26" s="20"/>
      <c r="G26" s="20"/>
      <c r="H26" s="118"/>
      <c r="I26" s="118"/>
      <c r="J26" s="118"/>
    </row>
    <row r="27" spans="1:10" s="14" customFormat="1" ht="12" thickBot="1">
      <c r="A27" s="20"/>
      <c r="B27" s="20"/>
      <c r="C27" s="20"/>
      <c r="D27" s="20"/>
      <c r="E27" s="20"/>
      <c r="F27" s="20"/>
      <c r="G27" s="20"/>
      <c r="H27" s="118"/>
      <c r="I27" s="118"/>
      <c r="J27" s="118"/>
    </row>
    <row r="28" spans="1:10" s="16" customFormat="1" ht="20.149999999999999" customHeight="1" thickBot="1">
      <c r="A28" s="20"/>
      <c r="B28" s="20"/>
      <c r="C28" s="20"/>
      <c r="D28" s="20"/>
      <c r="E28" s="20"/>
      <c r="F28" s="20"/>
      <c r="G28" s="20"/>
      <c r="H28" s="147"/>
      <c r="I28" s="147" t="e">
        <f>SUM(I7:I18)</f>
        <v>#REF!</v>
      </c>
      <c r="J28" s="147" t="e">
        <f>SUM(J7:J18)</f>
        <v>#REF!</v>
      </c>
    </row>
  </sheetData>
  <pageMargins left="0.5905524831078367" right="0.27559115878365709" top="0.3937016554052245" bottom="0.3937016554052245" header="0.3" footer="0.3"/>
  <pageSetup paperSize="9" scale="94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9EF27-678E-4EB0-83BE-3C068A841330}">
  <sheetPr>
    <pageSetUpPr fitToPage="1"/>
  </sheetPr>
  <dimension ref="A1:L32"/>
  <sheetViews>
    <sheetView view="pageBreakPreview" topLeftCell="A12" zoomScaleNormal="100" zoomScaleSheetLayoutView="100" workbookViewId="0">
      <selection activeCell="F27" sqref="F27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45.08984375" style="20" customWidth="1"/>
    <col min="4" max="4" width="8.36328125" style="20" customWidth="1"/>
    <col min="5" max="5" width="11.90625" style="20" customWidth="1"/>
    <col min="6" max="6" width="13" style="755" customWidth="1"/>
    <col min="7" max="7" width="13.6328125" style="755" customWidth="1"/>
    <col min="8" max="8" width="9.453125" style="11" hidden="1" customWidth="1"/>
    <col min="9" max="9" width="12" style="11" hidden="1" customWidth="1"/>
    <col min="10" max="10" width="0" style="11" hidden="1" customWidth="1"/>
    <col min="11" max="11" width="8.90625" style="11"/>
    <col min="12" max="12" width="10.08984375" style="11" bestFit="1" customWidth="1"/>
    <col min="13" max="16384" width="8.90625" style="11"/>
  </cols>
  <sheetData>
    <row r="1" spans="1:10" s="8" customFormat="1" ht="12" thickBot="1">
      <c r="A1" s="18"/>
      <c r="B1" s="23"/>
      <c r="C1" s="24"/>
      <c r="D1" s="18"/>
      <c r="E1" s="18"/>
      <c r="F1" s="752"/>
      <c r="G1" s="752"/>
    </row>
    <row r="2" spans="1:10" s="8" customFormat="1">
      <c r="A2" s="18"/>
      <c r="B2" s="900" t="s">
        <v>782</v>
      </c>
      <c r="C2" s="943"/>
      <c r="D2" s="943"/>
      <c r="E2" s="943"/>
      <c r="F2" s="1181"/>
      <c r="G2" s="1182"/>
    </row>
    <row r="3" spans="1:10" s="8" customFormat="1">
      <c r="A3" s="18"/>
      <c r="B3" s="904" t="s">
        <v>482</v>
      </c>
      <c r="C3" s="18"/>
      <c r="D3" s="18"/>
      <c r="E3" s="18"/>
      <c r="F3" s="752"/>
      <c r="G3" s="1183"/>
    </row>
    <row r="4" spans="1:10" s="8" customFormat="1" ht="20.149999999999999" customHeight="1">
      <c r="A4" s="18"/>
      <c r="B4" s="966"/>
      <c r="C4" s="18"/>
      <c r="D4" s="18"/>
      <c r="E4" s="18"/>
      <c r="F4" s="752"/>
      <c r="G4" s="1184" t="s">
        <v>578</v>
      </c>
    </row>
    <row r="5" spans="1:10" s="14" customFormat="1" ht="30" customHeight="1">
      <c r="A5" s="4"/>
      <c r="B5" s="968" t="s">
        <v>0</v>
      </c>
      <c r="C5" s="785" t="s">
        <v>2</v>
      </c>
      <c r="D5" s="785" t="s">
        <v>3</v>
      </c>
      <c r="E5" s="785" t="s">
        <v>4</v>
      </c>
      <c r="F5" s="1185" t="s">
        <v>5</v>
      </c>
      <c r="G5" s="1186" t="s">
        <v>6</v>
      </c>
      <c r="H5" s="1018" t="s">
        <v>217</v>
      </c>
      <c r="I5" s="116" t="s">
        <v>216</v>
      </c>
      <c r="J5" s="116" t="s">
        <v>218</v>
      </c>
    </row>
    <row r="6" spans="1:10" s="15" customFormat="1" ht="20.149999999999999" customHeight="1">
      <c r="A6" s="5"/>
      <c r="B6" s="970"/>
      <c r="C6" s="710"/>
      <c r="D6" s="1028"/>
      <c r="E6" s="1028"/>
      <c r="F6" s="1187"/>
      <c r="G6" s="1188"/>
      <c r="H6" s="1019"/>
      <c r="I6" s="131"/>
      <c r="J6" s="131"/>
    </row>
    <row r="7" spans="1:10" s="14" customFormat="1" ht="21" customHeight="1">
      <c r="A7" s="4"/>
      <c r="B7" s="972" t="s">
        <v>579</v>
      </c>
      <c r="C7" s="788" t="s">
        <v>580</v>
      </c>
      <c r="D7" s="789"/>
      <c r="E7" s="1179"/>
      <c r="F7" s="1189"/>
      <c r="G7" s="1190"/>
      <c r="H7" s="724"/>
      <c r="I7" s="132"/>
      <c r="J7" s="132"/>
    </row>
    <row r="8" spans="1:10" s="14" customFormat="1" ht="11.4" customHeight="1">
      <c r="A8" s="4"/>
      <c r="B8" s="974"/>
      <c r="C8" s="67"/>
      <c r="D8" s="68"/>
      <c r="E8" s="68"/>
      <c r="F8" s="753"/>
      <c r="G8" s="1191"/>
      <c r="H8" s="1024"/>
      <c r="I8" s="118"/>
      <c r="J8" s="118"/>
    </row>
    <row r="9" spans="1:10" s="14" customFormat="1">
      <c r="A9" s="4"/>
      <c r="B9" s="998" t="s">
        <v>581</v>
      </c>
      <c r="C9" s="105" t="s">
        <v>582</v>
      </c>
      <c r="D9" s="37"/>
      <c r="E9" s="80"/>
      <c r="F9" s="753"/>
      <c r="G9" s="1191"/>
      <c r="H9" s="1023"/>
      <c r="I9" s="144"/>
      <c r="J9" s="144"/>
    </row>
    <row r="10" spans="1:10" s="14" customFormat="1" ht="11.4" customHeight="1">
      <c r="A10" s="4"/>
      <c r="B10" s="974"/>
      <c r="C10" s="67"/>
      <c r="D10" s="68"/>
      <c r="E10" s="68"/>
      <c r="F10" s="753"/>
      <c r="G10" s="1191"/>
      <c r="H10" s="1024"/>
      <c r="I10" s="118"/>
      <c r="J10" s="118"/>
    </row>
    <row r="11" spans="1:10" s="14" customFormat="1">
      <c r="A11" s="4"/>
      <c r="B11" s="976"/>
      <c r="C11" s="77" t="s">
        <v>583</v>
      </c>
      <c r="D11" s="37" t="s">
        <v>38</v>
      </c>
      <c r="E11" s="80">
        <v>300</v>
      </c>
      <c r="F11" s="754">
        <v>0</v>
      </c>
      <c r="G11" s="1192">
        <f>E11*F11</f>
        <v>0</v>
      </c>
      <c r="H11" s="989">
        <v>15</v>
      </c>
      <c r="I11" s="122">
        <f>F11*H11</f>
        <v>0</v>
      </c>
      <c r="J11" s="122">
        <f>G11-I11</f>
        <v>0</v>
      </c>
    </row>
    <row r="12" spans="1:10" s="14" customFormat="1" ht="11.4" customHeight="1">
      <c r="A12" s="4"/>
      <c r="B12" s="974"/>
      <c r="C12" s="67"/>
      <c r="D12" s="68"/>
      <c r="E12" s="68"/>
      <c r="F12" s="753"/>
      <c r="G12" s="1192"/>
      <c r="H12" s="1024"/>
      <c r="I12" s="123"/>
      <c r="J12" s="123"/>
    </row>
    <row r="13" spans="1:10" s="14" customFormat="1" ht="23">
      <c r="A13" s="4"/>
      <c r="B13" s="998" t="s">
        <v>584</v>
      </c>
      <c r="C13" s="77" t="s">
        <v>585</v>
      </c>
      <c r="D13" s="37" t="s">
        <v>38</v>
      </c>
      <c r="E13" s="80">
        <v>10</v>
      </c>
      <c r="F13" s="753">
        <v>0</v>
      </c>
      <c r="G13" s="1192">
        <f>E13*F13</f>
        <v>0</v>
      </c>
      <c r="H13" s="1023"/>
      <c r="I13" s="120"/>
      <c r="J13" s="120"/>
    </row>
    <row r="14" spans="1:10" s="14" customFormat="1" ht="11.4" customHeight="1">
      <c r="A14" s="4"/>
      <c r="B14" s="974"/>
      <c r="C14" s="67"/>
      <c r="D14" s="68"/>
      <c r="E14" s="68"/>
      <c r="F14" s="753"/>
      <c r="G14" s="1192"/>
      <c r="H14" s="1024"/>
      <c r="I14" s="123"/>
      <c r="J14" s="123"/>
    </row>
    <row r="15" spans="1:10" s="14" customFormat="1">
      <c r="A15" s="4"/>
      <c r="B15" s="998">
        <v>54.04</v>
      </c>
      <c r="C15" s="695" t="s">
        <v>586</v>
      </c>
      <c r="D15" s="68"/>
      <c r="E15" s="68"/>
      <c r="F15" s="753"/>
      <c r="G15" s="1191"/>
      <c r="H15" s="1024"/>
      <c r="I15" s="118"/>
      <c r="J15" s="118"/>
    </row>
    <row r="16" spans="1:10" s="14" customFormat="1">
      <c r="A16" s="4"/>
      <c r="B16" s="999"/>
      <c r="C16" s="67"/>
      <c r="D16" s="68"/>
      <c r="E16" s="68"/>
      <c r="F16" s="753"/>
      <c r="G16" s="1191"/>
      <c r="H16" s="1024"/>
      <c r="I16" s="118"/>
      <c r="J16" s="118"/>
    </row>
    <row r="17" spans="1:12" s="14" customFormat="1">
      <c r="A17" s="4"/>
      <c r="B17" s="999"/>
      <c r="C17" s="67" t="s">
        <v>587</v>
      </c>
      <c r="D17" s="68" t="s">
        <v>194</v>
      </c>
      <c r="E17" s="68">
        <v>4</v>
      </c>
      <c r="F17" s="753">
        <v>0</v>
      </c>
      <c r="G17" s="1191">
        <f>E17*F17</f>
        <v>0</v>
      </c>
      <c r="H17" s="1024"/>
      <c r="I17" s="118"/>
      <c r="J17" s="118"/>
    </row>
    <row r="18" spans="1:12" s="14" customFormat="1">
      <c r="A18" s="4"/>
      <c r="B18" s="999"/>
      <c r="C18" s="67" t="s">
        <v>588</v>
      </c>
      <c r="D18" s="68"/>
      <c r="E18" s="68"/>
      <c r="F18" s="753"/>
      <c r="G18" s="1191"/>
      <c r="H18" s="1024"/>
      <c r="I18" s="118"/>
      <c r="J18" s="118"/>
    </row>
    <row r="19" spans="1:12" s="14" customFormat="1">
      <c r="A19" s="4"/>
      <c r="B19" s="999"/>
      <c r="C19" s="67"/>
      <c r="D19" s="68"/>
      <c r="E19" s="68"/>
      <c r="F19" s="753"/>
      <c r="G19" s="1191"/>
      <c r="H19" s="1024"/>
      <c r="I19" s="118"/>
      <c r="J19" s="118"/>
    </row>
    <row r="20" spans="1:12" s="14" customFormat="1">
      <c r="A20" s="4"/>
      <c r="B20" s="998">
        <v>54.05</v>
      </c>
      <c r="C20" s="67" t="s">
        <v>589</v>
      </c>
      <c r="D20" s="68"/>
      <c r="E20" s="68"/>
      <c r="F20" s="753"/>
      <c r="G20" s="1191"/>
      <c r="H20" s="1024"/>
      <c r="I20" s="118"/>
      <c r="J20" s="118"/>
    </row>
    <row r="21" spans="1:12" s="14" customFormat="1">
      <c r="A21" s="4"/>
      <c r="B21" s="999"/>
      <c r="C21" s="67"/>
      <c r="D21" s="68"/>
      <c r="E21" s="68"/>
      <c r="F21" s="753"/>
      <c r="G21" s="1191"/>
      <c r="H21" s="1024"/>
      <c r="I21" s="118"/>
      <c r="J21" s="118"/>
    </row>
    <row r="22" spans="1:12" s="14" customFormat="1">
      <c r="A22" s="4"/>
      <c r="B22" s="1193"/>
      <c r="C22" s="67" t="s">
        <v>590</v>
      </c>
      <c r="D22" s="68" t="s">
        <v>194</v>
      </c>
      <c r="E22" s="68">
        <v>6</v>
      </c>
      <c r="F22" s="753">
        <v>0</v>
      </c>
      <c r="G22" s="1191">
        <f>E22*F22</f>
        <v>0</v>
      </c>
      <c r="H22" s="1024"/>
      <c r="I22" s="118"/>
      <c r="J22" s="118"/>
    </row>
    <row r="23" spans="1:12" s="14" customFormat="1">
      <c r="A23" s="4"/>
      <c r="B23" s="1193"/>
      <c r="C23" s="67"/>
      <c r="D23" s="68"/>
      <c r="E23" s="68"/>
      <c r="F23" s="753"/>
      <c r="G23" s="1191"/>
      <c r="H23" s="1024"/>
      <c r="I23" s="118"/>
      <c r="J23" s="118"/>
    </row>
    <row r="24" spans="1:12" s="14" customFormat="1">
      <c r="A24" s="4"/>
      <c r="B24" s="1193">
        <v>54.06</v>
      </c>
      <c r="C24" s="67" t="s">
        <v>677</v>
      </c>
      <c r="D24" s="68" t="s">
        <v>10</v>
      </c>
      <c r="E24" s="68">
        <f>300/5</f>
        <v>60</v>
      </c>
      <c r="F24" s="753">
        <v>0</v>
      </c>
      <c r="G24" s="1191">
        <f>E24*F24</f>
        <v>0</v>
      </c>
      <c r="H24" s="1024"/>
      <c r="I24" s="118"/>
      <c r="J24" s="118"/>
    </row>
    <row r="25" spans="1:12" s="14" customFormat="1">
      <c r="A25" s="4"/>
      <c r="B25" s="1193"/>
      <c r="C25" s="67"/>
      <c r="D25" s="68"/>
      <c r="E25" s="68"/>
      <c r="F25" s="753"/>
      <c r="G25" s="1191"/>
      <c r="H25" s="1024"/>
      <c r="I25" s="118"/>
      <c r="J25" s="118"/>
    </row>
    <row r="26" spans="1:12" s="14" customFormat="1" ht="23">
      <c r="A26" s="4"/>
      <c r="B26" s="1193">
        <v>54.12</v>
      </c>
      <c r="C26" s="67" t="s">
        <v>678</v>
      </c>
      <c r="D26" s="68" t="s">
        <v>10</v>
      </c>
      <c r="E26" s="68">
        <v>50</v>
      </c>
      <c r="F26" s="753">
        <v>0</v>
      </c>
      <c r="G26" s="1191">
        <f>E26*F26</f>
        <v>0</v>
      </c>
      <c r="H26" s="1024"/>
      <c r="I26" s="118"/>
      <c r="J26" s="118"/>
      <c r="L26" s="68">
        <f>(E11/3.81)*60%</f>
        <v>47.244094488188999</v>
      </c>
    </row>
    <row r="27" spans="1:12" s="14" customFormat="1">
      <c r="A27" s="4"/>
      <c r="B27" s="1193"/>
      <c r="C27" s="67"/>
      <c r="D27" s="68"/>
      <c r="E27" s="68"/>
      <c r="F27" s="753"/>
      <c r="G27" s="1191"/>
      <c r="H27" s="1024"/>
      <c r="I27" s="118"/>
      <c r="J27" s="118"/>
    </row>
    <row r="28" spans="1:12" s="14" customFormat="1">
      <c r="A28" s="4"/>
      <c r="B28" s="999"/>
      <c r="C28" s="67"/>
      <c r="D28" s="68"/>
      <c r="E28" s="68"/>
      <c r="F28" s="753"/>
      <c r="G28" s="1191"/>
      <c r="H28" s="1024"/>
      <c r="I28" s="118"/>
      <c r="J28" s="118"/>
    </row>
    <row r="29" spans="1:12" s="14" customFormat="1">
      <c r="A29" s="4"/>
      <c r="B29" s="999"/>
      <c r="C29" s="67"/>
      <c r="D29" s="68"/>
      <c r="E29" s="68"/>
      <c r="F29" s="753"/>
      <c r="G29" s="1191"/>
      <c r="H29" s="1024"/>
      <c r="I29" s="118"/>
      <c r="J29" s="118"/>
    </row>
    <row r="30" spans="1:12" s="14" customFormat="1">
      <c r="A30" s="4"/>
      <c r="B30" s="999"/>
      <c r="C30" s="67"/>
      <c r="D30" s="68"/>
      <c r="E30" s="68"/>
      <c r="F30" s="753"/>
      <c r="G30" s="1191"/>
      <c r="H30" s="1024"/>
      <c r="I30" s="118"/>
      <c r="J30" s="118"/>
    </row>
    <row r="31" spans="1:12" s="14" customFormat="1" ht="12" thickBot="1">
      <c r="A31" s="4"/>
      <c r="B31" s="999"/>
      <c r="C31" s="67"/>
      <c r="D31" s="68"/>
      <c r="E31" s="68"/>
      <c r="F31" s="753"/>
      <c r="G31" s="1191"/>
      <c r="H31" s="1024"/>
      <c r="I31" s="118"/>
      <c r="J31" s="118"/>
    </row>
    <row r="32" spans="1:12" s="16" customFormat="1" ht="20.149999999999999" customHeight="1" thickBot="1">
      <c r="A32" s="21"/>
      <c r="B32" s="980" t="s">
        <v>145</v>
      </c>
      <c r="C32" s="1005"/>
      <c r="D32" s="1006"/>
      <c r="E32" s="1006"/>
      <c r="F32" s="1194"/>
      <c r="G32" s="1195">
        <f>SUM(G11:G26)</f>
        <v>0</v>
      </c>
      <c r="H32" s="1025"/>
      <c r="I32" s="147">
        <f>SUM(I7:I24)</f>
        <v>0</v>
      </c>
      <c r="J32" s="147">
        <f>SUM(J7:J24)</f>
        <v>0</v>
      </c>
    </row>
  </sheetData>
  <pageMargins left="0.7" right="0.7" top="0.75" bottom="0.75" header="0.3" footer="0.3"/>
  <pageSetup paperSize="9" scale="88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1">
    <pageSetUpPr fitToPage="1"/>
  </sheetPr>
  <dimension ref="A1:L52"/>
  <sheetViews>
    <sheetView view="pageBreakPreview" topLeftCell="A30" zoomScaleNormal="108" zoomScaleSheetLayoutView="100" workbookViewId="0">
      <selection activeCell="E40" sqref="E40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42.54296875" style="20" customWidth="1"/>
    <col min="4" max="4" width="6.36328125" style="20" customWidth="1"/>
    <col min="5" max="5" width="10.36328125" style="20" customWidth="1"/>
    <col min="6" max="6" width="12.36328125" style="20" customWidth="1"/>
    <col min="7" max="7" width="15.54296875" style="20" customWidth="1"/>
    <col min="8" max="8" width="0" style="11" hidden="1" customWidth="1"/>
    <col min="9" max="9" width="10.453125" style="11" hidden="1" customWidth="1"/>
    <col min="10" max="10" width="0" style="11" hidden="1" customWidth="1"/>
    <col min="11" max="16384" width="8.90625" style="11"/>
  </cols>
  <sheetData>
    <row r="1" spans="1:12" s="8" customFormat="1" ht="12" thickBot="1">
      <c r="A1" s="18"/>
      <c r="B1" s="23"/>
      <c r="C1" s="24"/>
      <c r="D1" s="18"/>
      <c r="E1" s="18"/>
      <c r="F1" s="18"/>
      <c r="G1" s="18"/>
    </row>
    <row r="2" spans="1:12" s="8" customFormat="1">
      <c r="A2" s="18"/>
      <c r="B2" s="900" t="s">
        <v>782</v>
      </c>
      <c r="C2" s="943"/>
      <c r="D2" s="943"/>
      <c r="E2" s="943"/>
      <c r="F2" s="943"/>
      <c r="G2" s="992"/>
    </row>
    <row r="3" spans="1:12" s="8" customFormat="1">
      <c r="A3" s="18"/>
      <c r="B3" s="904" t="s">
        <v>482</v>
      </c>
      <c r="C3" s="18"/>
      <c r="D3" s="18"/>
      <c r="E3" s="18"/>
      <c r="F3" s="18"/>
      <c r="G3" s="993"/>
    </row>
    <row r="4" spans="1:12" s="8" customFormat="1" ht="20.149999999999999" customHeight="1">
      <c r="A4" s="18"/>
      <c r="B4" s="966"/>
      <c r="C4" s="18"/>
      <c r="D4" s="18"/>
      <c r="E4" s="18"/>
      <c r="F4" s="18"/>
      <c r="G4" s="1026" t="s">
        <v>107</v>
      </c>
    </row>
    <row r="5" spans="1:12" s="14" customFormat="1" ht="30" customHeight="1">
      <c r="A5" s="4"/>
      <c r="B5" s="968" t="s">
        <v>0</v>
      </c>
      <c r="C5" s="785" t="s">
        <v>2</v>
      </c>
      <c r="D5" s="785" t="s">
        <v>3</v>
      </c>
      <c r="E5" s="785" t="s">
        <v>4</v>
      </c>
      <c r="F5" s="785" t="s">
        <v>5</v>
      </c>
      <c r="G5" s="1027" t="s">
        <v>6</v>
      </c>
      <c r="H5" s="1018" t="s">
        <v>217</v>
      </c>
      <c r="I5" s="116" t="s">
        <v>216</v>
      </c>
      <c r="J5" s="116" t="s">
        <v>218</v>
      </c>
    </row>
    <row r="6" spans="1:12" s="15" customFormat="1" ht="20.149999999999999" customHeight="1">
      <c r="A6" s="5"/>
      <c r="B6" s="970"/>
      <c r="C6" s="710"/>
      <c r="D6" s="1028"/>
      <c r="E6" s="1028"/>
      <c r="F6" s="1028"/>
      <c r="G6" s="1029"/>
      <c r="H6" s="1019"/>
      <c r="I6" s="131"/>
      <c r="J6" s="131"/>
    </row>
    <row r="7" spans="1:12" s="15" customFormat="1" ht="15" customHeight="1">
      <c r="A7" s="5"/>
      <c r="B7" s="1030"/>
      <c r="C7" s="704"/>
      <c r="D7" s="720"/>
      <c r="E7" s="720"/>
      <c r="F7" s="720"/>
      <c r="G7" s="1197"/>
      <c r="H7" s="722"/>
      <c r="I7" s="723"/>
      <c r="J7" s="723"/>
    </row>
    <row r="8" spans="1:12" s="14" customFormat="1" ht="12" customHeight="1">
      <c r="A8" s="4"/>
      <c r="B8" s="1198" t="s">
        <v>158</v>
      </c>
      <c r="C8" s="725" t="s">
        <v>108</v>
      </c>
      <c r="D8" s="617"/>
      <c r="E8" s="726"/>
      <c r="F8" s="727"/>
      <c r="G8" s="1040"/>
      <c r="H8" s="724"/>
      <c r="I8" s="132"/>
      <c r="J8" s="132"/>
      <c r="K8" s="728"/>
    </row>
    <row r="9" spans="1:12" s="14" customFormat="1">
      <c r="A9" s="4"/>
      <c r="B9" s="1198"/>
      <c r="C9" s="725"/>
      <c r="D9" s="617"/>
      <c r="E9" s="726"/>
      <c r="F9" s="727"/>
      <c r="G9" s="1040"/>
      <c r="H9" s="1023"/>
      <c r="I9" s="144"/>
      <c r="J9" s="144"/>
      <c r="K9" s="728"/>
    </row>
    <row r="10" spans="1:12" s="14" customFormat="1" ht="50.15" customHeight="1">
      <c r="A10" s="4"/>
      <c r="B10" s="998" t="s">
        <v>544</v>
      </c>
      <c r="C10" s="105" t="s">
        <v>109</v>
      </c>
      <c r="D10" s="37"/>
      <c r="E10" s="80"/>
      <c r="F10" s="82"/>
      <c r="G10" s="1040"/>
      <c r="H10" s="1023"/>
      <c r="I10" s="144"/>
      <c r="J10" s="144"/>
      <c r="L10" s="14" t="s">
        <v>528</v>
      </c>
    </row>
    <row r="11" spans="1:12" s="14" customFormat="1" ht="11.4" customHeight="1">
      <c r="A11" s="4"/>
      <c r="B11" s="974"/>
      <c r="C11" s="67"/>
      <c r="D11" s="68"/>
      <c r="E11" s="68"/>
      <c r="F11" s="68"/>
      <c r="G11" s="1180"/>
      <c r="H11" s="1024"/>
      <c r="I11" s="118"/>
      <c r="J11" s="118"/>
    </row>
    <row r="12" spans="1:12" s="14" customFormat="1">
      <c r="A12" s="4"/>
      <c r="B12" s="976"/>
      <c r="C12" s="105" t="s">
        <v>110</v>
      </c>
      <c r="D12" s="37"/>
      <c r="E12" s="80"/>
      <c r="F12" s="82"/>
      <c r="G12" s="1040"/>
      <c r="H12" s="1023"/>
      <c r="I12" s="144"/>
      <c r="J12" s="144"/>
    </row>
    <row r="13" spans="1:12" s="14" customFormat="1" ht="11.4" customHeight="1">
      <c r="A13" s="4"/>
      <c r="B13" s="974"/>
      <c r="C13" s="67"/>
      <c r="D13" s="68"/>
      <c r="E13" s="61"/>
      <c r="F13" s="68"/>
      <c r="G13" s="1180"/>
      <c r="H13" s="988"/>
      <c r="I13" s="118"/>
      <c r="J13" s="118"/>
    </row>
    <row r="14" spans="1:12" s="14" customFormat="1" ht="11.4" customHeight="1">
      <c r="A14" s="4"/>
      <c r="B14" s="974"/>
      <c r="C14" s="67" t="s">
        <v>667</v>
      </c>
      <c r="D14" s="64" t="s">
        <v>11</v>
      </c>
      <c r="E14" s="65">
        <v>160</v>
      </c>
      <c r="F14" s="1251">
        <v>0</v>
      </c>
      <c r="G14" s="1262">
        <f>E14*F14</f>
        <v>0</v>
      </c>
      <c r="H14" s="988"/>
      <c r="I14" s="118"/>
      <c r="J14" s="118"/>
    </row>
    <row r="15" spans="1:12" s="14" customFormat="1" ht="11.4" customHeight="1">
      <c r="A15" s="4"/>
      <c r="B15" s="974"/>
      <c r="C15" s="67"/>
      <c r="D15" s="68"/>
      <c r="E15" s="61"/>
      <c r="F15" s="1258"/>
      <c r="G15" s="1261"/>
      <c r="H15" s="988"/>
      <c r="I15" s="118"/>
      <c r="J15" s="118"/>
    </row>
    <row r="16" spans="1:12" s="14" customFormat="1">
      <c r="A16" s="4"/>
      <c r="B16" s="1001"/>
      <c r="C16" s="63" t="s">
        <v>545</v>
      </c>
      <c r="D16" s="64" t="s">
        <v>11</v>
      </c>
      <c r="E16" s="65">
        <v>10</v>
      </c>
      <c r="F16" s="1251">
        <v>0</v>
      </c>
      <c r="G16" s="1262">
        <f>E16*F16</f>
        <v>0</v>
      </c>
      <c r="H16" s="989">
        <v>215</v>
      </c>
      <c r="I16" s="120">
        <f>F16*H16</f>
        <v>0</v>
      </c>
      <c r="J16" s="122">
        <f>G16-I16</f>
        <v>0</v>
      </c>
    </row>
    <row r="17" spans="1:10" s="14" customFormat="1">
      <c r="A17" s="4"/>
      <c r="B17" s="1001"/>
      <c r="C17" s="63"/>
      <c r="D17" s="64"/>
      <c r="E17" s="65"/>
      <c r="F17" s="1251"/>
      <c r="G17" s="1262"/>
      <c r="H17" s="989"/>
      <c r="I17" s="120"/>
      <c r="J17" s="122"/>
    </row>
    <row r="18" spans="1:10" s="14" customFormat="1">
      <c r="A18" s="4"/>
      <c r="B18" s="1003" t="s">
        <v>546</v>
      </c>
      <c r="C18" s="95" t="s">
        <v>548</v>
      </c>
      <c r="D18" s="64"/>
      <c r="E18" s="65"/>
      <c r="F18" s="1251"/>
      <c r="G18" s="1262"/>
      <c r="H18" s="989"/>
      <c r="I18" s="120"/>
      <c r="J18" s="122"/>
    </row>
    <row r="19" spans="1:10" s="14" customFormat="1">
      <c r="A19" s="4"/>
      <c r="B19" s="1003"/>
      <c r="C19" s="95"/>
      <c r="D19" s="64"/>
      <c r="E19" s="65"/>
      <c r="F19" s="1251"/>
      <c r="G19" s="1262"/>
      <c r="H19" s="989"/>
      <c r="I19" s="120"/>
      <c r="J19" s="122"/>
    </row>
    <row r="20" spans="1:10" s="14" customFormat="1">
      <c r="A20" s="4"/>
      <c r="B20" s="1003"/>
      <c r="C20" s="63" t="s">
        <v>547</v>
      </c>
      <c r="D20" s="64"/>
      <c r="E20" s="65"/>
      <c r="F20" s="1251"/>
      <c r="G20" s="1262"/>
      <c r="H20" s="989"/>
      <c r="I20" s="120"/>
      <c r="J20" s="122"/>
    </row>
    <row r="21" spans="1:10" s="14" customFormat="1">
      <c r="A21" s="4"/>
      <c r="B21" s="1003"/>
      <c r="C21" s="63"/>
      <c r="D21" s="64"/>
      <c r="E21" s="65"/>
      <c r="F21" s="1251"/>
      <c r="G21" s="1262"/>
      <c r="H21" s="989"/>
      <c r="I21" s="120"/>
      <c r="J21" s="122"/>
    </row>
    <row r="22" spans="1:10" s="14" customFormat="1">
      <c r="A22" s="4"/>
      <c r="B22" s="1003"/>
      <c r="C22" s="63" t="s">
        <v>550</v>
      </c>
      <c r="D22" s="64" t="s">
        <v>11</v>
      </c>
      <c r="E22" s="65">
        <v>10</v>
      </c>
      <c r="F22" s="1251">
        <v>0</v>
      </c>
      <c r="G22" s="1262">
        <f>E22*F22</f>
        <v>0</v>
      </c>
      <c r="H22" s="989"/>
      <c r="I22" s="120"/>
      <c r="J22" s="122"/>
    </row>
    <row r="23" spans="1:10" s="14" customFormat="1">
      <c r="A23" s="4"/>
      <c r="B23" s="1003"/>
      <c r="C23" s="63"/>
      <c r="D23" s="64"/>
      <c r="E23" s="65"/>
      <c r="F23" s="1251"/>
      <c r="G23" s="1262"/>
      <c r="H23" s="989"/>
      <c r="I23" s="120"/>
      <c r="J23" s="122"/>
    </row>
    <row r="24" spans="1:10" s="14" customFormat="1" ht="23">
      <c r="A24" s="4"/>
      <c r="B24" s="1003"/>
      <c r="C24" s="63" t="s">
        <v>549</v>
      </c>
      <c r="D24" s="64"/>
      <c r="E24" s="65"/>
      <c r="F24" s="1251"/>
      <c r="G24" s="1262"/>
      <c r="H24" s="989"/>
      <c r="I24" s="120"/>
      <c r="J24" s="122"/>
    </row>
    <row r="25" spans="1:10" s="14" customFormat="1">
      <c r="A25" s="4"/>
      <c r="B25" s="1003"/>
      <c r="C25" s="63"/>
      <c r="D25" s="64"/>
      <c r="E25" s="65"/>
      <c r="F25" s="1251"/>
      <c r="G25" s="1262"/>
      <c r="H25" s="989"/>
      <c r="I25" s="120"/>
      <c r="J25" s="122"/>
    </row>
    <row r="26" spans="1:10" s="14" customFormat="1">
      <c r="A26" s="4"/>
      <c r="B26" s="1003"/>
      <c r="C26" s="63" t="s">
        <v>550</v>
      </c>
      <c r="D26" s="64" t="s">
        <v>11</v>
      </c>
      <c r="E26" s="65">
        <v>10</v>
      </c>
      <c r="F26" s="1251">
        <v>0</v>
      </c>
      <c r="G26" s="1262">
        <f>E26*F26</f>
        <v>0</v>
      </c>
      <c r="H26" s="989"/>
      <c r="I26" s="120"/>
      <c r="J26" s="122"/>
    </row>
    <row r="27" spans="1:10" s="14" customFormat="1">
      <c r="A27" s="4"/>
      <c r="B27" s="1003"/>
      <c r="C27" s="95"/>
      <c r="D27" s="64"/>
      <c r="E27" s="65"/>
      <c r="F27" s="1251"/>
      <c r="G27" s="1262"/>
      <c r="H27" s="989"/>
      <c r="I27" s="120"/>
      <c r="J27" s="122"/>
    </row>
    <row r="28" spans="1:10" s="14" customFormat="1" ht="23">
      <c r="A28" s="4"/>
      <c r="B28" s="1003" t="s">
        <v>551</v>
      </c>
      <c r="C28" s="95" t="s">
        <v>111</v>
      </c>
      <c r="D28" s="64"/>
      <c r="E28" s="65"/>
      <c r="F28" s="1252"/>
      <c r="G28" s="1262"/>
      <c r="H28" s="989"/>
      <c r="I28" s="120"/>
      <c r="J28" s="120"/>
    </row>
    <row r="29" spans="1:10" s="14" customFormat="1" ht="11.4" customHeight="1">
      <c r="A29" s="4"/>
      <c r="B29" s="1105"/>
      <c r="C29" s="60"/>
      <c r="D29" s="61"/>
      <c r="E29" s="61"/>
      <c r="F29" s="1252"/>
      <c r="G29" s="1262"/>
      <c r="H29" s="988"/>
      <c r="I29" s="123"/>
      <c r="J29" s="123"/>
    </row>
    <row r="30" spans="1:10" s="14" customFormat="1" ht="52.25" customHeight="1">
      <c r="A30" s="4"/>
      <c r="B30" s="1001"/>
      <c r="C30" s="63" t="s">
        <v>552</v>
      </c>
      <c r="D30" s="64"/>
      <c r="E30" s="65"/>
      <c r="F30" s="1252"/>
      <c r="G30" s="1262"/>
      <c r="H30" s="989"/>
      <c r="I30" s="120"/>
      <c r="J30" s="120"/>
    </row>
    <row r="31" spans="1:10" s="14" customFormat="1" ht="12" customHeight="1">
      <c r="A31" s="4"/>
      <c r="B31" s="1001"/>
      <c r="C31" s="63"/>
      <c r="D31" s="64"/>
      <c r="E31" s="65"/>
      <c r="F31" s="1252"/>
      <c r="G31" s="1262"/>
      <c r="H31" s="989"/>
      <c r="I31" s="120"/>
      <c r="J31" s="120"/>
    </row>
    <row r="32" spans="1:10" s="14" customFormat="1">
      <c r="A32" s="4"/>
      <c r="B32" s="1001"/>
      <c r="C32" s="63" t="s">
        <v>553</v>
      </c>
      <c r="D32" s="64" t="s">
        <v>554</v>
      </c>
      <c r="E32" s="65">
        <v>1</v>
      </c>
      <c r="F32" s="1251">
        <v>0</v>
      </c>
      <c r="G32" s="1262">
        <f>E32*F32</f>
        <v>0</v>
      </c>
      <c r="H32" s="989">
        <v>970</v>
      </c>
      <c r="I32" s="120">
        <f>F32*H32</f>
        <v>0</v>
      </c>
      <c r="J32" s="122">
        <f>G32-I32</f>
        <v>0</v>
      </c>
    </row>
    <row r="33" spans="1:10" s="14" customFormat="1">
      <c r="A33" s="4"/>
      <c r="B33" s="1001"/>
      <c r="C33" s="63"/>
      <c r="D33" s="64"/>
      <c r="E33" s="65"/>
      <c r="F33" s="1251"/>
      <c r="G33" s="1262"/>
      <c r="H33" s="989"/>
      <c r="I33" s="120"/>
      <c r="J33" s="122"/>
    </row>
    <row r="34" spans="1:10" s="14" customFormat="1">
      <c r="A34" s="4"/>
      <c r="B34" s="1001"/>
      <c r="C34" s="63" t="s">
        <v>555</v>
      </c>
      <c r="D34" s="64" t="s">
        <v>38</v>
      </c>
      <c r="E34" s="65">
        <v>1</v>
      </c>
      <c r="F34" s="1251">
        <v>0</v>
      </c>
      <c r="G34" s="1262">
        <f>F34*E34</f>
        <v>0</v>
      </c>
      <c r="H34" s="989"/>
      <c r="I34" s="120"/>
      <c r="J34" s="122"/>
    </row>
    <row r="35" spans="1:10" s="14" customFormat="1">
      <c r="A35" s="4"/>
      <c r="B35" s="1001"/>
      <c r="C35" s="63"/>
      <c r="D35" s="64"/>
      <c r="E35" s="65"/>
      <c r="F35" s="1251"/>
      <c r="G35" s="1262"/>
      <c r="H35" s="989"/>
      <c r="I35" s="120"/>
      <c r="J35" s="122"/>
    </row>
    <row r="36" spans="1:10" s="14" customFormat="1" ht="23">
      <c r="A36" s="4"/>
      <c r="B36" s="998" t="s">
        <v>556</v>
      </c>
      <c r="C36" s="77" t="s">
        <v>112</v>
      </c>
      <c r="D36" s="37" t="s">
        <v>19</v>
      </c>
      <c r="E36" s="66">
        <v>20</v>
      </c>
      <c r="F36" s="1252">
        <v>0</v>
      </c>
      <c r="G36" s="1262">
        <f>E36*F36</f>
        <v>0</v>
      </c>
      <c r="H36" s="989">
        <v>36</v>
      </c>
      <c r="I36" s="120">
        <f>F36*H36</f>
        <v>0</v>
      </c>
      <c r="J36" s="122">
        <f>G36-I36</f>
        <v>0</v>
      </c>
    </row>
    <row r="37" spans="1:10" s="14" customFormat="1" ht="11.4" customHeight="1">
      <c r="A37" s="4"/>
      <c r="B37" s="974"/>
      <c r="C37" s="67"/>
      <c r="D37" s="68"/>
      <c r="E37" s="61"/>
      <c r="F37" s="1292"/>
      <c r="G37" s="1262"/>
      <c r="H37" s="988"/>
      <c r="I37" s="120"/>
      <c r="J37" s="120"/>
    </row>
    <row r="38" spans="1:10" s="14" customFormat="1">
      <c r="A38" s="4"/>
      <c r="B38" s="998" t="s">
        <v>557</v>
      </c>
      <c r="C38" s="77" t="s">
        <v>113</v>
      </c>
      <c r="D38" s="37" t="s">
        <v>19</v>
      </c>
      <c r="E38" s="65">
        <f>E36</f>
        <v>20</v>
      </c>
      <c r="F38" s="1258">
        <v>0</v>
      </c>
      <c r="G38" s="1262">
        <f>E38*F38</f>
        <v>0</v>
      </c>
      <c r="H38" s="989">
        <v>12</v>
      </c>
      <c r="I38" s="120">
        <f>F38*H38</f>
        <v>0</v>
      </c>
      <c r="J38" s="122">
        <f>G38-I38</f>
        <v>0</v>
      </c>
    </row>
    <row r="39" spans="1:10" s="14" customFormat="1" ht="11.4" customHeight="1">
      <c r="A39" s="4"/>
      <c r="B39" s="974"/>
      <c r="C39" s="67"/>
      <c r="D39" s="68"/>
      <c r="E39" s="61"/>
      <c r="F39" s="1292"/>
      <c r="G39" s="1262"/>
      <c r="H39" s="988"/>
      <c r="I39" s="120"/>
      <c r="J39" s="120"/>
    </row>
    <row r="40" spans="1:10" s="14" customFormat="1">
      <c r="A40" s="4"/>
      <c r="B40" s="998" t="s">
        <v>558</v>
      </c>
      <c r="C40" s="77" t="s">
        <v>114</v>
      </c>
      <c r="D40" s="37" t="s">
        <v>19</v>
      </c>
      <c r="E40" s="65">
        <v>10</v>
      </c>
      <c r="F40" s="1258">
        <v>0</v>
      </c>
      <c r="G40" s="1262">
        <f>E40*F40</f>
        <v>0</v>
      </c>
      <c r="H40" s="989">
        <v>12</v>
      </c>
      <c r="I40" s="120">
        <f>F40*H40</f>
        <v>0</v>
      </c>
      <c r="J40" s="122">
        <f>G40-I40</f>
        <v>0</v>
      </c>
    </row>
    <row r="41" spans="1:10" s="14" customFormat="1" ht="11.4" customHeight="1">
      <c r="A41" s="4"/>
      <c r="B41" s="974"/>
      <c r="C41" s="67"/>
      <c r="D41" s="68"/>
      <c r="E41" s="61"/>
      <c r="F41" s="1292"/>
      <c r="G41" s="1262"/>
      <c r="H41" s="988"/>
      <c r="I41" s="120"/>
      <c r="J41" s="120"/>
    </row>
    <row r="42" spans="1:10" s="14" customFormat="1">
      <c r="A42" s="4"/>
      <c r="B42" s="1199"/>
      <c r="C42" s="77"/>
      <c r="D42" s="37"/>
      <c r="E42" s="80"/>
      <c r="F42" s="1294"/>
      <c r="G42" s="1261"/>
      <c r="H42" s="1023"/>
      <c r="I42" s="144"/>
      <c r="J42" s="144"/>
    </row>
    <row r="43" spans="1:10" s="14" customFormat="1">
      <c r="A43" s="4"/>
      <c r="B43" s="1199"/>
      <c r="C43" s="77"/>
      <c r="D43" s="37"/>
      <c r="E43" s="80"/>
      <c r="F43" s="1294"/>
      <c r="G43" s="1261"/>
      <c r="H43" s="1023"/>
      <c r="I43" s="144"/>
      <c r="J43" s="144"/>
    </row>
    <row r="44" spans="1:10" s="14" customFormat="1">
      <c r="A44" s="4"/>
      <c r="B44" s="1199"/>
      <c r="C44" s="77"/>
      <c r="D44" s="37"/>
      <c r="E44" s="80"/>
      <c r="F44" s="1294"/>
      <c r="G44" s="1261"/>
      <c r="H44" s="1023"/>
      <c r="I44" s="144"/>
      <c r="J44" s="144"/>
    </row>
    <row r="45" spans="1:10" s="14" customFormat="1">
      <c r="A45" s="4"/>
      <c r="B45" s="1199"/>
      <c r="C45" s="77"/>
      <c r="D45" s="37"/>
      <c r="E45" s="80"/>
      <c r="F45" s="1294"/>
      <c r="G45" s="1261"/>
      <c r="H45" s="1023"/>
      <c r="I45" s="144"/>
      <c r="J45" s="144"/>
    </row>
    <row r="46" spans="1:10" s="14" customFormat="1">
      <c r="A46" s="4"/>
      <c r="B46" s="1199"/>
      <c r="C46" s="77"/>
      <c r="D46" s="37"/>
      <c r="E46" s="80"/>
      <c r="F46" s="1294"/>
      <c r="G46" s="1261"/>
      <c r="H46" s="1023"/>
      <c r="I46" s="144"/>
      <c r="J46" s="144"/>
    </row>
    <row r="47" spans="1:10" s="14" customFormat="1">
      <c r="A47" s="4"/>
      <c r="B47" s="1199"/>
      <c r="C47" s="77"/>
      <c r="D47" s="37"/>
      <c r="E47" s="80"/>
      <c r="F47" s="1294"/>
      <c r="G47" s="1261"/>
      <c r="H47" s="1023"/>
      <c r="I47" s="144"/>
      <c r="J47" s="144"/>
    </row>
    <row r="48" spans="1:10" s="14" customFormat="1">
      <c r="A48" s="4"/>
      <c r="B48" s="1199"/>
      <c r="C48" s="77"/>
      <c r="D48" s="37"/>
      <c r="E48" s="80"/>
      <c r="F48" s="1294"/>
      <c r="G48" s="1261"/>
      <c r="H48" s="1023"/>
      <c r="I48" s="144"/>
      <c r="J48" s="144"/>
    </row>
    <row r="49" spans="1:10" s="14" customFormat="1">
      <c r="A49" s="4"/>
      <c r="B49" s="1199"/>
      <c r="C49" s="77"/>
      <c r="D49" s="37"/>
      <c r="E49" s="80"/>
      <c r="F49" s="1294"/>
      <c r="G49" s="1261"/>
      <c r="H49" s="1023"/>
      <c r="I49" s="144"/>
      <c r="J49" s="144"/>
    </row>
    <row r="50" spans="1:10" s="14" customFormat="1" ht="12" thickBot="1">
      <c r="A50" s="4"/>
      <c r="B50" s="1199"/>
      <c r="C50" s="1200"/>
      <c r="D50" s="1201"/>
      <c r="E50" s="1202"/>
      <c r="F50" s="1294"/>
      <c r="G50" s="1261"/>
      <c r="H50" s="1196"/>
      <c r="I50" s="144"/>
      <c r="J50" s="144"/>
    </row>
    <row r="51" spans="1:10" s="16" customFormat="1" ht="20.149999999999999" customHeight="1" thickBot="1">
      <c r="A51" s="21"/>
      <c r="B51" s="980" t="s">
        <v>145</v>
      </c>
      <c r="C51" s="1005"/>
      <c r="D51" s="1006"/>
      <c r="E51" s="1006"/>
      <c r="F51" s="1293"/>
      <c r="G51" s="1263">
        <f>SUM(G16:G41)</f>
        <v>0</v>
      </c>
      <c r="H51" s="1025"/>
      <c r="I51" s="147">
        <f>SUM(I8:I48)</f>
        <v>0</v>
      </c>
      <c r="J51" s="147">
        <f>SUM(J8:J48)</f>
        <v>0</v>
      </c>
    </row>
    <row r="52" spans="1:10" s="16" customFormat="1" ht="15" customHeight="1">
      <c r="A52" s="21"/>
      <c r="B52" s="90"/>
      <c r="C52" s="91"/>
      <c r="D52" s="92"/>
      <c r="E52" s="93"/>
      <c r="F52" s="93"/>
      <c r="G52" s="94"/>
    </row>
  </sheetData>
  <pageMargins left="0.5905524831078367" right="0.27559115878365709" top="0.3937016554052245" bottom="0.3937016554052245" header="0.3" footer="0.3"/>
  <pageSetup paperSize="9" scale="9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2">
    <pageSetUpPr fitToPage="1"/>
  </sheetPr>
  <dimension ref="A1:N65"/>
  <sheetViews>
    <sheetView view="pageBreakPreview" topLeftCell="A27" zoomScale="117" zoomScaleNormal="100" zoomScaleSheetLayoutView="117" workbookViewId="0">
      <selection activeCell="F35" sqref="F35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40.6328125" style="20" customWidth="1"/>
    <col min="4" max="4" width="6.36328125" style="20" customWidth="1"/>
    <col min="5" max="5" width="10.90625" style="20" customWidth="1"/>
    <col min="6" max="6" width="15.36328125" style="20" customWidth="1"/>
    <col min="7" max="7" width="18.54296875" style="20" customWidth="1"/>
    <col min="8" max="8" width="10.36328125" style="11" hidden="1" customWidth="1"/>
    <col min="9" max="9" width="12.36328125" style="11" hidden="1" customWidth="1"/>
    <col min="10" max="10" width="12.08984375" style="11" hidden="1" customWidth="1"/>
    <col min="11" max="11" width="8.90625" style="11"/>
    <col min="12" max="12" width="13" style="11" customWidth="1"/>
    <col min="13" max="16384" width="8.90625" style="11"/>
  </cols>
  <sheetData>
    <row r="1" spans="1:12" s="8" customFormat="1" ht="12" thickBot="1">
      <c r="A1" s="18"/>
      <c r="B1" s="23"/>
      <c r="C1" s="24"/>
      <c r="D1" s="18"/>
      <c r="E1" s="18"/>
      <c r="F1" s="18"/>
      <c r="G1" s="18"/>
    </row>
    <row r="2" spans="1:12" s="8" customFormat="1">
      <c r="A2" s="18"/>
      <c r="B2" s="900" t="str">
        <f>'SECTION 5600 (LIC)    '!B2</f>
        <v>Contract No. 9/3/1/424</v>
      </c>
      <c r="C2" s="943"/>
      <c r="D2" s="943"/>
      <c r="E2" s="943"/>
      <c r="F2" s="943"/>
      <c r="G2" s="992"/>
    </row>
    <row r="3" spans="1:12" s="8" customFormat="1">
      <c r="A3" s="18"/>
      <c r="B3" s="904" t="s">
        <v>482</v>
      </c>
      <c r="C3" s="18"/>
      <c r="D3" s="18"/>
      <c r="E3" s="18"/>
      <c r="F3" s="18"/>
      <c r="G3" s="993"/>
    </row>
    <row r="4" spans="1:12" s="8" customFormat="1" ht="20.149999999999999" customHeight="1">
      <c r="A4" s="18"/>
      <c r="B4" s="966"/>
      <c r="C4" s="18"/>
      <c r="D4" s="18"/>
      <c r="E4" s="18"/>
      <c r="F4" s="18"/>
      <c r="G4" s="1026" t="s">
        <v>115</v>
      </c>
    </row>
    <row r="5" spans="1:12" s="14" customFormat="1" ht="30" customHeight="1">
      <c r="A5" s="4"/>
      <c r="B5" s="968" t="s">
        <v>0</v>
      </c>
      <c r="C5" s="785" t="s">
        <v>2</v>
      </c>
      <c r="D5" s="785" t="s">
        <v>3</v>
      </c>
      <c r="E5" s="785" t="s">
        <v>4</v>
      </c>
      <c r="F5" s="785" t="s">
        <v>5</v>
      </c>
      <c r="G5" s="1027" t="s">
        <v>6</v>
      </c>
      <c r="H5" s="1018" t="s">
        <v>217</v>
      </c>
      <c r="I5" s="116" t="s">
        <v>216</v>
      </c>
      <c r="J5" s="116" t="s">
        <v>218</v>
      </c>
    </row>
    <row r="6" spans="1:12" s="15" customFormat="1" ht="20.149999999999999" customHeight="1">
      <c r="A6" s="5"/>
      <c r="B6" s="970"/>
      <c r="C6" s="710"/>
      <c r="D6" s="1028"/>
      <c r="E6" s="1028"/>
      <c r="F6" s="1028"/>
      <c r="G6" s="1029"/>
      <c r="H6" s="1019"/>
      <c r="I6" s="131"/>
      <c r="J6" s="131"/>
    </row>
    <row r="7" spans="1:12" s="14" customFormat="1">
      <c r="A7" s="4"/>
      <c r="B7" s="1206" t="s">
        <v>159</v>
      </c>
      <c r="C7" s="1207" t="s">
        <v>116</v>
      </c>
      <c r="D7" s="1099"/>
      <c r="E7" s="1208"/>
      <c r="F7" s="791"/>
      <c r="G7" s="1157"/>
      <c r="H7" s="620"/>
      <c r="I7" s="127"/>
      <c r="J7" s="127"/>
    </row>
    <row r="8" spans="1:12" s="14" customFormat="1" ht="11.4" customHeight="1">
      <c r="A8" s="4"/>
      <c r="B8" s="1105"/>
      <c r="C8" s="85"/>
      <c r="D8" s="61"/>
      <c r="E8" s="61"/>
      <c r="F8" s="61"/>
      <c r="G8" s="978"/>
      <c r="H8" s="988"/>
      <c r="I8" s="121"/>
      <c r="J8" s="121"/>
    </row>
    <row r="9" spans="1:12" s="14" customFormat="1">
      <c r="A9" s="4"/>
      <c r="B9" s="1003" t="s">
        <v>541</v>
      </c>
      <c r="C9" s="86" t="s">
        <v>117</v>
      </c>
      <c r="D9" s="64"/>
      <c r="E9" s="65"/>
      <c r="F9" s="66"/>
      <c r="G9" s="978"/>
      <c r="H9" s="989"/>
      <c r="I9" s="121"/>
      <c r="J9" s="121"/>
    </row>
    <row r="10" spans="1:12" s="14" customFormat="1" ht="11.4" customHeight="1">
      <c r="A10" s="4"/>
      <c r="B10" s="1105"/>
      <c r="C10" s="85"/>
      <c r="D10" s="61"/>
      <c r="E10" s="61"/>
      <c r="F10" s="61"/>
      <c r="G10" s="978"/>
      <c r="H10" s="988"/>
      <c r="I10" s="121"/>
      <c r="J10" s="121"/>
    </row>
    <row r="11" spans="1:12" s="14" customFormat="1">
      <c r="A11" s="4"/>
      <c r="B11" s="1001"/>
      <c r="C11" s="86" t="s">
        <v>118</v>
      </c>
      <c r="D11" s="64"/>
      <c r="E11" s="65"/>
      <c r="F11" s="66"/>
      <c r="G11" s="978"/>
      <c r="H11" s="989"/>
      <c r="I11" s="121"/>
      <c r="J11" s="121"/>
    </row>
    <row r="12" spans="1:12" s="14" customFormat="1" ht="11.4" customHeight="1">
      <c r="A12" s="4"/>
      <c r="B12" s="1105"/>
      <c r="C12" s="85"/>
      <c r="D12" s="61"/>
      <c r="E12" s="87"/>
      <c r="F12" s="61"/>
      <c r="G12" s="978"/>
      <c r="H12" s="1203"/>
      <c r="I12" s="122"/>
      <c r="J12" s="122"/>
    </row>
    <row r="13" spans="1:12" s="14" customFormat="1">
      <c r="A13" s="4"/>
      <c r="B13" s="1001"/>
      <c r="C13" s="86" t="s">
        <v>542</v>
      </c>
      <c r="D13" s="64" t="s">
        <v>15</v>
      </c>
      <c r="E13" s="87">
        <v>2.9</v>
      </c>
      <c r="F13" s="1251">
        <v>0</v>
      </c>
      <c r="G13" s="978">
        <f>E13*F13</f>
        <v>0</v>
      </c>
      <c r="H13" s="1204">
        <v>3.4</v>
      </c>
      <c r="I13" s="122">
        <f>F13*H13</f>
        <v>0</v>
      </c>
      <c r="J13" s="122">
        <f>G13-I13</f>
        <v>0</v>
      </c>
    </row>
    <row r="14" spans="1:12" s="14" customFormat="1" ht="11.4" customHeight="1">
      <c r="A14" s="4"/>
      <c r="B14" s="1105"/>
      <c r="C14" s="85"/>
      <c r="D14" s="61"/>
      <c r="E14" s="87"/>
      <c r="F14" s="1252"/>
      <c r="G14" s="978"/>
      <c r="H14" s="1204"/>
      <c r="I14" s="121"/>
      <c r="J14" s="121"/>
      <c r="L14" s="719"/>
    </row>
    <row r="15" spans="1:12" s="14" customFormat="1">
      <c r="A15" s="4"/>
      <c r="B15" s="1001"/>
      <c r="C15" s="86" t="s">
        <v>543</v>
      </c>
      <c r="D15" s="64" t="s">
        <v>15</v>
      </c>
      <c r="E15" s="87">
        <v>0.1</v>
      </c>
      <c r="F15" s="1251">
        <v>0</v>
      </c>
      <c r="G15" s="978">
        <f>E15*F15</f>
        <v>0</v>
      </c>
      <c r="H15" s="1204">
        <v>2</v>
      </c>
      <c r="I15" s="122">
        <f>F15*H15</f>
        <v>0</v>
      </c>
      <c r="J15" s="122">
        <f>G15-I15</f>
        <v>0</v>
      </c>
    </row>
    <row r="16" spans="1:12" s="14" customFormat="1">
      <c r="A16" s="4"/>
      <c r="B16" s="1001"/>
      <c r="C16" s="86"/>
      <c r="D16" s="64"/>
      <c r="E16" s="87"/>
      <c r="F16" s="1251"/>
      <c r="G16" s="978"/>
      <c r="H16" s="1204"/>
      <c r="I16" s="122"/>
      <c r="J16" s="122"/>
    </row>
    <row r="17" spans="1:14" s="14" customFormat="1">
      <c r="A17" s="4"/>
      <c r="B17" s="1001"/>
      <c r="C17" s="86" t="s">
        <v>668</v>
      </c>
      <c r="D17" s="64" t="s">
        <v>15</v>
      </c>
      <c r="E17" s="87">
        <v>0.2</v>
      </c>
      <c r="F17" s="1251">
        <v>0</v>
      </c>
      <c r="G17" s="978">
        <f>E17*F17</f>
        <v>0</v>
      </c>
      <c r="H17" s="1204"/>
      <c r="I17" s="122"/>
      <c r="J17" s="122"/>
      <c r="L17" s="14">
        <f>(5*4+10*3+20*5)/1000</f>
        <v>0.15</v>
      </c>
    </row>
    <row r="18" spans="1:14" s="14" customFormat="1">
      <c r="A18" s="4"/>
      <c r="B18" s="1001"/>
      <c r="C18" s="86"/>
      <c r="D18" s="64"/>
      <c r="E18" s="87"/>
      <c r="F18" s="1251"/>
      <c r="G18" s="978"/>
      <c r="H18" s="1204"/>
      <c r="I18" s="122"/>
      <c r="J18" s="122"/>
    </row>
    <row r="19" spans="1:14" s="14" customFormat="1">
      <c r="A19" s="4"/>
      <c r="B19" s="1001"/>
      <c r="C19" s="86" t="s">
        <v>669</v>
      </c>
      <c r="D19" s="64"/>
      <c r="E19" s="87"/>
      <c r="F19" s="1251"/>
      <c r="G19" s="978"/>
      <c r="H19" s="1204"/>
      <c r="I19" s="122"/>
      <c r="J19" s="122"/>
    </row>
    <row r="20" spans="1:14" s="14" customFormat="1">
      <c r="A20" s="4"/>
      <c r="B20" s="1001"/>
      <c r="C20" s="86"/>
      <c r="D20" s="64"/>
      <c r="E20" s="87"/>
      <c r="F20" s="1251"/>
      <c r="G20" s="978"/>
      <c r="H20" s="1204"/>
      <c r="I20" s="122"/>
      <c r="J20" s="122"/>
    </row>
    <row r="21" spans="1:14" s="14" customFormat="1">
      <c r="A21" s="4"/>
      <c r="B21" s="1001"/>
      <c r="C21" s="86" t="s">
        <v>670</v>
      </c>
      <c r="D21" s="64" t="s">
        <v>15</v>
      </c>
      <c r="E21" s="87">
        <v>1</v>
      </c>
      <c r="F21" s="1251">
        <v>0</v>
      </c>
      <c r="G21" s="978">
        <f>E21*F21</f>
        <v>0</v>
      </c>
      <c r="H21" s="1204"/>
      <c r="I21" s="122"/>
      <c r="J21" s="122"/>
      <c r="L21" s="14">
        <f>(180*2+180*2)*1.1/1000</f>
        <v>0.79200000000000004</v>
      </c>
    </row>
    <row r="22" spans="1:14" s="14" customFormat="1">
      <c r="A22" s="4"/>
      <c r="B22" s="1001"/>
      <c r="C22" s="86"/>
      <c r="D22" s="64"/>
      <c r="E22" s="87"/>
      <c r="F22" s="1251"/>
      <c r="G22" s="978"/>
      <c r="H22" s="1204"/>
      <c r="I22" s="122"/>
      <c r="J22" s="122"/>
    </row>
    <row r="23" spans="1:14" s="14" customFormat="1">
      <c r="A23" s="4"/>
      <c r="B23" s="1001"/>
      <c r="C23" s="86" t="s">
        <v>671</v>
      </c>
      <c r="D23" s="64" t="s">
        <v>15</v>
      </c>
      <c r="E23" s="87">
        <v>0.1</v>
      </c>
      <c r="F23" s="1251">
        <v>0</v>
      </c>
      <c r="G23" s="978">
        <f>E23*F23</f>
        <v>0</v>
      </c>
      <c r="H23" s="1204"/>
      <c r="I23" s="122"/>
      <c r="J23" s="122"/>
    </row>
    <row r="24" spans="1:14" s="14" customFormat="1">
      <c r="A24" s="4"/>
      <c r="B24" s="1001"/>
      <c r="C24" s="86"/>
      <c r="D24" s="64"/>
      <c r="E24" s="87"/>
      <c r="F24" s="1251"/>
      <c r="G24" s="978"/>
      <c r="H24" s="1204"/>
      <c r="I24" s="122"/>
      <c r="J24" s="122"/>
      <c r="M24" s="14" t="s">
        <v>675</v>
      </c>
      <c r="N24" s="14" t="s">
        <v>676</v>
      </c>
    </row>
    <row r="25" spans="1:14" s="14" customFormat="1">
      <c r="A25" s="4"/>
      <c r="B25" s="1001"/>
      <c r="C25" s="86" t="s">
        <v>119</v>
      </c>
      <c r="D25" s="64" t="s">
        <v>11</v>
      </c>
      <c r="E25" s="87">
        <f>200*1.1</f>
        <v>220</v>
      </c>
      <c r="F25" s="1251">
        <v>0</v>
      </c>
      <c r="G25" s="978">
        <f>E25*F25</f>
        <v>0</v>
      </c>
      <c r="H25" s="1204">
        <v>300</v>
      </c>
      <c r="I25" s="122">
        <f>F25*H25</f>
        <v>0</v>
      </c>
      <c r="J25" s="122">
        <f>G25-I25</f>
        <v>0</v>
      </c>
      <c r="L25" s="14" t="s">
        <v>672</v>
      </c>
      <c r="M25" s="14">
        <f>6.9*27</f>
        <v>186.3</v>
      </c>
    </row>
    <row r="26" spans="1:14" s="14" customFormat="1" ht="22">
      <c r="A26" s="4"/>
      <c r="B26" s="1001"/>
      <c r="C26" s="86"/>
      <c r="D26" s="64"/>
      <c r="E26" s="87"/>
      <c r="F26" s="1251"/>
      <c r="G26" s="978"/>
      <c r="H26" s="1204"/>
      <c r="I26" s="122"/>
      <c r="J26" s="122"/>
      <c r="L26" s="14" t="s">
        <v>673</v>
      </c>
      <c r="M26" s="14">
        <f>1.06*2</f>
        <v>2.12</v>
      </c>
      <c r="N26" s="14">
        <f>1.06*2</f>
        <v>2.12</v>
      </c>
    </row>
    <row r="27" spans="1:14" s="14" customFormat="1" ht="33">
      <c r="A27" s="4"/>
      <c r="B27" s="1001"/>
      <c r="C27" s="86" t="s">
        <v>679</v>
      </c>
      <c r="D27" s="64" t="s">
        <v>11</v>
      </c>
      <c r="E27" s="87">
        <v>20</v>
      </c>
      <c r="F27" s="1251">
        <v>0</v>
      </c>
      <c r="G27" s="978">
        <f>E27*F27</f>
        <v>0</v>
      </c>
      <c r="H27" s="1204"/>
      <c r="I27" s="122"/>
      <c r="J27" s="122"/>
      <c r="L27" s="14" t="s">
        <v>674</v>
      </c>
      <c r="M27" s="14">
        <f>1.43*6</f>
        <v>8.58</v>
      </c>
      <c r="N27" s="14">
        <f>1.43*6</f>
        <v>8.58</v>
      </c>
    </row>
    <row r="28" spans="1:14" s="14" customFormat="1">
      <c r="A28" s="4"/>
      <c r="B28" s="1001"/>
      <c r="C28" s="86"/>
      <c r="D28" s="64"/>
      <c r="E28" s="87"/>
      <c r="F28" s="1251"/>
      <c r="G28" s="978"/>
      <c r="H28" s="1204"/>
      <c r="I28" s="122"/>
      <c r="J28" s="122"/>
      <c r="L28" s="14" t="s">
        <v>163</v>
      </c>
      <c r="M28" s="756">
        <f>SUM(M25:M27)</f>
        <v>197</v>
      </c>
      <c r="N28" s="756">
        <f>SUM(N25:N27)</f>
        <v>10.7</v>
      </c>
    </row>
    <row r="29" spans="1:14" s="14" customFormat="1" ht="23">
      <c r="A29" s="4"/>
      <c r="B29" s="1001"/>
      <c r="C29" s="86" t="s">
        <v>683</v>
      </c>
      <c r="D29" s="64" t="s">
        <v>11</v>
      </c>
      <c r="E29" s="87">
        <v>100</v>
      </c>
      <c r="F29" s="1251">
        <v>0</v>
      </c>
      <c r="G29" s="978">
        <f>E29*F29</f>
        <v>0</v>
      </c>
      <c r="H29" s="1204"/>
      <c r="I29" s="122"/>
      <c r="J29" s="122"/>
    </row>
    <row r="30" spans="1:14" s="14" customFormat="1">
      <c r="A30" s="4"/>
      <c r="B30" s="1001"/>
      <c r="C30" s="86"/>
      <c r="D30" s="64"/>
      <c r="E30" s="87"/>
      <c r="F30" s="1251"/>
      <c r="G30" s="978"/>
      <c r="H30" s="1204"/>
      <c r="I30" s="122"/>
      <c r="J30" s="122"/>
    </row>
    <row r="31" spans="1:14" s="14" customFormat="1" ht="23">
      <c r="A31" s="4"/>
      <c r="B31" s="1001" t="s">
        <v>177</v>
      </c>
      <c r="C31" s="86" t="s">
        <v>120</v>
      </c>
      <c r="D31" s="64" t="s">
        <v>15</v>
      </c>
      <c r="E31" s="87">
        <f>E13</f>
        <v>2.9</v>
      </c>
      <c r="F31" s="1251">
        <v>0</v>
      </c>
      <c r="G31" s="978">
        <f>E31*F31</f>
        <v>0</v>
      </c>
      <c r="H31" s="1204">
        <v>3.8</v>
      </c>
      <c r="I31" s="122">
        <f>F31*H31</f>
        <v>0</v>
      </c>
      <c r="J31" s="122">
        <f>G31-I31</f>
        <v>0</v>
      </c>
    </row>
    <row r="32" spans="1:14" s="14" customFormat="1" ht="11.4" customHeight="1">
      <c r="A32" s="4"/>
      <c r="B32" s="1001"/>
      <c r="C32" s="85"/>
      <c r="D32" s="61"/>
      <c r="E32" s="61"/>
      <c r="F32" s="1252"/>
      <c r="G32" s="978"/>
      <c r="H32" s="988"/>
      <c r="I32" s="121"/>
      <c r="J32" s="121"/>
    </row>
    <row r="33" spans="1:10" s="14" customFormat="1" ht="23">
      <c r="A33" s="4"/>
      <c r="B33" s="1001" t="s">
        <v>209</v>
      </c>
      <c r="C33" s="86" t="s">
        <v>179</v>
      </c>
      <c r="D33" s="64" t="s">
        <v>199</v>
      </c>
      <c r="E33" s="87">
        <v>1</v>
      </c>
      <c r="F33" s="1251">
        <v>0</v>
      </c>
      <c r="G33" s="978">
        <f>E33*F33</f>
        <v>0</v>
      </c>
      <c r="H33" s="1204">
        <v>1</v>
      </c>
      <c r="I33" s="122">
        <f>F33*H33</f>
        <v>0</v>
      </c>
      <c r="J33" s="122">
        <f>G33-I33</f>
        <v>0</v>
      </c>
    </row>
    <row r="34" spans="1:10" s="14" customFormat="1">
      <c r="A34" s="4"/>
      <c r="B34" s="999"/>
      <c r="C34" s="89"/>
      <c r="D34" s="68"/>
      <c r="E34" s="68"/>
      <c r="F34" s="68"/>
      <c r="G34" s="1034"/>
      <c r="H34" s="1024"/>
      <c r="I34" s="119"/>
      <c r="J34" s="119"/>
    </row>
    <row r="35" spans="1:10" s="14" customFormat="1">
      <c r="A35" s="4"/>
      <c r="B35" s="999"/>
      <c r="C35" s="89"/>
      <c r="D35" s="68"/>
      <c r="E35" s="68"/>
      <c r="F35" s="68"/>
      <c r="G35" s="1034"/>
      <c r="H35" s="1024"/>
      <c r="I35" s="119"/>
      <c r="J35" s="119"/>
    </row>
    <row r="36" spans="1:10" s="14" customFormat="1">
      <c r="A36" s="4"/>
      <c r="B36" s="999"/>
      <c r="C36" s="89"/>
      <c r="D36" s="68"/>
      <c r="E36" s="68"/>
      <c r="F36" s="68"/>
      <c r="G36" s="1034"/>
      <c r="H36" s="1024"/>
      <c r="I36" s="119"/>
      <c r="J36" s="119"/>
    </row>
    <row r="37" spans="1:10" s="14" customFormat="1">
      <c r="A37" s="4"/>
      <c r="B37" s="999"/>
      <c r="C37" s="89"/>
      <c r="D37" s="68"/>
      <c r="E37" s="68"/>
      <c r="F37" s="68"/>
      <c r="G37" s="1034"/>
      <c r="H37" s="1024"/>
      <c r="I37" s="119"/>
      <c r="J37" s="119"/>
    </row>
    <row r="38" spans="1:10" s="14" customFormat="1">
      <c r="A38" s="4"/>
      <c r="B38" s="999"/>
      <c r="C38" s="89"/>
      <c r="D38" s="68"/>
      <c r="E38" s="68"/>
      <c r="F38" s="68"/>
      <c r="G38" s="1034"/>
      <c r="H38" s="1024"/>
      <c r="I38" s="119"/>
      <c r="J38" s="119"/>
    </row>
    <row r="39" spans="1:10" s="14" customFormat="1">
      <c r="A39" s="4"/>
      <c r="B39" s="999"/>
      <c r="C39" s="89"/>
      <c r="D39" s="68"/>
      <c r="E39" s="68"/>
      <c r="F39" s="68"/>
      <c r="G39" s="1034"/>
      <c r="H39" s="1024"/>
      <c r="I39" s="119"/>
      <c r="J39" s="119"/>
    </row>
    <row r="40" spans="1:10" s="14" customFormat="1">
      <c r="A40" s="4"/>
      <c r="B40" s="999"/>
      <c r="C40" s="89"/>
      <c r="D40" s="68"/>
      <c r="E40" s="68"/>
      <c r="F40" s="68"/>
      <c r="G40" s="1034"/>
      <c r="H40" s="1024"/>
      <c r="I40" s="119"/>
      <c r="J40" s="119"/>
    </row>
    <row r="41" spans="1:10" s="14" customFormat="1">
      <c r="A41" s="4"/>
      <c r="B41" s="999"/>
      <c r="C41" s="89"/>
      <c r="D41" s="68"/>
      <c r="E41" s="68"/>
      <c r="F41" s="68"/>
      <c r="G41" s="1034"/>
      <c r="H41" s="1024"/>
      <c r="I41" s="119"/>
      <c r="J41" s="119"/>
    </row>
    <row r="42" spans="1:10" s="14" customFormat="1">
      <c r="A42" s="4"/>
      <c r="B42" s="999"/>
      <c r="C42" s="89"/>
      <c r="D42" s="68"/>
      <c r="E42" s="68"/>
      <c r="F42" s="68"/>
      <c r="G42" s="1034"/>
      <c r="H42" s="1024"/>
      <c r="I42" s="119"/>
      <c r="J42" s="119"/>
    </row>
    <row r="43" spans="1:10" s="14" customFormat="1">
      <c r="A43" s="4"/>
      <c r="B43" s="999"/>
      <c r="C43" s="89"/>
      <c r="D43" s="68"/>
      <c r="E43" s="68"/>
      <c r="F43" s="68"/>
      <c r="G43" s="1034"/>
      <c r="H43" s="1024"/>
      <c r="I43" s="119"/>
      <c r="J43" s="119"/>
    </row>
    <row r="44" spans="1:10" s="14" customFormat="1">
      <c r="A44" s="4"/>
      <c r="B44" s="999"/>
      <c r="C44" s="89"/>
      <c r="D44" s="68"/>
      <c r="E44" s="68"/>
      <c r="F44" s="68"/>
      <c r="G44" s="1034"/>
      <c r="H44" s="1024"/>
      <c r="I44" s="119"/>
      <c r="J44" s="119"/>
    </row>
    <row r="45" spans="1:10" s="14" customFormat="1">
      <c r="A45" s="4"/>
      <c r="B45" s="999"/>
      <c r="C45" s="89"/>
      <c r="D45" s="68"/>
      <c r="E45" s="68"/>
      <c r="F45" s="68"/>
      <c r="G45" s="1034"/>
      <c r="H45" s="1024"/>
      <c r="I45" s="119"/>
      <c r="J45" s="119"/>
    </row>
    <row r="46" spans="1:10" s="14" customFormat="1">
      <c r="A46" s="4"/>
      <c r="B46" s="999"/>
      <c r="C46" s="89"/>
      <c r="D46" s="68"/>
      <c r="E46" s="68"/>
      <c r="F46" s="68"/>
      <c r="G46" s="1034"/>
      <c r="H46" s="1024"/>
      <c r="I46" s="119"/>
      <c r="J46" s="119"/>
    </row>
    <row r="47" spans="1:10" s="14" customFormat="1">
      <c r="A47" s="4"/>
      <c r="B47" s="999"/>
      <c r="C47" s="89"/>
      <c r="D47" s="68"/>
      <c r="E47" s="68"/>
      <c r="F47" s="68"/>
      <c r="G47" s="1034"/>
      <c r="H47" s="1024"/>
      <c r="I47" s="119"/>
      <c r="J47" s="119"/>
    </row>
    <row r="48" spans="1:10" s="14" customFormat="1">
      <c r="A48" s="4"/>
      <c r="B48" s="999"/>
      <c r="C48" s="89"/>
      <c r="D48" s="68"/>
      <c r="E48" s="68"/>
      <c r="F48" s="68"/>
      <c r="G48" s="1034"/>
      <c r="H48" s="1024"/>
      <c r="I48" s="119"/>
      <c r="J48" s="119"/>
    </row>
    <row r="49" spans="1:10" s="14" customFormat="1">
      <c r="A49" s="4"/>
      <c r="B49" s="999"/>
      <c r="C49" s="89"/>
      <c r="D49" s="68"/>
      <c r="E49" s="68"/>
      <c r="F49" s="68"/>
      <c r="G49" s="1034"/>
      <c r="H49" s="1024"/>
      <c r="I49" s="119"/>
      <c r="J49" s="119"/>
    </row>
    <row r="50" spans="1:10" s="14" customFormat="1">
      <c r="A50" s="4"/>
      <c r="B50" s="999"/>
      <c r="C50" s="89"/>
      <c r="D50" s="68"/>
      <c r="E50" s="68"/>
      <c r="F50" s="68"/>
      <c r="G50" s="1034"/>
      <c r="H50" s="1024"/>
      <c r="I50" s="119"/>
      <c r="J50" s="119"/>
    </row>
    <row r="51" spans="1:10" s="14" customFormat="1">
      <c r="A51" s="4"/>
      <c r="B51" s="999"/>
      <c r="C51" s="89"/>
      <c r="D51" s="68"/>
      <c r="E51" s="68"/>
      <c r="F51" s="68"/>
      <c r="G51" s="1034"/>
      <c r="H51" s="1024"/>
      <c r="I51" s="119"/>
      <c r="J51" s="119"/>
    </row>
    <row r="52" spans="1:10" s="14" customFormat="1">
      <c r="A52" s="4"/>
      <c r="B52" s="999"/>
      <c r="C52" s="89"/>
      <c r="D52" s="68"/>
      <c r="E52" s="68"/>
      <c r="F52" s="68"/>
      <c r="G52" s="1034"/>
      <c r="H52" s="1024"/>
      <c r="I52" s="119"/>
      <c r="J52" s="119"/>
    </row>
    <row r="53" spans="1:10" s="14" customFormat="1">
      <c r="A53" s="4"/>
      <c r="B53" s="999"/>
      <c r="C53" s="89"/>
      <c r="D53" s="68"/>
      <c r="E53" s="68"/>
      <c r="F53" s="68"/>
      <c r="G53" s="1034"/>
      <c r="H53" s="1024"/>
      <c r="I53" s="119"/>
      <c r="J53" s="119"/>
    </row>
    <row r="54" spans="1:10" s="14" customFormat="1">
      <c r="A54" s="4"/>
      <c r="B54" s="999"/>
      <c r="C54" s="89"/>
      <c r="D54" s="68"/>
      <c r="E54" s="68"/>
      <c r="F54" s="68"/>
      <c r="G54" s="1034"/>
      <c r="H54" s="1024"/>
      <c r="I54" s="119"/>
      <c r="J54" s="119"/>
    </row>
    <row r="55" spans="1:10" s="14" customFormat="1">
      <c r="A55" s="4"/>
      <c r="B55" s="999"/>
      <c r="C55" s="89"/>
      <c r="D55" s="68"/>
      <c r="E55" s="68"/>
      <c r="F55" s="68"/>
      <c r="G55" s="1034"/>
      <c r="H55" s="1024"/>
      <c r="I55" s="119"/>
      <c r="J55" s="119"/>
    </row>
    <row r="56" spans="1:10" s="14" customFormat="1">
      <c r="A56" s="4"/>
      <c r="B56" s="999"/>
      <c r="C56" s="89"/>
      <c r="D56" s="68"/>
      <c r="E56" s="68"/>
      <c r="F56" s="68"/>
      <c r="G56" s="1034"/>
      <c r="H56" s="1024"/>
      <c r="I56" s="119"/>
      <c r="J56" s="119"/>
    </row>
    <row r="57" spans="1:10" s="14" customFormat="1">
      <c r="A57" s="4"/>
      <c r="B57" s="999"/>
      <c r="C57" s="89"/>
      <c r="D57" s="68"/>
      <c r="E57" s="68"/>
      <c r="F57" s="68"/>
      <c r="G57" s="1034"/>
      <c r="H57" s="1024"/>
      <c r="I57" s="119"/>
      <c r="J57" s="119"/>
    </row>
    <row r="58" spans="1:10" s="14" customFormat="1">
      <c r="A58" s="4"/>
      <c r="B58" s="999"/>
      <c r="C58" s="89"/>
      <c r="D58" s="68"/>
      <c r="E58" s="68"/>
      <c r="F58" s="68"/>
      <c r="G58" s="1034"/>
      <c r="H58" s="1024"/>
      <c r="I58" s="119"/>
      <c r="J58" s="119"/>
    </row>
    <row r="59" spans="1:10" s="14" customFormat="1">
      <c r="A59" s="4"/>
      <c r="B59" s="999"/>
      <c r="C59" s="89"/>
      <c r="D59" s="68"/>
      <c r="E59" s="68"/>
      <c r="F59" s="68"/>
      <c r="G59" s="1034"/>
      <c r="H59" s="1024"/>
      <c r="I59" s="119"/>
      <c r="J59" s="119"/>
    </row>
    <row r="60" spans="1:10" s="14" customFormat="1">
      <c r="A60" s="4"/>
      <c r="B60" s="999"/>
      <c r="C60" s="67"/>
      <c r="D60" s="68"/>
      <c r="E60" s="68"/>
      <c r="F60" s="68"/>
      <c r="G60" s="1034"/>
      <c r="H60" s="1024"/>
      <c r="I60" s="119"/>
      <c r="J60" s="119"/>
    </row>
    <row r="61" spans="1:10" s="14" customFormat="1">
      <c r="A61" s="4"/>
      <c r="B61" s="999"/>
      <c r="C61" s="67"/>
      <c r="D61" s="68"/>
      <c r="E61" s="68"/>
      <c r="F61" s="68"/>
      <c r="G61" s="1034"/>
      <c r="H61" s="1024"/>
      <c r="I61" s="119"/>
      <c r="J61" s="119"/>
    </row>
    <row r="62" spans="1:10" s="14" customFormat="1" hidden="1">
      <c r="A62" s="4"/>
      <c r="B62" s="999"/>
      <c r="C62" s="67"/>
      <c r="D62" s="68"/>
      <c r="E62" s="68"/>
      <c r="F62" s="68"/>
      <c r="G62" s="1034"/>
      <c r="H62" s="1024"/>
      <c r="I62" s="119"/>
      <c r="J62" s="119"/>
    </row>
    <row r="63" spans="1:10" s="14" customFormat="1">
      <c r="A63" s="4"/>
      <c r="B63" s="999"/>
      <c r="C63" s="67"/>
      <c r="D63" s="68"/>
      <c r="E63" s="68"/>
      <c r="F63" s="68"/>
      <c r="G63" s="1034"/>
      <c r="H63" s="1024"/>
      <c r="I63" s="119"/>
      <c r="J63" s="119"/>
    </row>
    <row r="64" spans="1:10" s="14" customFormat="1" ht="12" thickBot="1">
      <c r="A64" s="4"/>
      <c r="B64" s="999"/>
      <c r="C64" s="67"/>
      <c r="D64" s="68"/>
      <c r="E64" s="68"/>
      <c r="F64" s="68"/>
      <c r="G64" s="1034"/>
      <c r="H64" s="1024"/>
      <c r="I64" s="119"/>
      <c r="J64" s="119"/>
    </row>
    <row r="65" spans="1:10" s="16" customFormat="1" ht="20.149999999999999" customHeight="1" thickBot="1">
      <c r="A65" s="21"/>
      <c r="B65" s="980" t="s">
        <v>145</v>
      </c>
      <c r="C65" s="1005"/>
      <c r="D65" s="1006"/>
      <c r="E65" s="1006"/>
      <c r="F65" s="1006"/>
      <c r="G65" s="1017">
        <v>0</v>
      </c>
      <c r="H65" s="1205"/>
      <c r="I65" s="158">
        <f>SUM(I7:I57)</f>
        <v>0</v>
      </c>
      <c r="J65" s="158">
        <f>SUM(J7:J57)</f>
        <v>0</v>
      </c>
    </row>
  </sheetData>
  <pageMargins left="0.5905524831078367" right="0.27559115878365709" top="0.3937016554052245" bottom="0.3937016554052245" header="0.3" footer="0.3"/>
  <pageSetup paperSize="9" scale="94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774BA-799B-49AE-92B5-D3241CB4E980}">
  <sheetPr>
    <pageSetUpPr fitToPage="1"/>
  </sheetPr>
  <dimension ref="A1:J38"/>
  <sheetViews>
    <sheetView view="pageBreakPreview" zoomScale="102" zoomScaleNormal="100" zoomScaleSheetLayoutView="102" workbookViewId="0">
      <selection activeCell="F15" sqref="F15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40.6328125" style="20" customWidth="1"/>
    <col min="4" max="4" width="6.36328125" style="20" customWidth="1"/>
    <col min="5" max="5" width="10.90625" style="20" customWidth="1"/>
    <col min="6" max="6" width="15.36328125" style="20" customWidth="1"/>
    <col min="7" max="7" width="18.54296875" style="20" customWidth="1"/>
    <col min="8" max="8" width="10.36328125" style="11" hidden="1" customWidth="1"/>
    <col min="9" max="9" width="12.36328125" style="11" hidden="1" customWidth="1"/>
    <col min="10" max="10" width="12.08984375" style="11" hidden="1" customWidth="1"/>
    <col min="11" max="16384" width="8.90625" style="11"/>
  </cols>
  <sheetData>
    <row r="1" spans="1:10" s="8" customFormat="1" ht="12" thickBot="1">
      <c r="A1" s="18"/>
      <c r="B1" s="23"/>
      <c r="C1" s="24"/>
      <c r="D1" s="18"/>
      <c r="E1" s="18"/>
      <c r="F1" s="18"/>
      <c r="G1" s="18"/>
    </row>
    <row r="2" spans="1:10" s="8" customFormat="1">
      <c r="A2" s="18"/>
      <c r="B2" s="900" t="str">
        <f>'SECTION 5600 (LIC)    '!B2</f>
        <v>Contract No. 9/3/1/424</v>
      </c>
      <c r="C2" s="943"/>
      <c r="D2" s="943"/>
      <c r="E2" s="943"/>
      <c r="F2" s="943"/>
      <c r="G2" s="992"/>
    </row>
    <row r="3" spans="1:10" s="8" customFormat="1">
      <c r="A3" s="18"/>
      <c r="B3" s="904" t="s">
        <v>482</v>
      </c>
      <c r="C3" s="18"/>
      <c r="D3" s="18"/>
      <c r="E3" s="18"/>
      <c r="F3" s="18"/>
      <c r="G3" s="993"/>
    </row>
    <row r="4" spans="1:10" s="8" customFormat="1" ht="20.149999999999999" customHeight="1">
      <c r="A4" s="18"/>
      <c r="B4" s="966"/>
      <c r="C4" s="18"/>
      <c r="D4" s="18"/>
      <c r="E4" s="18"/>
      <c r="F4" s="18"/>
      <c r="G4" s="1026" t="s">
        <v>121</v>
      </c>
    </row>
    <row r="5" spans="1:10" s="14" customFormat="1" ht="30" customHeight="1">
      <c r="A5" s="4"/>
      <c r="B5" s="968" t="s">
        <v>0</v>
      </c>
      <c r="C5" s="785" t="s">
        <v>2</v>
      </c>
      <c r="D5" s="785" t="s">
        <v>3</v>
      </c>
      <c r="E5" s="785" t="s">
        <v>4</v>
      </c>
      <c r="F5" s="785" t="s">
        <v>5</v>
      </c>
      <c r="G5" s="1027" t="s">
        <v>6</v>
      </c>
      <c r="H5" s="1018" t="s">
        <v>217</v>
      </c>
      <c r="I5" s="116" t="s">
        <v>216</v>
      </c>
      <c r="J5" s="116" t="s">
        <v>218</v>
      </c>
    </row>
    <row r="6" spans="1:10" s="15" customFormat="1" ht="20.149999999999999" customHeight="1">
      <c r="A6" s="5"/>
      <c r="B6" s="970"/>
      <c r="C6" s="710"/>
      <c r="D6" s="1028"/>
      <c r="E6" s="1028"/>
      <c r="F6" s="1028"/>
      <c r="G6" s="1029"/>
      <c r="H6" s="1019"/>
      <c r="I6" s="131"/>
      <c r="J6" s="131"/>
    </row>
    <row r="7" spans="1:10" s="14" customFormat="1" ht="23">
      <c r="A7" s="4"/>
      <c r="B7" s="1206" t="s">
        <v>536</v>
      </c>
      <c r="C7" s="718" t="s">
        <v>537</v>
      </c>
      <c r="D7" s="1099"/>
      <c r="E7" s="1208"/>
      <c r="F7" s="791"/>
      <c r="G7" s="1157"/>
      <c r="H7" s="620"/>
      <c r="I7" s="127"/>
      <c r="J7" s="127"/>
    </row>
    <row r="8" spans="1:10" s="14" customFormat="1" ht="11.4" customHeight="1">
      <c r="A8" s="4"/>
      <c r="B8" s="1105"/>
      <c r="C8" s="85"/>
      <c r="D8" s="61"/>
      <c r="E8" s="61"/>
      <c r="F8" s="61"/>
      <c r="G8" s="978"/>
      <c r="H8" s="988"/>
      <c r="I8" s="121"/>
      <c r="J8" s="121"/>
    </row>
    <row r="9" spans="1:10" s="14" customFormat="1">
      <c r="A9" s="4"/>
      <c r="B9" s="1003" t="s">
        <v>538</v>
      </c>
      <c r="C9" s="95" t="s">
        <v>539</v>
      </c>
      <c r="D9" s="64"/>
      <c r="E9" s="65"/>
      <c r="F9" s="66"/>
      <c r="G9" s="978"/>
      <c r="H9" s="989"/>
      <c r="I9" s="121"/>
      <c r="J9" s="121"/>
    </row>
    <row r="10" spans="1:10" s="14" customFormat="1" ht="11.4" customHeight="1">
      <c r="A10" s="4"/>
      <c r="B10" s="1105"/>
      <c r="C10" s="85"/>
      <c r="D10" s="61"/>
      <c r="E10" s="61"/>
      <c r="F10" s="61"/>
      <c r="G10" s="978"/>
      <c r="H10" s="988"/>
      <c r="I10" s="121"/>
      <c r="J10" s="121"/>
    </row>
    <row r="11" spans="1:10" s="14" customFormat="1">
      <c r="A11" s="4"/>
      <c r="B11" s="1001"/>
      <c r="C11" s="63" t="s">
        <v>540</v>
      </c>
      <c r="D11" s="64" t="s">
        <v>15</v>
      </c>
      <c r="E11" s="87">
        <v>2.9</v>
      </c>
      <c r="F11" s="1251">
        <v>0</v>
      </c>
      <c r="G11" s="978">
        <f>E11*F11</f>
        <v>0</v>
      </c>
      <c r="H11" s="1204">
        <v>3.4</v>
      </c>
      <c r="I11" s="122">
        <f>F11*H11</f>
        <v>0</v>
      </c>
      <c r="J11" s="122">
        <f>G11-I11</f>
        <v>0</v>
      </c>
    </row>
    <row r="12" spans="1:10" s="14" customFormat="1" ht="11.4" customHeight="1">
      <c r="A12" s="4"/>
      <c r="B12" s="1105"/>
      <c r="C12" s="85"/>
      <c r="D12" s="61"/>
      <c r="E12" s="87"/>
      <c r="F12" s="61"/>
      <c r="G12" s="978"/>
      <c r="H12" s="1204"/>
      <c r="I12" s="121"/>
      <c r="J12" s="121"/>
    </row>
    <row r="13" spans="1:10" s="14" customFormat="1">
      <c r="A13" s="4"/>
      <c r="B13" s="999"/>
      <c r="C13" s="89"/>
      <c r="D13" s="68"/>
      <c r="E13" s="68"/>
      <c r="F13" s="68"/>
      <c r="G13" s="1034"/>
      <c r="H13" s="1024"/>
      <c r="I13" s="119"/>
      <c r="J13" s="119"/>
    </row>
    <row r="14" spans="1:10" s="14" customFormat="1">
      <c r="A14" s="4"/>
      <c r="B14" s="999"/>
      <c r="C14" s="89"/>
      <c r="D14" s="68"/>
      <c r="E14" s="68"/>
      <c r="F14" s="68"/>
      <c r="G14" s="1034"/>
      <c r="H14" s="1024"/>
      <c r="I14" s="119"/>
      <c r="J14" s="119"/>
    </row>
    <row r="15" spans="1:10" s="14" customFormat="1">
      <c r="A15" s="4"/>
      <c r="B15" s="999"/>
      <c r="C15" s="89"/>
      <c r="D15" s="68"/>
      <c r="E15" s="68"/>
      <c r="F15" s="68"/>
      <c r="G15" s="1034"/>
      <c r="H15" s="1024"/>
      <c r="I15" s="119"/>
      <c r="J15" s="119"/>
    </row>
    <row r="16" spans="1:10" s="14" customFormat="1">
      <c r="A16" s="4"/>
      <c r="B16" s="999"/>
      <c r="C16" s="89"/>
      <c r="D16" s="68"/>
      <c r="E16" s="68"/>
      <c r="F16" s="68"/>
      <c r="G16" s="1034"/>
      <c r="H16" s="1024"/>
      <c r="I16" s="119"/>
      <c r="J16" s="119"/>
    </row>
    <row r="17" spans="1:10" s="14" customFormat="1">
      <c r="A17" s="4"/>
      <c r="B17" s="999"/>
      <c r="C17" s="89"/>
      <c r="D17" s="68"/>
      <c r="E17" s="68"/>
      <c r="F17" s="68"/>
      <c r="G17" s="1034"/>
      <c r="H17" s="1024"/>
      <c r="I17" s="119"/>
      <c r="J17" s="119"/>
    </row>
    <row r="18" spans="1:10" s="14" customFormat="1">
      <c r="A18" s="4"/>
      <c r="B18" s="999"/>
      <c r="C18" s="89"/>
      <c r="D18" s="68"/>
      <c r="E18" s="68"/>
      <c r="F18" s="68"/>
      <c r="G18" s="1034"/>
      <c r="H18" s="1024"/>
      <c r="I18" s="119"/>
      <c r="J18" s="119"/>
    </row>
    <row r="19" spans="1:10" s="14" customFormat="1">
      <c r="A19" s="4"/>
      <c r="B19" s="999"/>
      <c r="C19" s="89"/>
      <c r="D19" s="68"/>
      <c r="E19" s="68"/>
      <c r="F19" s="68"/>
      <c r="G19" s="1034"/>
      <c r="H19" s="1024"/>
      <c r="I19" s="119"/>
      <c r="J19" s="119"/>
    </row>
    <row r="20" spans="1:10" s="14" customFormat="1">
      <c r="A20" s="4"/>
      <c r="B20" s="999"/>
      <c r="C20" s="89"/>
      <c r="D20" s="68"/>
      <c r="E20" s="68"/>
      <c r="F20" s="68"/>
      <c r="G20" s="1034"/>
      <c r="H20" s="1024"/>
      <c r="I20" s="119"/>
      <c r="J20" s="119"/>
    </row>
    <row r="21" spans="1:10" s="14" customFormat="1">
      <c r="A21" s="4"/>
      <c r="B21" s="999"/>
      <c r="C21" s="89"/>
      <c r="D21" s="68"/>
      <c r="E21" s="68"/>
      <c r="F21" s="68"/>
      <c r="G21" s="1034"/>
      <c r="H21" s="1024"/>
      <c r="I21" s="119"/>
      <c r="J21" s="119"/>
    </row>
    <row r="22" spans="1:10" s="14" customFormat="1">
      <c r="A22" s="4"/>
      <c r="B22" s="999"/>
      <c r="C22" s="89"/>
      <c r="D22" s="68"/>
      <c r="E22" s="68"/>
      <c r="F22" s="68"/>
      <c r="G22" s="1034"/>
      <c r="H22" s="1024"/>
      <c r="I22" s="119"/>
      <c r="J22" s="119"/>
    </row>
    <row r="23" spans="1:10" s="14" customFormat="1">
      <c r="A23" s="4"/>
      <c r="B23" s="999"/>
      <c r="C23" s="89"/>
      <c r="D23" s="68"/>
      <c r="E23" s="68"/>
      <c r="F23" s="68"/>
      <c r="G23" s="1034"/>
      <c r="H23" s="1024"/>
      <c r="I23" s="119"/>
      <c r="J23" s="119"/>
    </row>
    <row r="24" spans="1:10" s="14" customFormat="1">
      <c r="A24" s="4"/>
      <c r="B24" s="999"/>
      <c r="C24" s="89"/>
      <c r="D24" s="68"/>
      <c r="E24" s="68"/>
      <c r="F24" s="68"/>
      <c r="G24" s="1034"/>
      <c r="H24" s="1024"/>
      <c r="I24" s="119"/>
      <c r="J24" s="119"/>
    </row>
    <row r="25" spans="1:10" s="14" customFormat="1">
      <c r="A25" s="4"/>
      <c r="B25" s="999"/>
      <c r="C25" s="89"/>
      <c r="D25" s="68"/>
      <c r="E25" s="68"/>
      <c r="F25" s="68"/>
      <c r="G25" s="1034"/>
      <c r="H25" s="1024"/>
      <c r="I25" s="119"/>
      <c r="J25" s="119"/>
    </row>
    <row r="26" spans="1:10" s="14" customFormat="1">
      <c r="A26" s="4"/>
      <c r="B26" s="999"/>
      <c r="C26" s="89"/>
      <c r="D26" s="68"/>
      <c r="E26" s="68"/>
      <c r="F26" s="68"/>
      <c r="G26" s="1034"/>
      <c r="H26" s="1024"/>
      <c r="I26" s="119"/>
      <c r="J26" s="119"/>
    </row>
    <row r="27" spans="1:10" s="14" customFormat="1">
      <c r="A27" s="4"/>
      <c r="B27" s="999"/>
      <c r="C27" s="89"/>
      <c r="D27" s="68"/>
      <c r="E27" s="68"/>
      <c r="F27" s="68"/>
      <c r="G27" s="1034"/>
      <c r="H27" s="1024"/>
      <c r="I27" s="119"/>
      <c r="J27" s="119"/>
    </row>
    <row r="28" spans="1:10" s="14" customFormat="1">
      <c r="A28" s="4"/>
      <c r="B28" s="999"/>
      <c r="C28" s="89"/>
      <c r="D28" s="68"/>
      <c r="E28" s="68"/>
      <c r="F28" s="68"/>
      <c r="G28" s="1034"/>
      <c r="H28" s="1024"/>
      <c r="I28" s="119"/>
      <c r="J28" s="119"/>
    </row>
    <row r="29" spans="1:10" s="14" customFormat="1">
      <c r="A29" s="4"/>
      <c r="B29" s="999"/>
      <c r="C29" s="89"/>
      <c r="D29" s="68"/>
      <c r="E29" s="68"/>
      <c r="F29" s="68"/>
      <c r="G29" s="1034"/>
      <c r="H29" s="1024"/>
      <c r="I29" s="119"/>
      <c r="J29" s="119"/>
    </row>
    <row r="30" spans="1:10" s="14" customFormat="1">
      <c r="A30" s="4"/>
      <c r="B30" s="999"/>
      <c r="C30" s="89"/>
      <c r="D30" s="68"/>
      <c r="E30" s="68"/>
      <c r="F30" s="68"/>
      <c r="G30" s="1034"/>
      <c r="H30" s="1024"/>
      <c r="I30" s="119"/>
      <c r="J30" s="119"/>
    </row>
    <row r="31" spans="1:10" s="14" customFormat="1">
      <c r="A31" s="4"/>
      <c r="B31" s="999"/>
      <c r="C31" s="89"/>
      <c r="D31" s="68"/>
      <c r="E31" s="68"/>
      <c r="F31" s="68"/>
      <c r="G31" s="1034"/>
      <c r="H31" s="1024"/>
      <c r="I31" s="119"/>
      <c r="J31" s="119"/>
    </row>
    <row r="32" spans="1:10" s="14" customFormat="1">
      <c r="A32" s="4"/>
      <c r="B32" s="999"/>
      <c r="C32" s="89"/>
      <c r="D32" s="68"/>
      <c r="E32" s="68"/>
      <c r="F32" s="68"/>
      <c r="G32" s="1034"/>
      <c r="H32" s="1024"/>
      <c r="I32" s="119"/>
      <c r="J32" s="119"/>
    </row>
    <row r="33" spans="1:10" s="14" customFormat="1">
      <c r="A33" s="4"/>
      <c r="B33" s="999"/>
      <c r="C33" s="67"/>
      <c r="D33" s="68"/>
      <c r="E33" s="68"/>
      <c r="F33" s="68"/>
      <c r="G33" s="1034"/>
      <c r="H33" s="1024"/>
      <c r="I33" s="119"/>
      <c r="J33" s="119"/>
    </row>
    <row r="34" spans="1:10" s="14" customFormat="1">
      <c r="A34" s="4"/>
      <c r="B34" s="999"/>
      <c r="C34" s="67"/>
      <c r="D34" s="68"/>
      <c r="E34" s="68"/>
      <c r="F34" s="68"/>
      <c r="G34" s="1034"/>
      <c r="H34" s="1024"/>
      <c r="I34" s="119"/>
      <c r="J34" s="119"/>
    </row>
    <row r="35" spans="1:10" s="14" customFormat="1" hidden="1">
      <c r="A35" s="4"/>
      <c r="B35" s="999"/>
      <c r="C35" s="67"/>
      <c r="D35" s="68"/>
      <c r="E35" s="68"/>
      <c r="F35" s="68"/>
      <c r="G35" s="1034"/>
      <c r="H35" s="1024"/>
      <c r="I35" s="119"/>
      <c r="J35" s="119"/>
    </row>
    <row r="36" spans="1:10" s="14" customFormat="1">
      <c r="A36" s="4"/>
      <c r="B36" s="999"/>
      <c r="C36" s="67"/>
      <c r="D36" s="68"/>
      <c r="E36" s="68"/>
      <c r="F36" s="68"/>
      <c r="G36" s="1034"/>
      <c r="H36" s="1024"/>
      <c r="I36" s="119"/>
      <c r="J36" s="119"/>
    </row>
    <row r="37" spans="1:10" s="14" customFormat="1" ht="12" thickBot="1">
      <c r="A37" s="4"/>
      <c r="B37" s="999"/>
      <c r="C37" s="67"/>
      <c r="D37" s="68"/>
      <c r="E37" s="68"/>
      <c r="F37" s="68"/>
      <c r="G37" s="1034"/>
      <c r="H37" s="1024"/>
      <c r="I37" s="119"/>
      <c r="J37" s="119"/>
    </row>
    <row r="38" spans="1:10" s="16" customFormat="1" ht="20.149999999999999" customHeight="1" thickBot="1">
      <c r="A38" s="21"/>
      <c r="B38" s="980" t="s">
        <v>145</v>
      </c>
      <c r="C38" s="1005"/>
      <c r="D38" s="1006"/>
      <c r="E38" s="1006"/>
      <c r="F38" s="1006"/>
      <c r="G38" s="1017">
        <f>SUM(G3:G37)</f>
        <v>0</v>
      </c>
      <c r="H38" s="1205"/>
      <c r="I38" s="158">
        <f>SUM(I7:I30)</f>
        <v>0</v>
      </c>
      <c r="J38" s="158">
        <f>SUM(J7:J30)</f>
        <v>0</v>
      </c>
    </row>
  </sheetData>
  <pageMargins left="0.7" right="0.7" top="0.75" bottom="0.75" header="0.3" footer="0.3"/>
  <pageSetup paperSize="9" scale="88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5">
    <pageSetUpPr fitToPage="1"/>
  </sheetPr>
  <dimension ref="A1:N60"/>
  <sheetViews>
    <sheetView view="pageBreakPreview" topLeftCell="A5" zoomScaleNormal="100" zoomScaleSheetLayoutView="100" workbookViewId="0">
      <selection activeCell="E9" sqref="E9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44.08984375" style="20" customWidth="1"/>
    <col min="4" max="4" width="9.453125" style="20" customWidth="1"/>
    <col min="5" max="5" width="13.453125" style="20" customWidth="1"/>
    <col min="6" max="6" width="12.6328125" style="607" customWidth="1"/>
    <col min="7" max="7" width="15.54296875" style="612" customWidth="1"/>
    <col min="8" max="8" width="0" style="12" hidden="1" customWidth="1"/>
    <col min="9" max="9" width="10.6328125" style="12" hidden="1" customWidth="1"/>
    <col min="10" max="10" width="0" style="12" hidden="1" customWidth="1"/>
    <col min="11" max="16384" width="8.90625" style="12"/>
  </cols>
  <sheetData>
    <row r="1" spans="1:12" s="7" customFormat="1" ht="12" thickBot="1">
      <c r="A1" s="18"/>
      <c r="B1" s="23"/>
      <c r="C1" s="24"/>
      <c r="D1" s="18"/>
      <c r="E1" s="18"/>
      <c r="F1" s="601"/>
      <c r="G1" s="611"/>
    </row>
    <row r="2" spans="1:12" s="7" customFormat="1">
      <c r="A2" s="18"/>
      <c r="B2" s="900" t="s">
        <v>782</v>
      </c>
      <c r="C2" s="943"/>
      <c r="D2" s="943"/>
      <c r="E2" s="943"/>
      <c r="F2" s="1210"/>
      <c r="G2" s="1211"/>
    </row>
    <row r="3" spans="1:12" s="7" customFormat="1">
      <c r="A3" s="18"/>
      <c r="B3" s="904" t="s">
        <v>482</v>
      </c>
      <c r="C3" s="18"/>
      <c r="D3" s="18"/>
      <c r="E3" s="18"/>
      <c r="F3" s="1212"/>
      <c r="G3" s="1213"/>
    </row>
    <row r="4" spans="1:12" s="7" customFormat="1" ht="20.149999999999999" customHeight="1">
      <c r="A4" s="18"/>
      <c r="B4" s="966"/>
      <c r="C4" s="18"/>
      <c r="D4" s="18"/>
      <c r="E4" s="18"/>
      <c r="F4" s="1212"/>
      <c r="G4" s="1214" t="s">
        <v>533</v>
      </c>
    </row>
    <row r="5" spans="1:12" s="9" customFormat="1" ht="30" customHeight="1">
      <c r="A5" s="4"/>
      <c r="B5" s="968" t="s">
        <v>0</v>
      </c>
      <c r="C5" s="785" t="s">
        <v>2</v>
      </c>
      <c r="D5" s="785" t="s">
        <v>3</v>
      </c>
      <c r="E5" s="785" t="s">
        <v>4</v>
      </c>
      <c r="F5" s="1215" t="s">
        <v>5</v>
      </c>
      <c r="G5" s="1216" t="s">
        <v>6</v>
      </c>
      <c r="H5" s="1018" t="s">
        <v>217</v>
      </c>
      <c r="I5" s="116" t="s">
        <v>216</v>
      </c>
      <c r="J5" s="116" t="s">
        <v>218</v>
      </c>
    </row>
    <row r="6" spans="1:12" s="10" customFormat="1" ht="20.149999999999999" customHeight="1">
      <c r="A6" s="5"/>
      <c r="B6" s="970"/>
      <c r="C6" s="710"/>
      <c r="D6" s="1028"/>
      <c r="E6" s="1028"/>
      <c r="F6" s="1217"/>
      <c r="G6" s="1218"/>
      <c r="H6" s="1019"/>
      <c r="I6" s="131"/>
      <c r="J6" s="131"/>
    </row>
    <row r="7" spans="1:12" s="9" customFormat="1">
      <c r="A7" s="4"/>
      <c r="B7" s="972" t="s">
        <v>160</v>
      </c>
      <c r="C7" s="788" t="s">
        <v>122</v>
      </c>
      <c r="D7" s="789"/>
      <c r="E7" s="1179"/>
      <c r="F7" s="1219"/>
      <c r="G7" s="1220"/>
      <c r="H7" s="724"/>
      <c r="I7" s="132"/>
      <c r="J7" s="132"/>
    </row>
    <row r="8" spans="1:12" s="9" customFormat="1" ht="11.4" customHeight="1">
      <c r="A8" s="4"/>
      <c r="B8" s="974"/>
      <c r="C8" s="67"/>
      <c r="D8" s="68"/>
      <c r="E8" s="68"/>
      <c r="F8" s="595"/>
      <c r="G8" s="1221"/>
      <c r="H8" s="1024"/>
      <c r="I8" s="123"/>
      <c r="J8" s="123"/>
    </row>
    <row r="9" spans="1:12" s="9" customFormat="1" ht="23">
      <c r="A9" s="4"/>
      <c r="B9" s="998" t="s">
        <v>532</v>
      </c>
      <c r="C9" s="63" t="s">
        <v>171</v>
      </c>
      <c r="D9" s="37" t="s">
        <v>11</v>
      </c>
      <c r="E9" s="80">
        <f>(5.5*2900+30+10)*1.1</f>
        <v>17589</v>
      </c>
      <c r="F9" s="1295">
        <v>0</v>
      </c>
      <c r="G9" s="1297">
        <f>E9*F9</f>
        <v>0</v>
      </c>
      <c r="H9" s="1036">
        <v>6800</v>
      </c>
      <c r="I9" s="61">
        <f>F9*H9</f>
        <v>0</v>
      </c>
      <c r="J9" s="747">
        <f>G9-I9</f>
        <v>0</v>
      </c>
      <c r="L9" s="748" t="s">
        <v>680</v>
      </c>
    </row>
    <row r="10" spans="1:12" s="9" customFormat="1">
      <c r="A10" s="4"/>
      <c r="B10" s="998"/>
      <c r="C10" s="63"/>
      <c r="D10" s="37"/>
      <c r="E10" s="80"/>
      <c r="F10" s="1295"/>
      <c r="G10" s="1297"/>
      <c r="H10" s="1036"/>
      <c r="I10" s="61"/>
      <c r="J10" s="747"/>
    </row>
    <row r="11" spans="1:12" s="9" customFormat="1">
      <c r="A11" s="4"/>
      <c r="B11" s="1042" t="s">
        <v>535</v>
      </c>
      <c r="C11" s="695" t="s">
        <v>202</v>
      </c>
      <c r="D11" s="68"/>
      <c r="E11" s="68"/>
      <c r="F11" s="1296"/>
      <c r="G11" s="1297"/>
      <c r="H11" s="1024"/>
      <c r="I11" s="123"/>
      <c r="J11" s="123"/>
    </row>
    <row r="12" spans="1:12" s="9" customFormat="1">
      <c r="A12" s="4"/>
      <c r="B12" s="974"/>
      <c r="C12" s="67"/>
      <c r="D12" s="68"/>
      <c r="E12" s="68"/>
      <c r="F12" s="1296"/>
      <c r="G12" s="1297"/>
      <c r="H12" s="1024"/>
      <c r="I12" s="123"/>
      <c r="J12" s="123"/>
    </row>
    <row r="13" spans="1:12" s="9" customFormat="1" ht="16.649999999999999" customHeight="1">
      <c r="A13" s="4"/>
      <c r="B13" s="999"/>
      <c r="C13" s="67" t="s">
        <v>203</v>
      </c>
      <c r="D13" s="68" t="s">
        <v>195</v>
      </c>
      <c r="E13" s="68">
        <v>1</v>
      </c>
      <c r="F13" s="1296">
        <v>50000</v>
      </c>
      <c r="G13" s="1297">
        <f>E13*F13</f>
        <v>50000</v>
      </c>
      <c r="H13" s="1024">
        <v>1</v>
      </c>
      <c r="I13" s="123">
        <f>F13*H13</f>
        <v>50000</v>
      </c>
      <c r="J13" s="122">
        <f>G13-I13</f>
        <v>0</v>
      </c>
    </row>
    <row r="14" spans="1:12" s="9" customFormat="1" ht="15" customHeight="1">
      <c r="A14" s="4"/>
      <c r="B14" s="999"/>
      <c r="C14" s="67"/>
      <c r="D14" s="68"/>
      <c r="E14" s="68"/>
      <c r="F14" s="595"/>
      <c r="G14" s="1297"/>
      <c r="H14" s="1024"/>
      <c r="I14" s="123"/>
      <c r="J14" s="122"/>
    </row>
    <row r="15" spans="1:12" s="9" customFormat="1" ht="23">
      <c r="A15" s="4"/>
      <c r="B15" s="999"/>
      <c r="C15" s="67" t="s">
        <v>204</v>
      </c>
      <c r="D15" s="83" t="s">
        <v>9</v>
      </c>
      <c r="E15" s="606">
        <f>F13</f>
        <v>50000</v>
      </c>
      <c r="F15" s="608">
        <v>0</v>
      </c>
      <c r="G15" s="1297">
        <f>E15*F15</f>
        <v>0</v>
      </c>
      <c r="H15" s="1024">
        <v>25000</v>
      </c>
      <c r="I15" s="123">
        <f>F15*H15</f>
        <v>0</v>
      </c>
      <c r="J15" s="122">
        <f>G15-I15</f>
        <v>0</v>
      </c>
    </row>
    <row r="16" spans="1:12" s="9" customFormat="1">
      <c r="A16" s="4"/>
      <c r="B16" s="999"/>
      <c r="C16" s="67"/>
      <c r="D16" s="68"/>
      <c r="E16" s="68"/>
      <c r="F16" s="595"/>
      <c r="G16" s="1221"/>
      <c r="H16" s="1024"/>
      <c r="I16" s="118"/>
      <c r="J16" s="118"/>
    </row>
    <row r="17" spans="1:14" s="9" customFormat="1">
      <c r="A17" s="4"/>
      <c r="B17" s="999"/>
      <c r="C17" s="67"/>
      <c r="D17" s="68"/>
      <c r="E17" s="68"/>
      <c r="F17" s="595"/>
      <c r="G17" s="1222"/>
      <c r="H17" s="1024"/>
      <c r="I17" s="118"/>
      <c r="J17" s="118"/>
    </row>
    <row r="18" spans="1:14" s="9" customFormat="1">
      <c r="A18" s="4"/>
      <c r="B18" s="999"/>
      <c r="C18" s="67"/>
      <c r="D18" s="68"/>
      <c r="E18" s="68"/>
      <c r="F18" s="595"/>
      <c r="G18" s="1222"/>
      <c r="H18" s="1024"/>
      <c r="I18" s="118"/>
      <c r="J18" s="118"/>
    </row>
    <row r="19" spans="1:14" s="9" customFormat="1">
      <c r="A19" s="4"/>
      <c r="B19" s="999"/>
      <c r="C19" s="67"/>
      <c r="D19" s="68"/>
      <c r="E19" s="68"/>
      <c r="F19" s="595"/>
      <c r="G19" s="1222"/>
      <c r="H19" s="1024"/>
      <c r="I19" s="118"/>
      <c r="J19" s="118"/>
    </row>
    <row r="20" spans="1:14" s="9" customFormat="1">
      <c r="A20" s="4"/>
      <c r="B20" s="999"/>
      <c r="C20" s="67"/>
      <c r="D20" s="68"/>
      <c r="E20" s="68"/>
      <c r="F20" s="595"/>
      <c r="G20" s="1222"/>
      <c r="H20" s="1024"/>
      <c r="I20" s="118"/>
      <c r="J20" s="118"/>
    </row>
    <row r="21" spans="1:14" s="9" customFormat="1">
      <c r="A21" s="4"/>
      <c r="B21" s="999"/>
      <c r="C21" s="67"/>
      <c r="D21" s="68"/>
      <c r="E21" s="68"/>
      <c r="F21" s="595"/>
      <c r="G21" s="1222"/>
      <c r="H21" s="1024"/>
      <c r="I21" s="118"/>
      <c r="J21" s="118"/>
    </row>
    <row r="22" spans="1:14" s="9" customFormat="1">
      <c r="A22" s="4"/>
      <c r="B22" s="999"/>
      <c r="C22" s="67"/>
      <c r="D22" s="68"/>
      <c r="E22" s="68"/>
      <c r="F22" s="595"/>
      <c r="G22" s="1222"/>
      <c r="H22" s="1024"/>
      <c r="I22" s="118"/>
      <c r="J22" s="118"/>
    </row>
    <row r="23" spans="1:14" s="9" customFormat="1">
      <c r="A23" s="4"/>
      <c r="B23" s="999"/>
      <c r="C23" s="67"/>
      <c r="D23" s="68"/>
      <c r="E23" s="68"/>
      <c r="F23" s="595"/>
      <c r="G23" s="1222"/>
      <c r="H23" s="1024"/>
      <c r="I23" s="118"/>
      <c r="J23" s="118"/>
    </row>
    <row r="24" spans="1:14" s="9" customFormat="1">
      <c r="A24" s="4"/>
      <c r="B24" s="999"/>
      <c r="C24" s="67"/>
      <c r="D24" s="68"/>
      <c r="E24" s="68"/>
      <c r="F24" s="595"/>
      <c r="G24" s="1222"/>
      <c r="H24" s="1024"/>
      <c r="I24" s="118"/>
      <c r="J24" s="118"/>
    </row>
    <row r="25" spans="1:14" s="9" customFormat="1">
      <c r="A25" s="4"/>
      <c r="B25" s="999"/>
      <c r="C25" s="67"/>
      <c r="D25" s="68"/>
      <c r="E25" s="68"/>
      <c r="F25" s="595"/>
      <c r="G25" s="1222"/>
      <c r="H25" s="1024"/>
      <c r="I25" s="118"/>
      <c r="J25" s="118"/>
    </row>
    <row r="26" spans="1:14" s="9" customFormat="1">
      <c r="A26" s="4"/>
      <c r="B26" s="999"/>
      <c r="C26" s="67"/>
      <c r="D26" s="68"/>
      <c r="E26" s="68"/>
      <c r="F26" s="595"/>
      <c r="G26" s="1222"/>
      <c r="H26" s="1024"/>
      <c r="I26" s="118"/>
      <c r="J26" s="118"/>
    </row>
    <row r="27" spans="1:14" s="9" customFormat="1">
      <c r="A27" s="4"/>
      <c r="B27" s="999"/>
      <c r="C27" s="67"/>
      <c r="D27" s="68"/>
      <c r="E27" s="68"/>
      <c r="F27" s="595"/>
      <c r="G27" s="1222"/>
      <c r="H27" s="1024"/>
      <c r="I27" s="118"/>
      <c r="J27" s="118"/>
      <c r="N27" s="9" t="s">
        <v>534</v>
      </c>
    </row>
    <row r="28" spans="1:14" s="9" customFormat="1">
      <c r="A28" s="4"/>
      <c r="B28" s="999"/>
      <c r="C28" s="67"/>
      <c r="D28" s="68"/>
      <c r="E28" s="68"/>
      <c r="F28" s="595"/>
      <c r="G28" s="1222"/>
      <c r="H28" s="1024"/>
      <c r="I28" s="118"/>
      <c r="J28" s="118"/>
    </row>
    <row r="29" spans="1:14" s="9" customFormat="1">
      <c r="A29" s="4"/>
      <c r="B29" s="999"/>
      <c r="C29" s="67"/>
      <c r="D29" s="68"/>
      <c r="E29" s="68"/>
      <c r="F29" s="595"/>
      <c r="G29" s="1222"/>
      <c r="H29" s="1024"/>
      <c r="I29" s="118"/>
      <c r="J29" s="118"/>
    </row>
    <row r="30" spans="1:14" s="9" customFormat="1">
      <c r="A30" s="4"/>
      <c r="B30" s="999"/>
      <c r="C30" s="67"/>
      <c r="D30" s="68"/>
      <c r="E30" s="68"/>
      <c r="F30" s="595"/>
      <c r="G30" s="1222"/>
      <c r="H30" s="1024"/>
      <c r="I30" s="118"/>
      <c r="J30" s="118"/>
    </row>
    <row r="31" spans="1:14" s="9" customFormat="1">
      <c r="A31" s="4"/>
      <c r="B31" s="999"/>
      <c r="C31" s="67"/>
      <c r="D31" s="68"/>
      <c r="E31" s="68"/>
      <c r="F31" s="595"/>
      <c r="G31" s="1222"/>
      <c r="H31" s="1024"/>
      <c r="I31" s="118"/>
      <c r="J31" s="118"/>
    </row>
    <row r="32" spans="1:14" s="9" customFormat="1">
      <c r="A32" s="4"/>
      <c r="B32" s="999"/>
      <c r="C32" s="67"/>
      <c r="D32" s="68"/>
      <c r="E32" s="68"/>
      <c r="F32" s="595"/>
      <c r="G32" s="1222"/>
      <c r="H32" s="1024"/>
      <c r="I32" s="118"/>
      <c r="J32" s="118"/>
    </row>
    <row r="33" spans="1:10" s="9" customFormat="1">
      <c r="A33" s="4"/>
      <c r="B33" s="999"/>
      <c r="C33" s="67"/>
      <c r="D33" s="68"/>
      <c r="E33" s="68"/>
      <c r="F33" s="595"/>
      <c r="G33" s="1222"/>
      <c r="H33" s="1024"/>
      <c r="I33" s="118"/>
      <c r="J33" s="118"/>
    </row>
    <row r="34" spans="1:10" s="9" customFormat="1">
      <c r="A34" s="4"/>
      <c r="B34" s="999"/>
      <c r="C34" s="67"/>
      <c r="D34" s="68"/>
      <c r="E34" s="68"/>
      <c r="F34" s="595"/>
      <c r="G34" s="1222"/>
      <c r="H34" s="1024"/>
      <c r="I34" s="118"/>
      <c r="J34" s="118"/>
    </row>
    <row r="35" spans="1:10" s="9" customFormat="1">
      <c r="A35" s="4"/>
      <c r="B35" s="999"/>
      <c r="C35" s="67"/>
      <c r="D35" s="68"/>
      <c r="E35" s="68"/>
      <c r="F35" s="595"/>
      <c r="G35" s="1222"/>
      <c r="H35" s="1024"/>
      <c r="I35" s="118"/>
      <c r="J35" s="118"/>
    </row>
    <row r="36" spans="1:10" s="9" customFormat="1">
      <c r="A36" s="4"/>
      <c r="B36" s="999"/>
      <c r="C36" s="67"/>
      <c r="D36" s="68"/>
      <c r="E36" s="68"/>
      <c r="F36" s="595"/>
      <c r="G36" s="1222"/>
      <c r="H36" s="1024"/>
      <c r="I36" s="118"/>
      <c r="J36" s="118"/>
    </row>
    <row r="37" spans="1:10" s="9" customFormat="1">
      <c r="A37" s="4"/>
      <c r="B37" s="999"/>
      <c r="C37" s="67"/>
      <c r="D37" s="68"/>
      <c r="E37" s="68"/>
      <c r="F37" s="595"/>
      <c r="G37" s="1222"/>
      <c r="H37" s="1024"/>
      <c r="I37" s="118"/>
      <c r="J37" s="118"/>
    </row>
    <row r="38" spans="1:10" s="9" customFormat="1">
      <c r="A38" s="4"/>
      <c r="B38" s="999"/>
      <c r="C38" s="67"/>
      <c r="D38" s="68"/>
      <c r="E38" s="68"/>
      <c r="F38" s="595"/>
      <c r="G38" s="1222"/>
      <c r="H38" s="1024"/>
      <c r="I38" s="118"/>
      <c r="J38" s="118"/>
    </row>
    <row r="39" spans="1:10" s="9" customFormat="1">
      <c r="A39" s="4"/>
      <c r="B39" s="999"/>
      <c r="C39" s="67"/>
      <c r="D39" s="68"/>
      <c r="E39" s="68"/>
      <c r="F39" s="595"/>
      <c r="G39" s="1222"/>
      <c r="H39" s="1024"/>
      <c r="I39" s="118"/>
      <c r="J39" s="118"/>
    </row>
    <row r="40" spans="1:10" s="9" customFormat="1">
      <c r="A40" s="4"/>
      <c r="B40" s="999"/>
      <c r="C40" s="67"/>
      <c r="D40" s="68"/>
      <c r="E40" s="68"/>
      <c r="F40" s="595"/>
      <c r="G40" s="1222"/>
      <c r="H40" s="1024"/>
      <c r="I40" s="118"/>
      <c r="J40" s="118"/>
    </row>
    <row r="41" spans="1:10" s="9" customFormat="1">
      <c r="A41" s="4"/>
      <c r="B41" s="999"/>
      <c r="C41" s="67"/>
      <c r="D41" s="68"/>
      <c r="E41" s="68"/>
      <c r="F41" s="595"/>
      <c r="G41" s="1222"/>
      <c r="H41" s="1024"/>
      <c r="I41" s="118"/>
      <c r="J41" s="118"/>
    </row>
    <row r="42" spans="1:10" s="9" customFormat="1">
      <c r="A42" s="4"/>
      <c r="B42" s="999"/>
      <c r="C42" s="67"/>
      <c r="D42" s="68"/>
      <c r="E42" s="68"/>
      <c r="F42" s="595"/>
      <c r="G42" s="1222"/>
      <c r="H42" s="1024"/>
      <c r="I42" s="118"/>
      <c r="J42" s="118"/>
    </row>
    <row r="43" spans="1:10" s="9" customFormat="1">
      <c r="A43" s="4"/>
      <c r="B43" s="999"/>
      <c r="C43" s="67"/>
      <c r="D43" s="68"/>
      <c r="E43" s="68"/>
      <c r="F43" s="595"/>
      <c r="G43" s="1222"/>
      <c r="H43" s="1024"/>
      <c r="I43" s="118"/>
      <c r="J43" s="118"/>
    </row>
    <row r="44" spans="1:10" s="9" customFormat="1">
      <c r="A44" s="4"/>
      <c r="B44" s="999"/>
      <c r="C44" s="67"/>
      <c r="D44" s="68"/>
      <c r="E44" s="68"/>
      <c r="F44" s="595"/>
      <c r="G44" s="1222"/>
      <c r="H44" s="1024"/>
      <c r="I44" s="118"/>
      <c r="J44" s="118"/>
    </row>
    <row r="45" spans="1:10" s="9" customFormat="1">
      <c r="A45" s="4"/>
      <c r="B45" s="999"/>
      <c r="C45" s="67"/>
      <c r="D45" s="68"/>
      <c r="E45" s="68"/>
      <c r="F45" s="595"/>
      <c r="G45" s="1222"/>
      <c r="H45" s="1024"/>
      <c r="I45" s="118"/>
      <c r="J45" s="118"/>
    </row>
    <row r="46" spans="1:10" s="9" customFormat="1">
      <c r="A46" s="4"/>
      <c r="B46" s="999"/>
      <c r="C46" s="67"/>
      <c r="D46" s="68"/>
      <c r="E46" s="68"/>
      <c r="F46" s="595"/>
      <c r="G46" s="1222"/>
      <c r="H46" s="1024"/>
      <c r="I46" s="118"/>
      <c r="J46" s="118"/>
    </row>
    <row r="47" spans="1:10" s="9" customFormat="1">
      <c r="A47" s="4"/>
      <c r="B47" s="999"/>
      <c r="C47" s="67"/>
      <c r="D47" s="68"/>
      <c r="E47" s="68"/>
      <c r="F47" s="595"/>
      <c r="G47" s="1222"/>
      <c r="H47" s="1024"/>
      <c r="I47" s="118"/>
      <c r="J47" s="118"/>
    </row>
    <row r="48" spans="1:10" s="9" customFormat="1">
      <c r="A48" s="4"/>
      <c r="B48" s="999"/>
      <c r="C48" s="67"/>
      <c r="D48" s="68"/>
      <c r="E48" s="68"/>
      <c r="F48" s="595"/>
      <c r="G48" s="1222"/>
      <c r="H48" s="1024"/>
      <c r="I48" s="118"/>
      <c r="J48" s="118"/>
    </row>
    <row r="49" spans="1:10" s="9" customFormat="1">
      <c r="A49" s="4"/>
      <c r="B49" s="999"/>
      <c r="C49" s="67"/>
      <c r="D49" s="68"/>
      <c r="E49" s="68"/>
      <c r="F49" s="595"/>
      <c r="G49" s="1222"/>
      <c r="H49" s="1024"/>
      <c r="I49" s="118"/>
      <c r="J49" s="118"/>
    </row>
    <row r="50" spans="1:10" s="9" customFormat="1">
      <c r="A50" s="4"/>
      <c r="B50" s="999"/>
      <c r="C50" s="67"/>
      <c r="D50" s="68"/>
      <c r="E50" s="68"/>
      <c r="F50" s="595"/>
      <c r="G50" s="1222"/>
      <c r="H50" s="1024"/>
      <c r="I50" s="118"/>
      <c r="J50" s="118"/>
    </row>
    <row r="51" spans="1:10" s="9" customFormat="1">
      <c r="A51" s="4"/>
      <c r="B51" s="999"/>
      <c r="C51" s="67"/>
      <c r="D51" s="68"/>
      <c r="E51" s="68"/>
      <c r="F51" s="595"/>
      <c r="G51" s="1222"/>
      <c r="H51" s="1024"/>
      <c r="I51" s="118"/>
      <c r="J51" s="118"/>
    </row>
    <row r="52" spans="1:10" s="9" customFormat="1">
      <c r="A52" s="4"/>
      <c r="B52" s="999"/>
      <c r="C52" s="67"/>
      <c r="D52" s="68"/>
      <c r="E52" s="68"/>
      <c r="F52" s="595"/>
      <c r="G52" s="1222"/>
      <c r="H52" s="1024"/>
      <c r="I52" s="118"/>
      <c r="J52" s="118"/>
    </row>
    <row r="53" spans="1:10" s="9" customFormat="1">
      <c r="A53" s="4"/>
      <c r="B53" s="999"/>
      <c r="C53" s="67"/>
      <c r="D53" s="68"/>
      <c r="E53" s="68"/>
      <c r="F53" s="595"/>
      <c r="G53" s="1222"/>
      <c r="H53" s="1024"/>
      <c r="I53" s="118"/>
      <c r="J53" s="118"/>
    </row>
    <row r="54" spans="1:10" s="9" customFormat="1">
      <c r="A54" s="4"/>
      <c r="B54" s="999"/>
      <c r="C54" s="67"/>
      <c r="D54" s="68"/>
      <c r="E54" s="68"/>
      <c r="F54" s="595"/>
      <c r="G54" s="1222"/>
      <c r="H54" s="1024"/>
      <c r="I54" s="118"/>
      <c r="J54" s="118"/>
    </row>
    <row r="55" spans="1:10" s="9" customFormat="1">
      <c r="A55" s="4"/>
      <c r="B55" s="999"/>
      <c r="C55" s="67"/>
      <c r="D55" s="68"/>
      <c r="E55" s="68"/>
      <c r="F55" s="595"/>
      <c r="G55" s="1222"/>
      <c r="H55" s="1024"/>
      <c r="I55" s="118"/>
      <c r="J55" s="118"/>
    </row>
    <row r="56" spans="1:10" s="9" customFormat="1">
      <c r="A56" s="4"/>
      <c r="B56" s="999"/>
      <c r="C56" s="67"/>
      <c r="D56" s="68"/>
      <c r="E56" s="68"/>
      <c r="F56" s="595"/>
      <c r="G56" s="1222"/>
      <c r="H56" s="1024"/>
      <c r="I56" s="118"/>
      <c r="J56" s="118"/>
    </row>
    <row r="57" spans="1:10" s="9" customFormat="1">
      <c r="A57" s="4"/>
      <c r="B57" s="999"/>
      <c r="C57" s="67"/>
      <c r="D57" s="68"/>
      <c r="E57" s="68"/>
      <c r="F57" s="595"/>
      <c r="G57" s="1222"/>
      <c r="H57" s="1024"/>
      <c r="I57" s="118"/>
      <c r="J57" s="118"/>
    </row>
    <row r="58" spans="1:10" s="9" customFormat="1">
      <c r="A58" s="4"/>
      <c r="B58" s="999"/>
      <c r="C58" s="67"/>
      <c r="D58" s="68"/>
      <c r="E58" s="68"/>
      <c r="F58" s="595"/>
      <c r="G58" s="1222"/>
      <c r="H58" s="1024"/>
      <c r="I58" s="118"/>
      <c r="J58" s="118"/>
    </row>
    <row r="59" spans="1:10" s="9" customFormat="1">
      <c r="A59" s="4"/>
      <c r="B59" s="999"/>
      <c r="C59" s="67"/>
      <c r="D59" s="68"/>
      <c r="E59" s="68"/>
      <c r="F59" s="595"/>
      <c r="G59" s="1222"/>
      <c r="H59" s="1024"/>
      <c r="I59" s="118"/>
      <c r="J59" s="118"/>
    </row>
    <row r="60" spans="1:10" s="13" customFormat="1" ht="20.149999999999999" customHeight="1" thickBot="1">
      <c r="A60" s="21"/>
      <c r="B60" s="980" t="s">
        <v>145</v>
      </c>
      <c r="C60" s="1005"/>
      <c r="D60" s="1006"/>
      <c r="E60" s="1006"/>
      <c r="F60" s="1223"/>
      <c r="G60" s="1298">
        <v>0</v>
      </c>
      <c r="H60" s="1209">
        <f>SUM(H9:H16)</f>
        <v>31801</v>
      </c>
      <c r="I60" s="157">
        <f>SUM(I9:I16)</f>
        <v>50000</v>
      </c>
      <c r="J60" s="157">
        <f>SUM(J9:J16)</f>
        <v>0</v>
      </c>
    </row>
  </sheetData>
  <pageMargins left="0.5905524831078367" right="0.27559115878365709" top="0.3937016554052245" bottom="0.3937016554052245" header="0.3" footer="0.3"/>
  <pageSetup paperSize="9" scale="92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27">
    <pageSetUpPr fitToPage="1"/>
  </sheetPr>
  <dimension ref="A1:G69"/>
  <sheetViews>
    <sheetView view="pageBreakPreview" zoomScale="112" zoomScaleNormal="108" zoomScaleSheetLayoutView="112" workbookViewId="0">
      <selection activeCell="B3" sqref="B3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45.54296875" style="20" customWidth="1"/>
    <col min="4" max="4" width="6.36328125" style="20" customWidth="1"/>
    <col min="5" max="5" width="13" style="20" customWidth="1"/>
    <col min="6" max="6" width="12.90625" style="20" customWidth="1"/>
    <col min="7" max="7" width="15.08984375" style="20" customWidth="1"/>
    <col min="8" max="16384" width="8.90625" style="11"/>
  </cols>
  <sheetData>
    <row r="1" spans="1:7" s="8" customFormat="1" ht="12" thickBot="1">
      <c r="A1" s="18"/>
      <c r="B1" s="23"/>
      <c r="C1" s="24"/>
      <c r="D1" s="18"/>
      <c r="E1" s="18"/>
      <c r="F1" s="18"/>
      <c r="G1" s="18"/>
    </row>
    <row r="2" spans="1:7" s="8" customFormat="1">
      <c r="A2" s="18"/>
      <c r="B2" s="900" t="s">
        <v>782</v>
      </c>
      <c r="C2" s="943"/>
      <c r="D2" s="943"/>
      <c r="E2" s="943"/>
      <c r="F2" s="943"/>
      <c r="G2" s="992"/>
    </row>
    <row r="3" spans="1:7" s="8" customFormat="1">
      <c r="A3" s="18"/>
      <c r="B3" s="904" t="s">
        <v>482</v>
      </c>
      <c r="C3" s="18"/>
      <c r="D3" s="18"/>
      <c r="E3" s="18"/>
      <c r="F3" s="18"/>
      <c r="G3" s="993"/>
    </row>
    <row r="4" spans="1:7" s="8" customFormat="1" ht="20.149999999999999" customHeight="1">
      <c r="A4" s="18"/>
      <c r="B4" s="966"/>
      <c r="C4" s="18"/>
      <c r="D4" s="18"/>
      <c r="E4" s="18"/>
      <c r="F4" s="18"/>
      <c r="G4" s="1026" t="s">
        <v>126</v>
      </c>
    </row>
    <row r="5" spans="1:7" s="14" customFormat="1" ht="30" customHeight="1">
      <c r="A5" s="4"/>
      <c r="B5" s="968" t="s">
        <v>0</v>
      </c>
      <c r="C5" s="785" t="s">
        <v>2</v>
      </c>
      <c r="D5" s="785" t="s">
        <v>3</v>
      </c>
      <c r="E5" s="785" t="s">
        <v>4</v>
      </c>
      <c r="F5" s="785" t="s">
        <v>5</v>
      </c>
      <c r="G5" s="1027" t="s">
        <v>6</v>
      </c>
    </row>
    <row r="6" spans="1:7" s="15" customFormat="1" ht="20.149999999999999" customHeight="1">
      <c r="A6" s="5"/>
      <c r="B6" s="1224"/>
      <c r="C6" s="696"/>
      <c r="D6" s="1028"/>
      <c r="E6" s="1028"/>
      <c r="F6" s="1028"/>
      <c r="G6" s="1029"/>
    </row>
    <row r="7" spans="1:7" s="14" customFormat="1">
      <c r="A7" s="4"/>
      <c r="B7" s="1225"/>
      <c r="C7" s="717"/>
      <c r="D7" s="716"/>
      <c r="E7" s="1208"/>
      <c r="F7" s="791"/>
      <c r="G7" s="973"/>
    </row>
    <row r="8" spans="1:7" s="14" customFormat="1">
      <c r="A8" s="4"/>
      <c r="B8" s="1003" t="s">
        <v>161</v>
      </c>
      <c r="C8" s="95" t="s">
        <v>127</v>
      </c>
      <c r="D8" s="64"/>
      <c r="E8" s="65"/>
      <c r="F8" s="66"/>
      <c r="G8" s="977"/>
    </row>
    <row r="9" spans="1:7" s="14" customFormat="1" ht="11.4" customHeight="1">
      <c r="A9" s="4"/>
      <c r="B9" s="1105"/>
      <c r="C9" s="60"/>
      <c r="D9" s="61"/>
      <c r="E9" s="61"/>
      <c r="F9" s="61"/>
      <c r="G9" s="975"/>
    </row>
    <row r="10" spans="1:7" s="14" customFormat="1" ht="23">
      <c r="A10" s="4"/>
      <c r="B10" s="1003" t="s">
        <v>530</v>
      </c>
      <c r="C10" s="63" t="s">
        <v>531</v>
      </c>
      <c r="D10" s="64" t="s">
        <v>8</v>
      </c>
      <c r="E10" s="65">
        <v>1</v>
      </c>
      <c r="F10" s="1252">
        <v>100000</v>
      </c>
      <c r="G10" s="1034">
        <f>E10*F10</f>
        <v>100000</v>
      </c>
    </row>
    <row r="11" spans="1:7" s="14" customFormat="1">
      <c r="A11" s="4"/>
      <c r="B11" s="1001"/>
      <c r="C11" s="63"/>
      <c r="D11" s="64"/>
      <c r="E11" s="1226"/>
      <c r="F11" s="66"/>
      <c r="G11" s="977"/>
    </row>
    <row r="12" spans="1:7" s="14" customFormat="1" ht="12.65" customHeight="1">
      <c r="A12" s="4"/>
      <c r="B12" s="1001"/>
      <c r="C12" s="63" t="s">
        <v>196</v>
      </c>
      <c r="D12" s="64" t="s">
        <v>9</v>
      </c>
      <c r="E12" s="66">
        <f>G10</f>
        <v>100000</v>
      </c>
      <c r="F12" s="108">
        <v>0.1</v>
      </c>
      <c r="G12" s="1034">
        <f>E12*F12</f>
        <v>10000</v>
      </c>
    </row>
    <row r="13" spans="1:7" s="14" customFormat="1">
      <c r="A13" s="4"/>
      <c r="B13" s="1001"/>
      <c r="C13" s="63" t="s">
        <v>197</v>
      </c>
      <c r="D13" s="64"/>
      <c r="E13" s="65"/>
      <c r="F13" s="66"/>
      <c r="G13" s="977" t="str">
        <f>IF(F13="","",ROUND(F13*E13,2))</f>
        <v/>
      </c>
    </row>
    <row r="14" spans="1:7" s="14" customFormat="1">
      <c r="A14" s="4"/>
      <c r="B14" s="1001"/>
      <c r="C14" s="63"/>
      <c r="D14" s="64"/>
      <c r="E14" s="65"/>
      <c r="F14" s="66"/>
      <c r="G14" s="977"/>
    </row>
    <row r="15" spans="1:7" s="14" customFormat="1">
      <c r="A15" s="4"/>
      <c r="B15" s="1001"/>
      <c r="C15" s="63"/>
      <c r="D15" s="64"/>
      <c r="E15" s="65"/>
      <c r="F15" s="66"/>
      <c r="G15" s="977"/>
    </row>
    <row r="16" spans="1:7" s="14" customFormat="1">
      <c r="A16" s="4"/>
      <c r="B16" s="1001"/>
      <c r="C16" s="63"/>
      <c r="D16" s="64"/>
      <c r="E16" s="65"/>
      <c r="F16" s="66"/>
      <c r="G16" s="977"/>
    </row>
    <row r="17" spans="1:7" s="14" customFormat="1">
      <c r="A17" s="4"/>
      <c r="B17" s="1001"/>
      <c r="C17" s="63"/>
      <c r="D17" s="64"/>
      <c r="E17" s="65"/>
      <c r="F17" s="66"/>
      <c r="G17" s="977"/>
    </row>
    <row r="18" spans="1:7" s="14" customFormat="1">
      <c r="A18" s="4"/>
      <c r="B18" s="999"/>
      <c r="C18" s="67"/>
      <c r="D18" s="68"/>
      <c r="E18" s="68"/>
      <c r="F18" s="68"/>
      <c r="G18" s="1180"/>
    </row>
    <row r="19" spans="1:7" s="14" customFormat="1">
      <c r="A19" s="4"/>
      <c r="B19" s="999"/>
      <c r="C19" s="67"/>
      <c r="D19" s="68"/>
      <c r="E19" s="68"/>
      <c r="F19" s="68"/>
      <c r="G19" s="1180"/>
    </row>
    <row r="20" spans="1:7" s="14" customFormat="1">
      <c r="A20" s="4"/>
      <c r="B20" s="999"/>
      <c r="C20" s="67"/>
      <c r="D20" s="68"/>
      <c r="E20" s="68"/>
      <c r="F20" s="68"/>
      <c r="G20" s="1180"/>
    </row>
    <row r="21" spans="1:7" s="14" customFormat="1">
      <c r="A21" s="4"/>
      <c r="B21" s="999"/>
      <c r="C21" s="67"/>
      <c r="D21" s="68"/>
      <c r="E21" s="68"/>
      <c r="F21" s="68"/>
      <c r="G21" s="1180"/>
    </row>
    <row r="22" spans="1:7" s="14" customFormat="1">
      <c r="A22" s="4"/>
      <c r="B22" s="999"/>
      <c r="C22" s="67"/>
      <c r="D22" s="68"/>
      <c r="E22" s="68"/>
      <c r="F22" s="68"/>
      <c r="G22" s="1180"/>
    </row>
    <row r="23" spans="1:7" s="14" customFormat="1">
      <c r="A23" s="4"/>
      <c r="B23" s="999"/>
      <c r="C23" s="67"/>
      <c r="D23" s="68"/>
      <c r="E23" s="68"/>
      <c r="F23" s="68"/>
      <c r="G23" s="1180"/>
    </row>
    <row r="24" spans="1:7" s="14" customFormat="1">
      <c r="A24" s="4"/>
      <c r="B24" s="999"/>
      <c r="C24" s="67"/>
      <c r="D24" s="68"/>
      <c r="E24" s="68"/>
      <c r="F24" s="68"/>
      <c r="G24" s="1180"/>
    </row>
    <row r="25" spans="1:7" s="14" customFormat="1">
      <c r="A25" s="4"/>
      <c r="B25" s="999"/>
      <c r="C25" s="67"/>
      <c r="D25" s="68"/>
      <c r="E25" s="68"/>
      <c r="F25" s="68"/>
      <c r="G25" s="1180"/>
    </row>
    <row r="26" spans="1:7" s="14" customFormat="1">
      <c r="A26" s="4"/>
      <c r="B26" s="999"/>
      <c r="C26" s="67"/>
      <c r="D26" s="68"/>
      <c r="E26" s="68"/>
      <c r="F26" s="68"/>
      <c r="G26" s="1180"/>
    </row>
    <row r="27" spans="1:7" s="14" customFormat="1">
      <c r="A27" s="4"/>
      <c r="B27" s="999"/>
      <c r="C27" s="67"/>
      <c r="D27" s="68"/>
      <c r="E27" s="68"/>
      <c r="F27" s="68"/>
      <c r="G27" s="1180"/>
    </row>
    <row r="28" spans="1:7" s="14" customFormat="1">
      <c r="A28" s="4"/>
      <c r="B28" s="999"/>
      <c r="C28" s="67"/>
      <c r="D28" s="68"/>
      <c r="E28" s="68"/>
      <c r="F28" s="68"/>
      <c r="G28" s="1180"/>
    </row>
    <row r="29" spans="1:7" s="14" customFormat="1">
      <c r="A29" s="4"/>
      <c r="B29" s="999"/>
      <c r="C29" s="67"/>
      <c r="D29" s="68"/>
      <c r="E29" s="68"/>
      <c r="F29" s="68"/>
      <c r="G29" s="1180"/>
    </row>
    <row r="30" spans="1:7" s="14" customFormat="1">
      <c r="A30" s="4"/>
      <c r="B30" s="999"/>
      <c r="C30" s="67"/>
      <c r="D30" s="68"/>
      <c r="E30" s="68"/>
      <c r="F30" s="68"/>
      <c r="G30" s="1180"/>
    </row>
    <row r="31" spans="1:7" s="14" customFormat="1">
      <c r="A31" s="4"/>
      <c r="B31" s="999"/>
      <c r="C31" s="67"/>
      <c r="D31" s="68"/>
      <c r="E31" s="68"/>
      <c r="F31" s="68"/>
      <c r="G31" s="1180"/>
    </row>
    <row r="32" spans="1:7" s="14" customFormat="1">
      <c r="A32" s="4"/>
      <c r="B32" s="999"/>
      <c r="C32" s="67"/>
      <c r="D32" s="68"/>
      <c r="E32" s="68"/>
      <c r="F32" s="68"/>
      <c r="G32" s="1180"/>
    </row>
    <row r="33" spans="1:7" s="14" customFormat="1">
      <c r="A33" s="4"/>
      <c r="B33" s="999"/>
      <c r="C33" s="67"/>
      <c r="D33" s="68"/>
      <c r="E33" s="68"/>
      <c r="F33" s="68"/>
      <c r="G33" s="1180"/>
    </row>
    <row r="34" spans="1:7" s="14" customFormat="1">
      <c r="A34" s="4"/>
      <c r="B34" s="999"/>
      <c r="C34" s="67"/>
      <c r="D34" s="68"/>
      <c r="E34" s="68"/>
      <c r="F34" s="68"/>
      <c r="G34" s="1180"/>
    </row>
    <row r="35" spans="1:7" s="14" customFormat="1">
      <c r="A35" s="4"/>
      <c r="B35" s="999"/>
      <c r="C35" s="67"/>
      <c r="D35" s="68"/>
      <c r="E35" s="68"/>
      <c r="F35" s="68"/>
      <c r="G35" s="1180"/>
    </row>
    <row r="36" spans="1:7" s="14" customFormat="1">
      <c r="A36" s="4"/>
      <c r="B36" s="999"/>
      <c r="C36" s="67"/>
      <c r="D36" s="68"/>
      <c r="E36" s="68"/>
      <c r="F36" s="68"/>
      <c r="G36" s="1180"/>
    </row>
    <row r="37" spans="1:7" s="14" customFormat="1">
      <c r="A37" s="4"/>
      <c r="B37" s="999"/>
      <c r="C37" s="67"/>
      <c r="D37" s="68"/>
      <c r="E37" s="68"/>
      <c r="F37" s="68"/>
      <c r="G37" s="1180"/>
    </row>
    <row r="38" spans="1:7" s="14" customFormat="1">
      <c r="A38" s="4"/>
      <c r="B38" s="999"/>
      <c r="C38" s="67"/>
      <c r="D38" s="68"/>
      <c r="E38" s="68"/>
      <c r="F38" s="68"/>
      <c r="G38" s="1180"/>
    </row>
    <row r="39" spans="1:7" s="14" customFormat="1">
      <c r="A39" s="4"/>
      <c r="B39" s="999"/>
      <c r="C39" s="67"/>
      <c r="D39" s="68"/>
      <c r="E39" s="68"/>
      <c r="F39" s="68"/>
      <c r="G39" s="1180"/>
    </row>
    <row r="40" spans="1:7" s="14" customFormat="1">
      <c r="A40" s="4"/>
      <c r="B40" s="999"/>
      <c r="C40" s="67"/>
      <c r="D40" s="68"/>
      <c r="E40" s="68"/>
      <c r="F40" s="68"/>
      <c r="G40" s="1180"/>
    </row>
    <row r="41" spans="1:7" s="14" customFormat="1">
      <c r="A41" s="4"/>
      <c r="B41" s="999"/>
      <c r="C41" s="67"/>
      <c r="D41" s="68"/>
      <c r="E41" s="68"/>
      <c r="F41" s="68"/>
      <c r="G41" s="1180"/>
    </row>
    <row r="42" spans="1:7" s="14" customFormat="1">
      <c r="A42" s="4"/>
      <c r="B42" s="999"/>
      <c r="C42" s="67"/>
      <c r="D42" s="68"/>
      <c r="E42" s="68"/>
      <c r="F42" s="68"/>
      <c r="G42" s="1180"/>
    </row>
    <row r="43" spans="1:7" s="14" customFormat="1">
      <c r="A43" s="4"/>
      <c r="B43" s="999"/>
      <c r="C43" s="67"/>
      <c r="D43" s="68"/>
      <c r="E43" s="68"/>
      <c r="F43" s="68"/>
      <c r="G43" s="1180"/>
    </row>
    <row r="44" spans="1:7" s="14" customFormat="1">
      <c r="A44" s="4"/>
      <c r="B44" s="999"/>
      <c r="C44" s="67"/>
      <c r="D44" s="68"/>
      <c r="E44" s="68"/>
      <c r="F44" s="68"/>
      <c r="G44" s="1180"/>
    </row>
    <row r="45" spans="1:7" s="14" customFormat="1">
      <c r="A45" s="4"/>
      <c r="B45" s="999"/>
      <c r="C45" s="67"/>
      <c r="D45" s="68"/>
      <c r="E45" s="68"/>
      <c r="F45" s="68"/>
      <c r="G45" s="1180"/>
    </row>
    <row r="46" spans="1:7" s="14" customFormat="1">
      <c r="A46" s="4"/>
      <c r="B46" s="999"/>
      <c r="C46" s="67"/>
      <c r="D46" s="68"/>
      <c r="E46" s="68"/>
      <c r="F46" s="68"/>
      <c r="G46" s="1180"/>
    </row>
    <row r="47" spans="1:7" s="14" customFormat="1">
      <c r="A47" s="4"/>
      <c r="B47" s="999"/>
      <c r="C47" s="67"/>
      <c r="D47" s="68"/>
      <c r="E47" s="68"/>
      <c r="F47" s="68"/>
      <c r="G47" s="1180"/>
    </row>
    <row r="48" spans="1:7" s="14" customFormat="1">
      <c r="A48" s="4"/>
      <c r="B48" s="999"/>
      <c r="C48" s="67"/>
      <c r="D48" s="68"/>
      <c r="E48" s="68"/>
      <c r="F48" s="68"/>
      <c r="G48" s="1180"/>
    </row>
    <row r="49" spans="1:7" s="14" customFormat="1">
      <c r="A49" s="4"/>
      <c r="B49" s="999"/>
      <c r="C49" s="67"/>
      <c r="D49" s="68"/>
      <c r="E49" s="68"/>
      <c r="F49" s="68"/>
      <c r="G49" s="1180"/>
    </row>
    <row r="50" spans="1:7" s="14" customFormat="1">
      <c r="A50" s="4"/>
      <c r="B50" s="999"/>
      <c r="C50" s="67"/>
      <c r="D50" s="68"/>
      <c r="E50" s="68"/>
      <c r="F50" s="68"/>
      <c r="G50" s="1180"/>
    </row>
    <row r="51" spans="1:7" s="14" customFormat="1">
      <c r="A51" s="4"/>
      <c r="B51" s="999"/>
      <c r="C51" s="67"/>
      <c r="D51" s="68"/>
      <c r="E51" s="68"/>
      <c r="F51" s="68"/>
      <c r="G51" s="1180"/>
    </row>
    <row r="52" spans="1:7" s="14" customFormat="1">
      <c r="A52" s="4"/>
      <c r="B52" s="999"/>
      <c r="C52" s="67"/>
      <c r="D52" s="68"/>
      <c r="E52" s="68"/>
      <c r="F52" s="68"/>
      <c r="G52" s="1180"/>
    </row>
    <row r="53" spans="1:7" s="14" customFormat="1">
      <c r="A53" s="4"/>
      <c r="B53" s="999"/>
      <c r="C53" s="67"/>
      <c r="D53" s="68"/>
      <c r="E53" s="68"/>
      <c r="F53" s="68"/>
      <c r="G53" s="1180"/>
    </row>
    <row r="54" spans="1:7" s="14" customFormat="1">
      <c r="A54" s="4"/>
      <c r="B54" s="999"/>
      <c r="C54" s="67"/>
      <c r="D54" s="68"/>
      <c r="E54" s="68"/>
      <c r="F54" s="68"/>
      <c r="G54" s="1180"/>
    </row>
    <row r="55" spans="1:7" s="14" customFormat="1">
      <c r="A55" s="4"/>
      <c r="B55" s="999"/>
      <c r="C55" s="67"/>
      <c r="D55" s="68"/>
      <c r="E55" s="68"/>
      <c r="F55" s="68"/>
      <c r="G55" s="1180"/>
    </row>
    <row r="56" spans="1:7" s="14" customFormat="1">
      <c r="A56" s="4"/>
      <c r="B56" s="999"/>
      <c r="C56" s="67"/>
      <c r="D56" s="68"/>
      <c r="E56" s="68"/>
      <c r="F56" s="68"/>
      <c r="G56" s="1180"/>
    </row>
    <row r="57" spans="1:7" s="14" customFormat="1">
      <c r="A57" s="4"/>
      <c r="B57" s="999"/>
      <c r="C57" s="67"/>
      <c r="D57" s="68"/>
      <c r="E57" s="68"/>
      <c r="F57" s="68"/>
      <c r="G57" s="1180"/>
    </row>
    <row r="58" spans="1:7" s="14" customFormat="1">
      <c r="A58" s="4"/>
      <c r="B58" s="999"/>
      <c r="C58" s="67"/>
      <c r="D58" s="68"/>
      <c r="E58" s="68"/>
      <c r="F58" s="68"/>
      <c r="G58" s="1180"/>
    </row>
    <row r="59" spans="1:7" s="14" customFormat="1">
      <c r="A59" s="4"/>
      <c r="B59" s="999"/>
      <c r="C59" s="67"/>
      <c r="D59" s="68"/>
      <c r="E59" s="68"/>
      <c r="F59" s="68"/>
      <c r="G59" s="1180"/>
    </row>
    <row r="60" spans="1:7" s="14" customFormat="1">
      <c r="A60" s="4"/>
      <c r="B60" s="999"/>
      <c r="C60" s="67"/>
      <c r="D60" s="68"/>
      <c r="E60" s="68"/>
      <c r="F60" s="68"/>
      <c r="G60" s="1180"/>
    </row>
    <row r="61" spans="1:7" s="14" customFormat="1">
      <c r="A61" s="4"/>
      <c r="B61" s="999"/>
      <c r="C61" s="67"/>
      <c r="D61" s="68"/>
      <c r="E61" s="68"/>
      <c r="F61" s="68"/>
      <c r="G61" s="1180"/>
    </row>
    <row r="62" spans="1:7" s="14" customFormat="1">
      <c r="A62" s="4"/>
      <c r="B62" s="999"/>
      <c r="C62" s="67"/>
      <c r="D62" s="68"/>
      <c r="E62" s="68"/>
      <c r="F62" s="68"/>
      <c r="G62" s="1180"/>
    </row>
    <row r="63" spans="1:7" s="14" customFormat="1">
      <c r="A63" s="4"/>
      <c r="B63" s="999"/>
      <c r="C63" s="67"/>
      <c r="D63" s="68"/>
      <c r="E63" s="68"/>
      <c r="F63" s="68"/>
      <c r="G63" s="1180"/>
    </row>
    <row r="64" spans="1:7" s="14" customFormat="1">
      <c r="A64" s="4"/>
      <c r="B64" s="999"/>
      <c r="C64" s="67"/>
      <c r="D64" s="68"/>
      <c r="E64" s="68"/>
      <c r="F64" s="68"/>
      <c r="G64" s="1180"/>
    </row>
    <row r="65" spans="1:7" s="14" customFormat="1">
      <c r="A65" s="4"/>
      <c r="B65" s="999"/>
      <c r="C65" s="67"/>
      <c r="D65" s="68"/>
      <c r="E65" s="68"/>
      <c r="F65" s="68"/>
      <c r="G65" s="1180"/>
    </row>
    <row r="66" spans="1:7" s="14" customFormat="1">
      <c r="A66" s="4"/>
      <c r="B66" s="999"/>
      <c r="C66" s="67"/>
      <c r="D66" s="68"/>
      <c r="E66" s="68"/>
      <c r="F66" s="68"/>
      <c r="G66" s="1180"/>
    </row>
    <row r="67" spans="1:7" s="14" customFormat="1">
      <c r="A67" s="4"/>
      <c r="B67" s="999"/>
      <c r="C67" s="67"/>
      <c r="D67" s="68"/>
      <c r="E67" s="68"/>
      <c r="F67" s="68"/>
      <c r="G67" s="1180"/>
    </row>
    <row r="68" spans="1:7" s="14" customFormat="1">
      <c r="A68" s="4"/>
      <c r="B68" s="999"/>
      <c r="C68" s="67"/>
      <c r="D68" s="68"/>
      <c r="E68" s="68"/>
      <c r="F68" s="68"/>
      <c r="G68" s="1180"/>
    </row>
    <row r="69" spans="1:7" s="16" customFormat="1" ht="20.149999999999999" customHeight="1" thickBot="1">
      <c r="A69" s="21"/>
      <c r="B69" s="980" t="s">
        <v>145</v>
      </c>
      <c r="C69" s="1005"/>
      <c r="D69" s="1006"/>
      <c r="E69" s="1006"/>
      <c r="F69" s="1006"/>
      <c r="G69" s="1263">
        <f>SUM(G7:G68)</f>
        <v>110000</v>
      </c>
    </row>
  </sheetData>
  <pageMargins left="0.5905524831078367" right="0.27559115878365709" top="0.3937016554052245" bottom="0.3937016554052245" header="0.3" footer="0.3"/>
  <pageSetup paperSize="9" scale="94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">
    <pageSetUpPr fitToPage="1"/>
  </sheetPr>
  <dimension ref="A1:P42"/>
  <sheetViews>
    <sheetView view="pageBreakPreview" topLeftCell="C8" zoomScale="108" zoomScaleNormal="108" zoomScaleSheetLayoutView="108" workbookViewId="0">
      <selection activeCell="K14" sqref="K14"/>
    </sheetView>
  </sheetViews>
  <sheetFormatPr defaultColWidth="8.90625" defaultRowHeight="14.5"/>
  <cols>
    <col min="1" max="1" width="1.6328125" style="20" customWidth="1"/>
    <col min="2" max="2" width="7.90625" style="20" customWidth="1"/>
    <col min="3" max="3" width="40.6328125" style="20" customWidth="1"/>
    <col min="4" max="4" width="6.36328125" style="20" customWidth="1"/>
    <col min="5" max="5" width="9.6328125" style="20" customWidth="1"/>
    <col min="6" max="6" width="16.08984375" style="20" customWidth="1"/>
    <col min="7" max="7" width="25.54296875" style="20" customWidth="1"/>
    <col min="8" max="9" width="19.36328125" style="22" hidden="1" customWidth="1"/>
    <col min="10" max="10" width="10" style="1" bestFit="1" customWidth="1"/>
    <col min="11" max="11" width="19.08984375" style="1" customWidth="1"/>
    <col min="12" max="12" width="22" style="1" customWidth="1"/>
    <col min="13" max="13" width="16.6328125" style="1" customWidth="1"/>
    <col min="14" max="14" width="17.54296875" style="1" customWidth="1"/>
    <col min="15" max="15" width="15.54296875" style="1" customWidth="1"/>
    <col min="16" max="16" width="14.453125" style="1" customWidth="1"/>
    <col min="17" max="16384" width="8.90625" style="1"/>
  </cols>
  <sheetData>
    <row r="1" spans="1:16" s="2" customFormat="1" ht="13">
      <c r="A1" s="18"/>
      <c r="B1" s="26"/>
      <c r="C1" s="18"/>
      <c r="D1" s="18"/>
      <c r="E1" s="18"/>
      <c r="F1" s="18"/>
      <c r="G1" s="18"/>
      <c r="H1" s="17"/>
      <c r="I1" s="17"/>
    </row>
    <row r="2" spans="1:16" s="3" customFormat="1" ht="13" thickBot="1">
      <c r="A2" s="18"/>
      <c r="B2" s="1674" t="s">
        <v>480</v>
      </c>
      <c r="C2" s="1674"/>
      <c r="D2" s="1674"/>
      <c r="E2" s="1674"/>
      <c r="F2" s="1674"/>
      <c r="G2" s="1674"/>
      <c r="H2" s="17"/>
      <c r="I2" s="17"/>
    </row>
    <row r="3" spans="1:16" s="4" customFormat="1" ht="30" customHeight="1">
      <c r="B3" s="27" t="s">
        <v>0</v>
      </c>
      <c r="C3" s="27" t="s">
        <v>2</v>
      </c>
      <c r="D3" s="28"/>
      <c r="E3" s="28"/>
      <c r="F3" s="29"/>
      <c r="G3" s="30" t="s">
        <v>147</v>
      </c>
      <c r="H3" s="156" t="s">
        <v>215</v>
      </c>
      <c r="I3" s="156" t="s">
        <v>218</v>
      </c>
    </row>
    <row r="4" spans="1:16" s="4" customFormat="1" ht="15" customHeight="1">
      <c r="B4" s="31"/>
      <c r="C4" s="31"/>
      <c r="D4" s="28"/>
      <c r="E4" s="32"/>
      <c r="F4" s="33"/>
      <c r="G4" s="34"/>
      <c r="H4" s="155"/>
      <c r="I4" s="155"/>
      <c r="L4" s="1228"/>
    </row>
    <row r="5" spans="1:16" s="4" customFormat="1" ht="20" customHeight="1">
      <c r="B5" s="35" t="s">
        <v>148</v>
      </c>
      <c r="C5" s="1677" t="s">
        <v>143</v>
      </c>
      <c r="D5" s="1678"/>
      <c r="E5" s="1678"/>
      <c r="F5" s="36"/>
      <c r="G5" s="1299">
        <v>0</v>
      </c>
      <c r="H5" s="127" t="e">
        <f>'[15]SECTION 1200'!#REF!</f>
        <v>#REF!</v>
      </c>
      <c r="I5" s="127" t="e">
        <f>G5-H5</f>
        <v>#REF!</v>
      </c>
      <c r="K5" s="733"/>
      <c r="L5" s="1231"/>
      <c r="M5" s="735"/>
      <c r="P5" s="736"/>
    </row>
    <row r="6" spans="1:16" s="4" customFormat="1" ht="25.25" customHeight="1">
      <c r="B6" s="37" t="s">
        <v>681</v>
      </c>
      <c r="C6" s="1675" t="s">
        <v>685</v>
      </c>
      <c r="D6" s="1676"/>
      <c r="E6" s="1676"/>
      <c r="F6" s="38"/>
      <c r="G6" s="1300">
        <v>0</v>
      </c>
      <c r="H6" s="121"/>
      <c r="I6" s="121"/>
      <c r="K6" s="733"/>
      <c r="L6" s="734"/>
      <c r="M6" s="735"/>
      <c r="P6" s="736"/>
    </row>
    <row r="7" spans="1:16" s="4" customFormat="1" ht="25.25" customHeight="1">
      <c r="B7" s="37" t="s">
        <v>682</v>
      </c>
      <c r="C7" s="1675" t="s">
        <v>705</v>
      </c>
      <c r="D7" s="1676"/>
      <c r="E7" s="1676"/>
      <c r="F7" s="38"/>
      <c r="G7" s="1300">
        <v>0</v>
      </c>
      <c r="H7" s="121"/>
      <c r="I7" s="121"/>
      <c r="K7" s="733"/>
      <c r="L7" s="734"/>
      <c r="M7" s="735"/>
      <c r="P7" s="736"/>
    </row>
    <row r="8" spans="1:16" s="4" customFormat="1" ht="20" customHeight="1">
      <c r="B8" s="37" t="s">
        <v>149</v>
      </c>
      <c r="C8" s="1675" t="s">
        <v>13</v>
      </c>
      <c r="D8" s="1676"/>
      <c r="E8" s="1676"/>
      <c r="F8" s="38"/>
      <c r="G8" s="1300">
        <v>0</v>
      </c>
      <c r="H8" s="119" t="e">
        <f>'SECTION 1500 '!#REF!</f>
        <v>#REF!</v>
      </c>
      <c r="I8" s="119" t="e">
        <f>G8-H8</f>
        <v>#REF!</v>
      </c>
      <c r="K8" s="1234"/>
      <c r="L8" s="734"/>
      <c r="M8" s="735"/>
      <c r="P8" s="736"/>
    </row>
    <row r="9" spans="1:16" s="4" customFormat="1" ht="20" customHeight="1">
      <c r="B9" s="37" t="s">
        <v>150</v>
      </c>
      <c r="C9" s="1675" t="s">
        <v>41</v>
      </c>
      <c r="D9" s="1676"/>
      <c r="E9" s="1676"/>
      <c r="F9" s="38"/>
      <c r="G9" s="1300">
        <v>0</v>
      </c>
      <c r="H9" s="119">
        <f>'SECTION 1700  '!J41</f>
        <v>0</v>
      </c>
      <c r="I9" s="119">
        <f>G9-H9</f>
        <v>0</v>
      </c>
      <c r="K9" s="1230"/>
      <c r="L9" s="734"/>
      <c r="M9" s="735"/>
      <c r="P9" s="736"/>
    </row>
    <row r="10" spans="1:16" s="4" customFormat="1" ht="20" customHeight="1">
      <c r="B10" s="37" t="s">
        <v>165</v>
      </c>
      <c r="C10" s="1676" t="s">
        <v>144</v>
      </c>
      <c r="D10" s="1676"/>
      <c r="E10" s="1676"/>
      <c r="F10" s="39"/>
      <c r="G10" s="1300">
        <v>0</v>
      </c>
      <c r="H10" s="119">
        <f>'SECTION 1800'!I59</f>
        <v>43600</v>
      </c>
      <c r="I10" s="119">
        <f>G10-H10</f>
        <v>-43600</v>
      </c>
      <c r="K10" s="1230"/>
      <c r="L10" s="734"/>
      <c r="M10" s="735"/>
      <c r="P10" s="736"/>
    </row>
    <row r="11" spans="1:16" s="4" customFormat="1" ht="20" customHeight="1">
      <c r="B11" s="37" t="s">
        <v>151</v>
      </c>
      <c r="C11" s="1675" t="s">
        <v>50</v>
      </c>
      <c r="D11" s="1676"/>
      <c r="E11" s="1676"/>
      <c r="F11" s="38"/>
      <c r="G11" s="1301">
        <v>0</v>
      </c>
      <c r="H11" s="121"/>
      <c r="I11" s="121"/>
      <c r="K11" s="1230"/>
      <c r="L11" s="734"/>
      <c r="M11" s="735"/>
      <c r="P11" s="736"/>
    </row>
    <row r="12" spans="1:16" s="4" customFormat="1" ht="20" customHeight="1">
      <c r="B12" s="37" t="s">
        <v>152</v>
      </c>
      <c r="C12" s="1675" t="s">
        <v>59</v>
      </c>
      <c r="D12" s="1676"/>
      <c r="E12" s="1676"/>
      <c r="F12" s="38"/>
      <c r="G12" s="1301">
        <v>0</v>
      </c>
      <c r="H12" s="121"/>
      <c r="I12" s="121"/>
      <c r="K12" s="1230"/>
      <c r="L12" s="1229"/>
      <c r="M12" s="735"/>
      <c r="P12" s="736"/>
    </row>
    <row r="13" spans="1:16" s="4" customFormat="1" ht="30" customHeight="1">
      <c r="B13" s="37" t="s">
        <v>153</v>
      </c>
      <c r="C13" s="1675" t="s">
        <v>73</v>
      </c>
      <c r="D13" s="1676"/>
      <c r="E13" s="1676"/>
      <c r="F13" s="38"/>
      <c r="G13" s="1301">
        <v>0</v>
      </c>
      <c r="H13" s="121"/>
      <c r="I13" s="121"/>
      <c r="K13" s="1230"/>
      <c r="L13" s="734"/>
      <c r="M13" s="735"/>
      <c r="P13" s="736"/>
    </row>
    <row r="14" spans="1:16" s="4" customFormat="1" ht="30" customHeight="1">
      <c r="B14" s="37" t="s">
        <v>503</v>
      </c>
      <c r="C14" s="615" t="s">
        <v>504</v>
      </c>
      <c r="D14" s="616"/>
      <c r="E14" s="616"/>
      <c r="F14" s="1227"/>
      <c r="G14" s="1301">
        <v>0</v>
      </c>
      <c r="H14" s="121"/>
      <c r="I14" s="121"/>
      <c r="K14" s="1230"/>
      <c r="L14" s="1229"/>
      <c r="M14" s="735"/>
      <c r="P14" s="736"/>
    </row>
    <row r="15" spans="1:16" s="4" customFormat="1" ht="20" customHeight="1">
      <c r="B15" s="37" t="s">
        <v>154</v>
      </c>
      <c r="C15" s="1675" t="s">
        <v>75</v>
      </c>
      <c r="D15" s="1676"/>
      <c r="E15" s="1676"/>
      <c r="F15" s="38"/>
      <c r="G15" s="1300">
        <v>0</v>
      </c>
      <c r="H15" s="119">
        <f>'SECTION 3300   '!I75</f>
        <v>0</v>
      </c>
      <c r="I15" s="119">
        <f t="shared" ref="I15:I26" si="0">G15-H15</f>
        <v>0</v>
      </c>
      <c r="K15" s="1230"/>
      <c r="L15" s="609"/>
      <c r="O15" s="737"/>
      <c r="P15" s="736"/>
    </row>
    <row r="16" spans="1:16" s="4" customFormat="1" ht="20" customHeight="1">
      <c r="B16" s="37" t="s">
        <v>155</v>
      </c>
      <c r="C16" s="1675" t="s">
        <v>94</v>
      </c>
      <c r="D16" s="1676"/>
      <c r="E16" s="1676"/>
      <c r="F16" s="38"/>
      <c r="G16" s="1300">
        <v>0</v>
      </c>
      <c r="H16" s="119">
        <f>'SECTION 3400    '!I39</f>
        <v>0</v>
      </c>
      <c r="I16" s="119">
        <f t="shared" si="0"/>
        <v>0</v>
      </c>
      <c r="K16" s="1230"/>
      <c r="L16" s="734"/>
      <c r="M16" s="735"/>
      <c r="P16" s="738"/>
    </row>
    <row r="17" spans="2:16" s="4" customFormat="1" ht="20" customHeight="1">
      <c r="B17" s="37" t="s">
        <v>156</v>
      </c>
      <c r="C17" s="1675" t="s">
        <v>96</v>
      </c>
      <c r="D17" s="1676"/>
      <c r="E17" s="1676"/>
      <c r="F17" s="38"/>
      <c r="G17" s="1301">
        <v>0</v>
      </c>
      <c r="H17" s="121">
        <f>'SECTION 3500 '!I42</f>
        <v>0</v>
      </c>
      <c r="I17" s="121">
        <f t="shared" si="0"/>
        <v>0</v>
      </c>
      <c r="K17" s="1230"/>
      <c r="L17" s="734"/>
      <c r="M17" s="735"/>
      <c r="P17" s="738"/>
    </row>
    <row r="18" spans="2:16" s="4" customFormat="1" ht="20" customHeight="1">
      <c r="B18" s="37" t="s">
        <v>780</v>
      </c>
      <c r="C18" s="615" t="s">
        <v>655</v>
      </c>
      <c r="D18" s="616"/>
      <c r="E18" s="616"/>
      <c r="F18" s="1227"/>
      <c r="G18" s="1301">
        <v>0</v>
      </c>
      <c r="H18" s="121"/>
      <c r="I18" s="121"/>
      <c r="K18" s="1230"/>
      <c r="L18" s="734"/>
      <c r="M18" s="735"/>
      <c r="P18" s="738"/>
    </row>
    <row r="19" spans="2:16" s="4" customFormat="1" ht="20" customHeight="1">
      <c r="B19" s="37" t="s">
        <v>781</v>
      </c>
      <c r="C19" s="615" t="s">
        <v>666</v>
      </c>
      <c r="D19" s="616"/>
      <c r="E19" s="616"/>
      <c r="F19" s="1227"/>
      <c r="G19" s="1301">
        <v>0</v>
      </c>
      <c r="H19" s="121"/>
      <c r="I19" s="121"/>
      <c r="K19" s="1230"/>
      <c r="L19" s="734"/>
      <c r="M19" s="735"/>
      <c r="P19" s="738"/>
    </row>
    <row r="20" spans="2:16" s="4" customFormat="1" ht="20" customHeight="1">
      <c r="B20" s="37" t="s">
        <v>157</v>
      </c>
      <c r="C20" s="1675" t="s">
        <v>104</v>
      </c>
      <c r="D20" s="1676"/>
      <c r="E20" s="1676"/>
      <c r="F20" s="39"/>
      <c r="G20" s="1301">
        <v>0</v>
      </c>
      <c r="H20" s="121" t="e">
        <f>'SECTION 5100 (LIC)    '!I28</f>
        <v>#REF!</v>
      </c>
      <c r="I20" s="119" t="e">
        <f t="shared" si="0"/>
        <v>#REF!</v>
      </c>
      <c r="J20" s="1230"/>
      <c r="K20" s="1230"/>
      <c r="L20" s="739"/>
      <c r="M20" s="740"/>
      <c r="N20" s="741"/>
      <c r="P20" s="738"/>
    </row>
    <row r="21" spans="2:16" s="4" customFormat="1" ht="20" customHeight="1">
      <c r="B21" s="37" t="s">
        <v>579</v>
      </c>
      <c r="C21" s="615" t="s">
        <v>580</v>
      </c>
      <c r="D21" s="616"/>
      <c r="E21" s="616"/>
      <c r="F21" s="39"/>
      <c r="G21" s="1301">
        <v>0</v>
      </c>
      <c r="H21" s="121"/>
      <c r="I21" s="119"/>
      <c r="K21" s="1230"/>
      <c r="L21" s="739"/>
      <c r="M21" s="740"/>
      <c r="N21" s="741"/>
      <c r="P21" s="738"/>
    </row>
    <row r="22" spans="2:16" s="4" customFormat="1" ht="20" customHeight="1">
      <c r="B22" s="37" t="s">
        <v>158</v>
      </c>
      <c r="C22" s="1675" t="s">
        <v>108</v>
      </c>
      <c r="D22" s="1676"/>
      <c r="E22" s="1676"/>
      <c r="F22" s="39"/>
      <c r="G22" s="1301">
        <v>0</v>
      </c>
      <c r="H22" s="121">
        <f>'SECTION 5600 (LIC)    '!I51</f>
        <v>0</v>
      </c>
      <c r="I22" s="119">
        <f t="shared" si="0"/>
        <v>0</v>
      </c>
      <c r="K22" s="1230"/>
      <c r="L22" s="739"/>
      <c r="M22" s="740"/>
      <c r="N22" s="741"/>
      <c r="P22" s="738"/>
    </row>
    <row r="23" spans="2:16" s="4" customFormat="1" ht="20" customHeight="1">
      <c r="B23" s="37" t="s">
        <v>159</v>
      </c>
      <c r="C23" s="1675" t="s">
        <v>116</v>
      </c>
      <c r="D23" s="1676"/>
      <c r="E23" s="1676"/>
      <c r="F23" s="39"/>
      <c r="G23" s="1300">
        <v>0</v>
      </c>
      <c r="H23" s="119">
        <f>'SECTION 5700     '!I65</f>
        <v>0</v>
      </c>
      <c r="I23" s="119">
        <f t="shared" si="0"/>
        <v>0</v>
      </c>
      <c r="K23" s="1230"/>
      <c r="L23" s="609"/>
      <c r="M23" s="740"/>
      <c r="P23" s="738"/>
    </row>
    <row r="24" spans="2:16" s="4" customFormat="1" ht="24.75" customHeight="1">
      <c r="B24" s="37" t="s">
        <v>536</v>
      </c>
      <c r="C24" s="1679" t="s">
        <v>778</v>
      </c>
      <c r="D24" s="1680"/>
      <c r="E24" s="1680"/>
      <c r="F24" s="39"/>
      <c r="G24" s="1300">
        <v>0</v>
      </c>
      <c r="H24" s="119"/>
      <c r="I24" s="119"/>
      <c r="K24" s="1230"/>
      <c r="L24" s="609"/>
      <c r="M24" s="740"/>
      <c r="P24" s="738"/>
    </row>
    <row r="25" spans="2:16" s="4" customFormat="1" ht="20" customHeight="1">
      <c r="B25" s="37" t="s">
        <v>160</v>
      </c>
      <c r="C25" s="1675" t="s">
        <v>122</v>
      </c>
      <c r="D25" s="1676"/>
      <c r="E25" s="1676"/>
      <c r="F25" s="39"/>
      <c r="G25" s="1301">
        <v>0</v>
      </c>
      <c r="H25" s="121">
        <f>'SECTION 7300 (LIC)       '!I60</f>
        <v>50000</v>
      </c>
      <c r="I25" s="119">
        <f t="shared" si="0"/>
        <v>-50000</v>
      </c>
      <c r="K25" s="1230"/>
      <c r="O25" s="742"/>
    </row>
    <row r="26" spans="2:16" s="4" customFormat="1" ht="20" customHeight="1">
      <c r="B26" s="37" t="s">
        <v>161</v>
      </c>
      <c r="C26" s="1675" t="s">
        <v>127</v>
      </c>
      <c r="D26" s="1676"/>
      <c r="E26" s="1676"/>
      <c r="F26" s="39"/>
      <c r="G26" s="1301">
        <v>0</v>
      </c>
      <c r="H26" s="121" t="e">
        <f>'SECTION 8100     '!#REF!</f>
        <v>#REF!</v>
      </c>
      <c r="I26" s="121" t="e">
        <f t="shared" si="0"/>
        <v>#REF!</v>
      </c>
      <c r="K26" s="1230"/>
      <c r="L26" s="743"/>
    </row>
    <row r="27" spans="2:16" s="4" customFormat="1" ht="20" customHeight="1">
      <c r="B27" s="617"/>
      <c r="C27" s="615"/>
      <c r="D27" s="616"/>
      <c r="E27" s="616"/>
      <c r="F27" s="631"/>
      <c r="G27" s="613"/>
      <c r="H27" s="135"/>
      <c r="I27" s="135"/>
      <c r="K27" s="733"/>
      <c r="L27" s="743"/>
    </row>
    <row r="28" spans="2:16" s="4" customFormat="1" ht="20" customHeight="1">
      <c r="B28" s="617"/>
      <c r="C28" s="615"/>
      <c r="D28" s="616"/>
      <c r="E28" s="616"/>
      <c r="F28" s="631"/>
      <c r="G28" s="613"/>
      <c r="H28" s="135"/>
      <c r="I28" s="135"/>
      <c r="L28" s="610"/>
    </row>
    <row r="29" spans="2:16" s="4" customFormat="1" ht="20" customHeight="1">
      <c r="B29" s="617"/>
      <c r="C29" s="615"/>
      <c r="D29" s="616"/>
      <c r="E29" s="616"/>
      <c r="F29" s="631"/>
      <c r="G29" s="613"/>
      <c r="H29" s="135"/>
      <c r="I29" s="135"/>
      <c r="L29" s="610"/>
    </row>
    <row r="30" spans="2:16" s="4" customFormat="1" ht="20" customHeight="1">
      <c r="B30" s="617"/>
      <c r="C30" s="615"/>
      <c r="D30" s="616"/>
      <c r="E30" s="616"/>
      <c r="F30" s="631"/>
      <c r="G30" s="613"/>
      <c r="H30" s="135"/>
      <c r="I30" s="135"/>
      <c r="L30" s="610"/>
    </row>
    <row r="31" spans="2:16" s="4" customFormat="1" ht="20" customHeight="1">
      <c r="B31" s="617"/>
      <c r="C31" s="615"/>
      <c r="D31" s="616"/>
      <c r="E31" s="616"/>
      <c r="F31" s="631"/>
      <c r="G31" s="613"/>
      <c r="H31" s="135"/>
      <c r="I31" s="135"/>
      <c r="L31" s="610"/>
    </row>
    <row r="32" spans="2:16" s="4" customFormat="1" ht="20" customHeight="1">
      <c r="B32" s="617"/>
      <c r="C32" s="615"/>
      <c r="D32" s="616"/>
      <c r="E32" s="1247"/>
      <c r="F32" s="631"/>
      <c r="G32" s="613"/>
      <c r="H32" s="135"/>
      <c r="I32" s="135"/>
      <c r="L32" s="610"/>
    </row>
    <row r="33" spans="1:12" s="4" customFormat="1" ht="20" customHeight="1">
      <c r="B33" s="617"/>
      <c r="C33" s="615"/>
      <c r="D33" s="616"/>
      <c r="E33" s="616"/>
      <c r="F33" s="631"/>
      <c r="G33" s="613"/>
      <c r="H33" s="135"/>
      <c r="I33" s="135"/>
      <c r="L33" s="610"/>
    </row>
    <row r="34" spans="1:12" s="4" customFormat="1" ht="20" customHeight="1">
      <c r="B34" s="617"/>
      <c r="C34" s="615"/>
      <c r="D34" s="616"/>
      <c r="E34" s="616"/>
      <c r="F34" s="631"/>
      <c r="G34" s="613"/>
      <c r="H34" s="135"/>
      <c r="I34" s="135"/>
      <c r="L34" s="610"/>
    </row>
    <row r="35" spans="1:12" s="4" customFormat="1" ht="20" customHeight="1">
      <c r="B35" s="617"/>
      <c r="C35" s="615"/>
      <c r="D35" s="616"/>
      <c r="E35" s="616"/>
      <c r="F35" s="631"/>
      <c r="G35" s="613"/>
      <c r="H35" s="135"/>
      <c r="I35" s="135"/>
      <c r="L35" s="610"/>
    </row>
    <row r="36" spans="1:12" s="4" customFormat="1" ht="20" customHeight="1" thickBot="1">
      <c r="B36" s="617"/>
      <c r="C36" s="615"/>
      <c r="D36" s="616"/>
      <c r="E36" s="616"/>
      <c r="F36" s="632"/>
      <c r="G36" s="633"/>
      <c r="H36" s="135"/>
      <c r="I36" s="135"/>
      <c r="L36" s="610"/>
    </row>
    <row r="37" spans="1:12" s="5" customFormat="1" ht="20.399999999999999" customHeight="1" thickTop="1">
      <c r="B37" s="40"/>
      <c r="C37" s="41" t="s">
        <v>166</v>
      </c>
      <c r="D37" s="42"/>
      <c r="E37" s="42"/>
      <c r="F37" s="42"/>
      <c r="G37" s="1302">
        <f>SUM(G5:G27)</f>
        <v>0</v>
      </c>
      <c r="H37" s="151" t="e">
        <f>SUM(H5:H26)</f>
        <v>#REF!</v>
      </c>
      <c r="I37" s="151" t="e">
        <f>SUM(I5:I26)</f>
        <v>#REF!</v>
      </c>
      <c r="K37" s="1232"/>
    </row>
    <row r="38" spans="1:12" s="6" customFormat="1" ht="20.399999999999999" customHeight="1" thickBot="1">
      <c r="B38" s="1681"/>
      <c r="C38" s="43" t="s">
        <v>779</v>
      </c>
      <c r="D38" s="45"/>
      <c r="E38" s="45"/>
      <c r="F38" s="44"/>
      <c r="G38" s="1303">
        <f>5%*G37</f>
        <v>0</v>
      </c>
      <c r="H38" s="152"/>
      <c r="I38" s="152"/>
      <c r="K38" s="1233"/>
    </row>
    <row r="39" spans="1:12" s="6" customFormat="1" ht="20.399999999999999" customHeight="1" thickTop="1">
      <c r="B39" s="1681"/>
      <c r="C39" s="886" t="s">
        <v>162</v>
      </c>
      <c r="D39" s="46"/>
      <c r="E39" s="46"/>
      <c r="F39" s="47"/>
      <c r="G39" s="1304">
        <f>G37+G38</f>
        <v>0</v>
      </c>
      <c r="H39" s="151" t="e">
        <f>H37</f>
        <v>#REF!</v>
      </c>
      <c r="I39" s="151" t="e">
        <f>I37</f>
        <v>#REF!</v>
      </c>
    </row>
    <row r="40" spans="1:12" s="4" customFormat="1" ht="20.399999999999999" customHeight="1" thickBot="1">
      <c r="B40" s="1681"/>
      <c r="C40" s="48" t="s">
        <v>167</v>
      </c>
      <c r="D40" s="49"/>
      <c r="E40" s="49"/>
      <c r="F40" s="50"/>
      <c r="G40" s="1305">
        <f>(G39)*15%</f>
        <v>0</v>
      </c>
      <c r="H40" s="153" t="e">
        <f>H39*0.15</f>
        <v>#REF!</v>
      </c>
      <c r="I40" s="153" t="e">
        <f>I39*0.15</f>
        <v>#REF!</v>
      </c>
    </row>
    <row r="41" spans="1:12" s="5" customFormat="1" ht="20.399999999999999" customHeight="1" thickTop="1" thickBot="1">
      <c r="B41" s="1682"/>
      <c r="C41" s="51" t="s">
        <v>163</v>
      </c>
      <c r="D41" s="52"/>
      <c r="E41" s="52"/>
      <c r="F41" s="53"/>
      <c r="G41" s="1302">
        <f>SUM(G39:G40)</f>
        <v>0</v>
      </c>
      <c r="H41" s="154" t="e">
        <f>H39+H40</f>
        <v>#REF!</v>
      </c>
      <c r="I41" s="154" t="e">
        <f>I39+I40</f>
        <v>#REF!</v>
      </c>
      <c r="K41" s="1232"/>
      <c r="L41" s="614"/>
    </row>
    <row r="42" spans="1:12" s="3" customFormat="1" ht="12.5">
      <c r="A42" s="18"/>
      <c r="B42" s="18"/>
      <c r="C42" s="19"/>
      <c r="D42" s="18"/>
      <c r="E42" s="18"/>
      <c r="F42" s="18"/>
      <c r="G42" s="18"/>
      <c r="H42" s="17"/>
      <c r="I42" s="17"/>
    </row>
  </sheetData>
  <mergeCells count="20">
    <mergeCell ref="B38:B41"/>
    <mergeCell ref="C12:E12"/>
    <mergeCell ref="C17:E17"/>
    <mergeCell ref="C23:E23"/>
    <mergeCell ref="C25:E25"/>
    <mergeCell ref="C16:E16"/>
    <mergeCell ref="C15:E15"/>
    <mergeCell ref="C13:E13"/>
    <mergeCell ref="B2:G2"/>
    <mergeCell ref="C20:E20"/>
    <mergeCell ref="C26:E26"/>
    <mergeCell ref="C22:E22"/>
    <mergeCell ref="C5:E5"/>
    <mergeCell ref="C8:E8"/>
    <mergeCell ref="C9:E9"/>
    <mergeCell ref="C11:E11"/>
    <mergeCell ref="C10:E10"/>
    <mergeCell ref="C24:E24"/>
    <mergeCell ref="C7:E7"/>
    <mergeCell ref="C6:E6"/>
  </mergeCells>
  <pageMargins left="0.59055118110236227" right="0.27559055118110237" top="0.39370078740157483" bottom="0.39370078740157483" header="0.31496062992125984" footer="0.31496062992125984"/>
  <pageSetup paperSize="9" scale="89" orientation="portrait" horizontalDpi="300" verticalDpi="300" r:id="rId1"/>
  <ignoredErrors>
    <ignoredError sqref="B15:B17 B5 B25 B22:B23 B20 B8 B9:B13 B26" numberStoredAsText="1"/>
  </ignoredError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6"/>
  <dimension ref="A1:J57"/>
  <sheetViews>
    <sheetView view="pageBreakPreview" zoomScaleNormal="100" zoomScaleSheetLayoutView="100" workbookViewId="0">
      <pane xSplit="7" ySplit="12" topLeftCell="H13" activePane="bottomRight" state="frozen"/>
      <selection pane="topRight" activeCell="H1" sqref="H1"/>
      <selection pane="bottomLeft" activeCell="A13" sqref="A13"/>
      <selection pane="bottomRight" activeCell="F11" sqref="F11"/>
    </sheetView>
  </sheetViews>
  <sheetFormatPr defaultColWidth="8.90625" defaultRowHeight="11.5"/>
  <cols>
    <col min="1" max="1" width="1.6328125" style="20" customWidth="1"/>
    <col min="2" max="2" width="7.90625" style="20" customWidth="1"/>
    <col min="3" max="3" width="45.08984375" style="20" customWidth="1"/>
    <col min="4" max="4" width="6.36328125" style="20" customWidth="1"/>
    <col min="5" max="5" width="9.6328125" style="20" customWidth="1"/>
    <col min="6" max="6" width="12.36328125" style="20" customWidth="1"/>
    <col min="7" max="7" width="18.6328125" style="20" customWidth="1"/>
    <col min="8" max="8" width="7.90625" style="11" hidden="1" customWidth="1"/>
    <col min="9" max="9" width="12.36328125" style="11" hidden="1" customWidth="1"/>
    <col min="10" max="10" width="13.453125" style="11" hidden="1" customWidth="1"/>
    <col min="11" max="16384" width="8.90625" style="11"/>
  </cols>
  <sheetData>
    <row r="1" spans="1:10" s="8" customFormat="1">
      <c r="A1" s="18"/>
      <c r="B1" s="23"/>
      <c r="C1" s="24"/>
      <c r="D1" s="18"/>
      <c r="E1" s="18"/>
      <c r="F1" s="18"/>
      <c r="G1" s="18"/>
    </row>
    <row r="2" spans="1:10" s="8" customFormat="1">
      <c r="A2" s="18"/>
      <c r="B2" s="23" t="s">
        <v>479</v>
      </c>
      <c r="C2" s="18"/>
      <c r="D2" s="18"/>
      <c r="E2" s="18"/>
      <c r="F2" s="18"/>
      <c r="G2" s="18"/>
    </row>
    <row r="3" spans="1:10" s="8" customFormat="1">
      <c r="A3" s="18"/>
      <c r="B3" s="25" t="s">
        <v>205</v>
      </c>
      <c r="C3" s="18"/>
      <c r="D3" s="18"/>
      <c r="E3" s="18"/>
      <c r="F3" s="18"/>
      <c r="G3" s="18"/>
    </row>
    <row r="4" spans="1:10" s="8" customFormat="1" ht="20.149999999999999" customHeight="1">
      <c r="A4" s="18"/>
      <c r="B4" s="19"/>
      <c r="C4" s="18"/>
      <c r="D4" s="18"/>
      <c r="E4" s="18"/>
      <c r="F4" s="18"/>
      <c r="G4" s="54" t="s">
        <v>121</v>
      </c>
    </row>
    <row r="5" spans="1:10" s="14" customFormat="1" ht="30" customHeight="1">
      <c r="A5" s="4"/>
      <c r="B5" s="27" t="s">
        <v>0</v>
      </c>
      <c r="C5" s="27" t="s">
        <v>2</v>
      </c>
      <c r="D5" s="27" t="s">
        <v>3</v>
      </c>
      <c r="E5" s="27" t="s">
        <v>4</v>
      </c>
      <c r="F5" s="27" t="s">
        <v>5</v>
      </c>
      <c r="G5" s="30" t="s">
        <v>6</v>
      </c>
      <c r="H5" s="115" t="s">
        <v>217</v>
      </c>
      <c r="I5" s="116" t="s">
        <v>216</v>
      </c>
      <c r="J5" s="116" t="s">
        <v>218</v>
      </c>
    </row>
    <row r="6" spans="1:10" s="15" customFormat="1" ht="20.149999999999999" customHeight="1">
      <c r="A6" s="5"/>
      <c r="B6" s="55"/>
      <c r="C6" s="56"/>
      <c r="D6" s="57"/>
      <c r="E6" s="57"/>
      <c r="F6" s="57"/>
      <c r="G6" s="58"/>
      <c r="H6" s="129"/>
      <c r="I6" s="131"/>
      <c r="J6" s="131"/>
    </row>
    <row r="7" spans="1:10" s="14" customFormat="1">
      <c r="A7" s="4"/>
      <c r="B7" s="71">
        <v>74</v>
      </c>
      <c r="C7" s="72" t="s">
        <v>123</v>
      </c>
      <c r="D7" s="71"/>
      <c r="E7" s="73"/>
      <c r="F7" s="74"/>
      <c r="G7" s="74"/>
      <c r="H7" s="138"/>
      <c r="I7" s="145"/>
      <c r="J7" s="145"/>
    </row>
    <row r="8" spans="1:10" s="14" customFormat="1" ht="11.4" customHeight="1">
      <c r="A8" s="4"/>
      <c r="B8" s="75"/>
      <c r="C8" s="67"/>
      <c r="D8" s="75"/>
      <c r="E8" s="75"/>
      <c r="F8" s="75"/>
      <c r="G8" s="75"/>
      <c r="H8" s="140"/>
      <c r="I8" s="140"/>
      <c r="J8" s="140"/>
    </row>
    <row r="9" spans="1:10" s="14" customFormat="1" ht="34.5">
      <c r="A9" s="4"/>
      <c r="B9" s="76" t="s">
        <v>178</v>
      </c>
      <c r="C9" s="77" t="s">
        <v>124</v>
      </c>
      <c r="D9" s="76"/>
      <c r="E9" s="78"/>
      <c r="F9" s="79"/>
      <c r="G9" s="79"/>
      <c r="H9" s="142"/>
      <c r="I9" s="146"/>
      <c r="J9" s="146"/>
    </row>
    <row r="10" spans="1:10" s="14" customFormat="1" ht="11.4" customHeight="1">
      <c r="A10" s="4"/>
      <c r="B10" s="75"/>
      <c r="C10" s="67"/>
      <c r="D10" s="75"/>
      <c r="E10" s="75"/>
      <c r="F10" s="75"/>
      <c r="G10" s="75"/>
      <c r="H10" s="140"/>
      <c r="I10" s="140"/>
      <c r="J10" s="140"/>
    </row>
    <row r="11" spans="1:10" s="14" customFormat="1">
      <c r="A11" s="4"/>
      <c r="B11" s="76"/>
      <c r="C11" s="77" t="s">
        <v>125</v>
      </c>
      <c r="D11" s="76" t="s">
        <v>11</v>
      </c>
      <c r="E11" s="80">
        <v>10</v>
      </c>
      <c r="F11" s="81">
        <v>3161.3</v>
      </c>
      <c r="G11" s="109">
        <f>E11*F11</f>
        <v>31613</v>
      </c>
      <c r="H11" s="128">
        <v>0</v>
      </c>
      <c r="I11" s="119">
        <f>F11*H11</f>
        <v>0</v>
      </c>
      <c r="J11" s="119">
        <f>G11-I11</f>
        <v>31613</v>
      </c>
    </row>
    <row r="12" spans="1:10" s="14" customFormat="1" ht="11.4" customHeight="1">
      <c r="A12" s="4"/>
      <c r="B12" s="75"/>
      <c r="C12" s="67"/>
      <c r="D12" s="75"/>
      <c r="E12" s="75"/>
      <c r="F12" s="75"/>
      <c r="G12" s="75"/>
      <c r="H12" s="140"/>
      <c r="I12" s="140"/>
      <c r="J12" s="140"/>
    </row>
    <row r="13" spans="1:10" s="14" customFormat="1">
      <c r="A13" s="4"/>
      <c r="B13" s="75"/>
      <c r="C13" s="67"/>
      <c r="D13" s="75"/>
      <c r="E13" s="75"/>
      <c r="F13" s="75"/>
      <c r="G13" s="75"/>
      <c r="H13" s="140"/>
      <c r="I13" s="140"/>
      <c r="J13" s="140"/>
    </row>
    <row r="14" spans="1:10" s="14" customFormat="1">
      <c r="A14" s="4"/>
      <c r="B14" s="75"/>
      <c r="C14" s="67"/>
      <c r="D14" s="75"/>
      <c r="E14" s="75"/>
      <c r="F14" s="75"/>
      <c r="G14" s="75"/>
      <c r="H14" s="140"/>
      <c r="I14" s="140"/>
      <c r="J14" s="140"/>
    </row>
    <row r="15" spans="1:10" s="14" customFormat="1">
      <c r="A15" s="4"/>
      <c r="B15" s="75"/>
      <c r="C15" s="67"/>
      <c r="D15" s="75"/>
      <c r="E15" s="75"/>
      <c r="F15" s="75"/>
      <c r="G15" s="75"/>
      <c r="H15" s="140"/>
      <c r="I15" s="140"/>
      <c r="J15" s="140"/>
    </row>
    <row r="16" spans="1:10" s="14" customFormat="1">
      <c r="A16" s="4"/>
      <c r="B16" s="75"/>
      <c r="C16" s="67"/>
      <c r="D16" s="75"/>
      <c r="E16" s="75"/>
      <c r="F16" s="75"/>
      <c r="G16" s="75"/>
      <c r="H16" s="140"/>
      <c r="I16" s="140"/>
      <c r="J16" s="140"/>
    </row>
    <row r="17" spans="1:10" s="14" customFormat="1">
      <c r="A17" s="4"/>
      <c r="B17" s="75"/>
      <c r="C17" s="67"/>
      <c r="D17" s="75"/>
      <c r="E17" s="75"/>
      <c r="F17" s="75"/>
      <c r="G17" s="75"/>
      <c r="H17" s="140"/>
      <c r="I17" s="140"/>
      <c r="J17" s="140"/>
    </row>
    <row r="18" spans="1:10" s="14" customFormat="1">
      <c r="A18" s="4"/>
      <c r="B18" s="75"/>
      <c r="C18" s="67"/>
      <c r="D18" s="75"/>
      <c r="E18" s="75"/>
      <c r="F18" s="75"/>
      <c r="G18" s="75"/>
      <c r="H18" s="140"/>
      <c r="I18" s="140"/>
      <c r="J18" s="140"/>
    </row>
    <row r="19" spans="1:10" s="14" customFormat="1">
      <c r="A19" s="4"/>
      <c r="B19" s="75"/>
      <c r="C19" s="67"/>
      <c r="D19" s="75"/>
      <c r="E19" s="75"/>
      <c r="F19" s="75"/>
      <c r="G19" s="75"/>
      <c r="H19" s="140"/>
      <c r="I19" s="140"/>
      <c r="J19" s="140"/>
    </row>
    <row r="20" spans="1:10" s="14" customFormat="1">
      <c r="A20" s="4"/>
      <c r="B20" s="75"/>
      <c r="C20" s="67"/>
      <c r="D20" s="75"/>
      <c r="E20" s="75"/>
      <c r="F20" s="75"/>
      <c r="G20" s="75"/>
      <c r="H20" s="140"/>
      <c r="I20" s="140"/>
      <c r="J20" s="140"/>
    </row>
    <row r="21" spans="1:10" s="14" customFormat="1">
      <c r="A21" s="4"/>
      <c r="B21" s="75"/>
      <c r="C21" s="67"/>
      <c r="D21" s="75"/>
      <c r="E21" s="75"/>
      <c r="F21" s="75"/>
      <c r="G21" s="75"/>
      <c r="H21" s="140"/>
      <c r="I21" s="140"/>
      <c r="J21" s="140"/>
    </row>
    <row r="22" spans="1:10" s="14" customFormat="1">
      <c r="A22" s="4"/>
      <c r="B22" s="75"/>
      <c r="C22" s="67"/>
      <c r="D22" s="75"/>
      <c r="E22" s="75"/>
      <c r="F22" s="75"/>
      <c r="G22" s="75"/>
      <c r="H22" s="140"/>
      <c r="I22" s="140"/>
      <c r="J22" s="140"/>
    </row>
    <row r="23" spans="1:10" s="14" customFormat="1">
      <c r="A23" s="4"/>
      <c r="B23" s="75"/>
      <c r="C23" s="67"/>
      <c r="D23" s="75"/>
      <c r="E23" s="75"/>
      <c r="F23" s="75"/>
      <c r="G23" s="75"/>
      <c r="H23" s="140"/>
      <c r="I23" s="140"/>
      <c r="J23" s="140"/>
    </row>
    <row r="24" spans="1:10" s="14" customFormat="1">
      <c r="A24" s="4"/>
      <c r="B24" s="75"/>
      <c r="C24" s="67"/>
      <c r="D24" s="75"/>
      <c r="E24" s="75"/>
      <c r="F24" s="75"/>
      <c r="G24" s="75"/>
      <c r="H24" s="140"/>
      <c r="I24" s="140"/>
      <c r="J24" s="140"/>
    </row>
    <row r="25" spans="1:10" s="14" customFormat="1">
      <c r="A25" s="4"/>
      <c r="B25" s="75"/>
      <c r="C25" s="67"/>
      <c r="D25" s="75"/>
      <c r="E25" s="75"/>
      <c r="F25" s="75"/>
      <c r="G25" s="75"/>
      <c r="H25" s="140"/>
      <c r="I25" s="140"/>
      <c r="J25" s="140"/>
    </row>
    <row r="26" spans="1:10" s="14" customFormat="1">
      <c r="A26" s="4"/>
      <c r="B26" s="75"/>
      <c r="C26" s="67"/>
      <c r="D26" s="75"/>
      <c r="E26" s="75"/>
      <c r="F26" s="75"/>
      <c r="G26" s="75"/>
      <c r="H26" s="140"/>
      <c r="I26" s="140"/>
      <c r="J26" s="140"/>
    </row>
    <row r="27" spans="1:10" s="14" customFormat="1">
      <c r="A27" s="4"/>
      <c r="B27" s="75"/>
      <c r="C27" s="67"/>
      <c r="D27" s="75"/>
      <c r="E27" s="75"/>
      <c r="F27" s="75"/>
      <c r="G27" s="75"/>
      <c r="H27" s="140"/>
      <c r="I27" s="140"/>
      <c r="J27" s="140"/>
    </row>
    <row r="28" spans="1:10" s="14" customFormat="1">
      <c r="A28" s="4"/>
      <c r="B28" s="75"/>
      <c r="C28" s="67"/>
      <c r="D28" s="75"/>
      <c r="E28" s="75"/>
      <c r="F28" s="75"/>
      <c r="G28" s="75"/>
      <c r="H28" s="140"/>
      <c r="I28" s="140"/>
      <c r="J28" s="140"/>
    </row>
    <row r="29" spans="1:10" s="14" customFormat="1">
      <c r="A29" s="4"/>
      <c r="B29" s="75"/>
      <c r="C29" s="67"/>
      <c r="D29" s="75"/>
      <c r="E29" s="75"/>
      <c r="F29" s="75"/>
      <c r="G29" s="75"/>
      <c r="H29" s="140"/>
      <c r="I29" s="140"/>
      <c r="J29" s="140"/>
    </row>
    <row r="30" spans="1:10" s="14" customFormat="1">
      <c r="A30" s="4"/>
      <c r="B30" s="75"/>
      <c r="C30" s="67"/>
      <c r="D30" s="75"/>
      <c r="E30" s="75"/>
      <c r="F30" s="75"/>
      <c r="G30" s="75"/>
      <c r="H30" s="140"/>
      <c r="I30" s="140"/>
      <c r="J30" s="140"/>
    </row>
    <row r="31" spans="1:10" s="14" customFormat="1">
      <c r="A31" s="4"/>
      <c r="B31" s="75"/>
      <c r="C31" s="67"/>
      <c r="D31" s="75"/>
      <c r="E31" s="75"/>
      <c r="F31" s="75"/>
      <c r="G31" s="75"/>
      <c r="H31" s="140"/>
      <c r="I31" s="140"/>
      <c r="J31" s="140"/>
    </row>
    <row r="32" spans="1:10" s="14" customFormat="1">
      <c r="A32" s="4"/>
      <c r="B32" s="75"/>
      <c r="C32" s="67"/>
      <c r="D32" s="75"/>
      <c r="E32" s="75"/>
      <c r="F32" s="75"/>
      <c r="G32" s="75"/>
      <c r="H32" s="140"/>
      <c r="I32" s="140"/>
      <c r="J32" s="140"/>
    </row>
    <row r="33" spans="1:10" s="14" customFormat="1">
      <c r="A33" s="4"/>
      <c r="B33" s="75"/>
      <c r="C33" s="67"/>
      <c r="D33" s="75"/>
      <c r="E33" s="75"/>
      <c r="F33" s="75"/>
      <c r="G33" s="75"/>
      <c r="H33" s="140"/>
      <c r="I33" s="140"/>
      <c r="J33" s="140"/>
    </row>
    <row r="34" spans="1:10" s="14" customFormat="1">
      <c r="A34" s="4"/>
      <c r="B34" s="75"/>
      <c r="C34" s="67"/>
      <c r="D34" s="75"/>
      <c r="E34" s="75"/>
      <c r="F34" s="75"/>
      <c r="G34" s="75"/>
      <c r="H34" s="140"/>
      <c r="I34" s="140"/>
      <c r="J34" s="140"/>
    </row>
    <row r="35" spans="1:10" s="14" customFormat="1">
      <c r="A35" s="4"/>
      <c r="B35" s="75"/>
      <c r="C35" s="67"/>
      <c r="D35" s="75"/>
      <c r="E35" s="75"/>
      <c r="F35" s="75"/>
      <c r="G35" s="75"/>
      <c r="H35" s="140"/>
      <c r="I35" s="140"/>
      <c r="J35" s="140"/>
    </row>
    <row r="36" spans="1:10" s="14" customFormat="1">
      <c r="A36" s="4"/>
      <c r="B36" s="67"/>
      <c r="C36" s="67"/>
      <c r="D36" s="75"/>
      <c r="E36" s="75"/>
      <c r="F36" s="75"/>
      <c r="G36" s="75"/>
      <c r="H36" s="140"/>
      <c r="I36" s="140"/>
      <c r="J36" s="140"/>
    </row>
    <row r="37" spans="1:10" s="14" customFormat="1">
      <c r="A37" s="4"/>
      <c r="B37" s="67"/>
      <c r="C37" s="67"/>
      <c r="D37" s="75"/>
      <c r="E37" s="75"/>
      <c r="F37" s="75"/>
      <c r="G37" s="75"/>
      <c r="H37" s="140"/>
      <c r="I37" s="140"/>
      <c r="J37" s="140"/>
    </row>
    <row r="38" spans="1:10" s="14" customFormat="1">
      <c r="A38" s="4"/>
      <c r="B38" s="67"/>
      <c r="C38" s="67"/>
      <c r="D38" s="75"/>
      <c r="E38" s="75"/>
      <c r="F38" s="75"/>
      <c r="G38" s="75"/>
      <c r="H38" s="140"/>
      <c r="I38" s="140"/>
      <c r="J38" s="140"/>
    </row>
    <row r="39" spans="1:10" s="14" customFormat="1">
      <c r="A39" s="4"/>
      <c r="B39" s="67"/>
      <c r="C39" s="67"/>
      <c r="D39" s="75"/>
      <c r="E39" s="75"/>
      <c r="F39" s="75"/>
      <c r="G39" s="75"/>
      <c r="H39" s="140"/>
      <c r="I39" s="140"/>
      <c r="J39" s="140"/>
    </row>
    <row r="40" spans="1:10" s="14" customFormat="1">
      <c r="A40" s="4"/>
      <c r="B40" s="67"/>
      <c r="C40" s="67"/>
      <c r="D40" s="75"/>
      <c r="E40" s="75"/>
      <c r="F40" s="75"/>
      <c r="G40" s="75"/>
      <c r="H40" s="140"/>
      <c r="I40" s="140"/>
      <c r="J40" s="140"/>
    </row>
    <row r="41" spans="1:10" s="14" customFormat="1">
      <c r="A41" s="4"/>
      <c r="B41" s="67"/>
      <c r="C41" s="67"/>
      <c r="D41" s="75"/>
      <c r="E41" s="75"/>
      <c r="F41" s="75"/>
      <c r="G41" s="75"/>
      <c r="H41" s="140"/>
      <c r="I41" s="140"/>
      <c r="J41" s="140"/>
    </row>
    <row r="42" spans="1:10" s="14" customFormat="1">
      <c r="A42" s="4"/>
      <c r="B42" s="67"/>
      <c r="C42" s="67"/>
      <c r="D42" s="75"/>
      <c r="E42" s="75"/>
      <c r="F42" s="75"/>
      <c r="G42" s="75"/>
      <c r="H42" s="140"/>
      <c r="I42" s="140"/>
      <c r="J42" s="140"/>
    </row>
    <row r="43" spans="1:10" s="14" customFormat="1">
      <c r="A43" s="4"/>
      <c r="B43" s="67"/>
      <c r="C43" s="67"/>
      <c r="D43" s="75"/>
      <c r="E43" s="75"/>
      <c r="F43" s="75"/>
      <c r="G43" s="75"/>
      <c r="H43" s="140"/>
      <c r="I43" s="140"/>
      <c r="J43" s="140"/>
    </row>
    <row r="44" spans="1:10" s="14" customFormat="1">
      <c r="A44" s="4"/>
      <c r="B44" s="67"/>
      <c r="C44" s="67"/>
      <c r="D44" s="75"/>
      <c r="E44" s="75"/>
      <c r="F44" s="75"/>
      <c r="G44" s="75"/>
      <c r="H44" s="140"/>
      <c r="I44" s="140"/>
      <c r="J44" s="140"/>
    </row>
    <row r="45" spans="1:10" s="14" customFormat="1">
      <c r="A45" s="4"/>
      <c r="B45" s="67"/>
      <c r="C45" s="67"/>
      <c r="D45" s="75"/>
      <c r="E45" s="75"/>
      <c r="F45" s="75"/>
      <c r="G45" s="75"/>
      <c r="H45" s="140"/>
      <c r="I45" s="140"/>
      <c r="J45" s="140"/>
    </row>
    <row r="46" spans="1:10" s="14" customFormat="1">
      <c r="A46" s="4"/>
      <c r="B46" s="67"/>
      <c r="C46" s="67"/>
      <c r="D46" s="75"/>
      <c r="E46" s="75"/>
      <c r="F46" s="75"/>
      <c r="G46" s="75"/>
      <c r="H46" s="140"/>
      <c r="I46" s="140"/>
      <c r="J46" s="140"/>
    </row>
    <row r="47" spans="1:10" s="14" customFormat="1">
      <c r="A47" s="4"/>
      <c r="B47" s="67"/>
      <c r="C47" s="67"/>
      <c r="D47" s="75"/>
      <c r="E47" s="75"/>
      <c r="F47" s="75"/>
      <c r="G47" s="75"/>
      <c r="H47" s="140"/>
      <c r="I47" s="140"/>
      <c r="J47" s="140"/>
    </row>
    <row r="48" spans="1:10" s="14" customFormat="1">
      <c r="A48" s="4"/>
      <c r="B48" s="67"/>
      <c r="C48" s="67"/>
      <c r="D48" s="75"/>
      <c r="E48" s="75"/>
      <c r="F48" s="75"/>
      <c r="G48" s="75"/>
      <c r="H48" s="140"/>
      <c r="I48" s="140"/>
      <c r="J48" s="140"/>
    </row>
    <row r="49" spans="1:10" s="14" customFormat="1">
      <c r="A49" s="4"/>
      <c r="B49" s="67"/>
      <c r="C49" s="67"/>
      <c r="D49" s="75"/>
      <c r="E49" s="75"/>
      <c r="F49" s="75"/>
      <c r="G49" s="75"/>
      <c r="H49" s="140"/>
      <c r="I49" s="140"/>
      <c r="J49" s="140"/>
    </row>
    <row r="50" spans="1:10" s="14" customFormat="1">
      <c r="A50" s="4"/>
      <c r="B50" s="67"/>
      <c r="C50" s="67"/>
      <c r="D50" s="75"/>
      <c r="E50" s="75"/>
      <c r="F50" s="75"/>
      <c r="G50" s="75"/>
      <c r="H50" s="140"/>
      <c r="I50" s="140"/>
      <c r="J50" s="140"/>
    </row>
    <row r="51" spans="1:10" s="14" customFormat="1">
      <c r="A51" s="4"/>
      <c r="B51" s="67"/>
      <c r="C51" s="67"/>
      <c r="D51" s="75"/>
      <c r="E51" s="75"/>
      <c r="F51" s="75"/>
      <c r="G51" s="75"/>
      <c r="H51" s="140"/>
      <c r="I51" s="140"/>
      <c r="J51" s="140"/>
    </row>
    <row r="52" spans="1:10" s="14" customFormat="1">
      <c r="A52" s="4"/>
      <c r="B52" s="67"/>
      <c r="C52" s="67"/>
      <c r="D52" s="75"/>
      <c r="E52" s="75"/>
      <c r="F52" s="75"/>
      <c r="G52" s="75"/>
      <c r="H52" s="140"/>
      <c r="I52" s="140"/>
      <c r="J52" s="140"/>
    </row>
    <row r="53" spans="1:10" s="14" customFormat="1">
      <c r="A53" s="4"/>
      <c r="B53" s="67"/>
      <c r="C53" s="67"/>
      <c r="D53" s="75"/>
      <c r="E53" s="75"/>
      <c r="F53" s="75"/>
      <c r="G53" s="75"/>
      <c r="H53" s="140"/>
      <c r="I53" s="140"/>
      <c r="J53" s="140"/>
    </row>
    <row r="54" spans="1:10" s="14" customFormat="1">
      <c r="A54" s="4"/>
      <c r="B54" s="67"/>
      <c r="C54" s="67"/>
      <c r="D54" s="75"/>
      <c r="E54" s="75"/>
      <c r="F54" s="75"/>
      <c r="G54" s="75"/>
      <c r="H54" s="140"/>
      <c r="I54" s="140"/>
      <c r="J54" s="140"/>
    </row>
    <row r="55" spans="1:10" s="14" customFormat="1">
      <c r="A55" s="4"/>
      <c r="B55" s="67"/>
      <c r="C55" s="67"/>
      <c r="D55" s="75"/>
      <c r="E55" s="75"/>
      <c r="F55" s="75"/>
      <c r="G55" s="75"/>
      <c r="H55" s="140"/>
      <c r="I55" s="140"/>
      <c r="J55" s="140"/>
    </row>
    <row r="56" spans="1:10" s="14" customFormat="1" ht="12" thickBot="1">
      <c r="A56" s="4"/>
      <c r="B56" s="67"/>
      <c r="C56" s="67"/>
      <c r="D56" s="75"/>
      <c r="E56" s="75"/>
      <c r="F56" s="75"/>
      <c r="G56" s="75"/>
      <c r="H56" s="140"/>
      <c r="I56" s="140"/>
      <c r="J56" s="140"/>
    </row>
    <row r="57" spans="1:10" s="16" customFormat="1" ht="20.149999999999999" customHeight="1" thickBot="1">
      <c r="A57" s="21"/>
      <c r="B57" s="69" t="s">
        <v>145</v>
      </c>
      <c r="C57" s="70"/>
      <c r="D57" s="28"/>
      <c r="E57" s="28"/>
      <c r="F57" s="28"/>
      <c r="G57" s="111">
        <f>SUM(G7:G56)</f>
        <v>31613</v>
      </c>
      <c r="H57" s="125"/>
      <c r="I57" s="147">
        <f>SUM(I7:I42)</f>
        <v>0</v>
      </c>
      <c r="J57" s="147">
        <f>SUM(J7:J42)</f>
        <v>31613</v>
      </c>
    </row>
  </sheetData>
  <pageMargins left="0.5905524831078367" right="0.27559115878365709" top="0.3937016554052245" bottom="0.3937016554052245" header="0.3" footer="0.3"/>
  <pageSetup paperSize="9" scale="5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fb7a29a-df23-435f-9edd-e081965cccaf">
      <Terms xmlns="http://schemas.microsoft.com/office/infopath/2007/PartnerControls"/>
    </lcf76f155ced4ddcb4097134ff3c332f>
    <TaxCatchAll xmlns="0933a3ca-9dbc-43a6-8020-a61ab0df19a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9679C8BCF7D564F864ED81C984AAAC2" ma:contentTypeVersion="18" ma:contentTypeDescription="Create a new document." ma:contentTypeScope="" ma:versionID="bf9c39922c4eb8c36f7e4fe32c8ea643">
  <xsd:schema xmlns:xsd="http://www.w3.org/2001/XMLSchema" xmlns:xs="http://www.w3.org/2001/XMLSchema" xmlns:p="http://schemas.microsoft.com/office/2006/metadata/properties" xmlns:ns2="4fb7a29a-df23-435f-9edd-e081965cccaf" xmlns:ns3="0933a3ca-9dbc-43a6-8020-a61ab0df19a7" targetNamespace="http://schemas.microsoft.com/office/2006/metadata/properties" ma:root="true" ma:fieldsID="4a2d1c632cbb0ee7b712bc01536c688b" ns2:_="" ns3:_="">
    <xsd:import namespace="4fb7a29a-df23-435f-9edd-e081965cccaf"/>
    <xsd:import namespace="0933a3ca-9dbc-43a6-8020-a61ab0df19a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b7a29a-df23-435f-9edd-e081965ccc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dfcbcde9-d84f-4b7b-8c76-fbd4d606b15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33a3ca-9dbc-43a6-8020-a61ab0df19a7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17c85492-a27d-4ab4-be39-041713967945}" ma:internalName="TaxCatchAll" ma:showField="CatchAllData" ma:web="0933a3ca-9dbc-43a6-8020-a61ab0df19a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39553E-3750-4490-BDAF-C558558955C0}">
  <ds:schemaRefs>
    <ds:schemaRef ds:uri="http://schemas.microsoft.com/office/2006/metadata/properties"/>
    <ds:schemaRef ds:uri="http://schemas.microsoft.com/office/infopath/2007/PartnerControls"/>
    <ds:schemaRef ds:uri="4fb7a29a-df23-435f-9edd-e081965cccaf"/>
    <ds:schemaRef ds:uri="0933a3ca-9dbc-43a6-8020-a61ab0df19a7"/>
  </ds:schemaRefs>
</ds:datastoreItem>
</file>

<file path=customXml/itemProps2.xml><?xml version="1.0" encoding="utf-8"?>
<ds:datastoreItem xmlns:ds="http://schemas.openxmlformats.org/officeDocument/2006/customXml" ds:itemID="{6ED9BDB5-A03B-4A4F-B046-1625050E0C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b7a29a-df23-435f-9edd-e081965cccaf"/>
    <ds:schemaRef ds:uri="0933a3ca-9dbc-43a6-8020-a61ab0df19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F929C3-1DCA-4438-86B7-C25630F8230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30</vt:i4>
      </vt:variant>
      <vt:variant>
        <vt:lpstr>Named Ranges</vt:lpstr>
      </vt:variant>
      <vt:variant>
        <vt:i4>26</vt:i4>
      </vt:variant>
    </vt:vector>
  </HeadingPairs>
  <TitlesOfParts>
    <vt:vector size="56" baseType="lpstr">
      <vt:lpstr>Checklist</vt:lpstr>
      <vt:lpstr>RECONCILIATION</vt:lpstr>
      <vt:lpstr>JRA CERTIFICATE</vt:lpstr>
      <vt:lpstr>SUNDRY</vt:lpstr>
      <vt:lpstr>STATEMENT</vt:lpstr>
      <vt:lpstr>Material on Site</vt:lpstr>
      <vt:lpstr>SECTION 1200</vt:lpstr>
      <vt:lpstr>SECTION 1300</vt:lpstr>
      <vt:lpstr>SECTION 1400 </vt:lpstr>
      <vt:lpstr>SECTION 1500 </vt:lpstr>
      <vt:lpstr>SECTION 1700  </vt:lpstr>
      <vt:lpstr>SECTION 1800</vt:lpstr>
      <vt:lpstr>SECTION 2100 (LIC)  </vt:lpstr>
      <vt:lpstr>SECTION 2200 (LIC)    </vt:lpstr>
      <vt:lpstr>SECTION 2300 (LIC)   </vt:lpstr>
      <vt:lpstr>SECTION 3100 </vt:lpstr>
      <vt:lpstr>SECTION 3300   </vt:lpstr>
      <vt:lpstr>SECTION 3400    </vt:lpstr>
      <vt:lpstr>SECTION 3500 </vt:lpstr>
      <vt:lpstr>SECTION 4100</vt:lpstr>
      <vt:lpstr>SECTION 4500</vt:lpstr>
      <vt:lpstr>SECTION 5100 (LIC)    </vt:lpstr>
      <vt:lpstr>SECTION 5400 (LIC)</vt:lpstr>
      <vt:lpstr>SECTION 5600 (LIC)    </vt:lpstr>
      <vt:lpstr>SECTION 5700     </vt:lpstr>
      <vt:lpstr>SECTION 5900</vt:lpstr>
      <vt:lpstr>SECTION 7300 (LIC)       </vt:lpstr>
      <vt:lpstr>SECTION 8100     </vt:lpstr>
      <vt:lpstr>SUMMARY</vt:lpstr>
      <vt:lpstr>SECTION 7400       </vt:lpstr>
      <vt:lpstr>'JRA CERTIFICATE'!Print_Area</vt:lpstr>
      <vt:lpstr>'Material on Site'!Print_Area</vt:lpstr>
      <vt:lpstr>RECONCILIATION!Print_Area</vt:lpstr>
      <vt:lpstr>'SECTION 1300'!Print_Area</vt:lpstr>
      <vt:lpstr>'SECTION 1400 '!Print_Area</vt:lpstr>
      <vt:lpstr>'SECTION 1500 '!Print_Area</vt:lpstr>
      <vt:lpstr>'SECTION 1700  '!Print_Area</vt:lpstr>
      <vt:lpstr>'SECTION 1800'!Print_Area</vt:lpstr>
      <vt:lpstr>'SECTION 2100 (LIC)  '!Print_Area</vt:lpstr>
      <vt:lpstr>'SECTION 2200 (LIC)    '!Print_Area</vt:lpstr>
      <vt:lpstr>'SECTION 2300 (LIC)   '!Print_Area</vt:lpstr>
      <vt:lpstr>'SECTION 3100 '!Print_Area</vt:lpstr>
      <vt:lpstr>'SECTION 3300   '!Print_Area</vt:lpstr>
      <vt:lpstr>'SECTION 3400    '!Print_Area</vt:lpstr>
      <vt:lpstr>'SECTION 3500 '!Print_Area</vt:lpstr>
      <vt:lpstr>'SECTION 4100'!Print_Area</vt:lpstr>
      <vt:lpstr>'SECTION 4500'!Print_Area</vt:lpstr>
      <vt:lpstr>'SECTION 5100 (LIC)    '!Print_Area</vt:lpstr>
      <vt:lpstr>'SECTION 5400 (LIC)'!Print_Area</vt:lpstr>
      <vt:lpstr>'SECTION 5600 (LIC)    '!Print_Area</vt:lpstr>
      <vt:lpstr>'SECTION 5700     '!Print_Area</vt:lpstr>
      <vt:lpstr>'SECTION 7300 (LIC)       '!Print_Area</vt:lpstr>
      <vt:lpstr>'SECTION 7400       '!Print_Area</vt:lpstr>
      <vt:lpstr>'SECTION 8100     '!Print_Area</vt:lpstr>
      <vt:lpstr>STATEMENT!Print_Area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M.T. Shambo</dc:creator>
  <cp:lastModifiedBy>Prudence Tshokweni</cp:lastModifiedBy>
  <cp:lastPrinted>2024-07-05T08:45:41Z</cp:lastPrinted>
  <dcterms:created xsi:type="dcterms:W3CDTF">2017-01-19T10:56:31Z</dcterms:created>
  <dcterms:modified xsi:type="dcterms:W3CDTF">2026-03-05T16:54:21Z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0x010100C9679C8BCF7D564F864ED81C984AAAC2</vt:lpwstr>
  </property>
  <property fmtid="{D5CDD505-2E9C-101B-9397-08002B2CF9AE}" pid="3" name="MediaServiceImageTags">
    <vt:lpwstr/>
  </property>
  <property fmtid="{D5CDD505-2E9C-101B-9397-08002B2CF9AE}" pid="4" name="MSIP_Label_e4965c1e-a5ff-4947-b488-48ee1e0b4753_Enabled">
    <vt:lpwstr>true</vt:lpwstr>
  </property>
  <property fmtid="{D5CDD505-2E9C-101B-9397-08002B2CF9AE}" pid="5" name="MSIP_Label_e4965c1e-a5ff-4947-b488-48ee1e0b4753_SetDate">
    <vt:lpwstr>2026-03-02T07:08:39Z</vt:lpwstr>
  </property>
  <property fmtid="{D5CDD505-2E9C-101B-9397-08002B2CF9AE}" pid="6" name="MSIP_Label_e4965c1e-a5ff-4947-b488-48ee1e0b4753_Method">
    <vt:lpwstr>Standard</vt:lpwstr>
  </property>
  <property fmtid="{D5CDD505-2E9C-101B-9397-08002B2CF9AE}" pid="7" name="MSIP_Label_e4965c1e-a5ff-4947-b488-48ee1e0b4753_Name">
    <vt:lpwstr>General</vt:lpwstr>
  </property>
  <property fmtid="{D5CDD505-2E9C-101B-9397-08002B2CF9AE}" pid="8" name="MSIP_Label_e4965c1e-a5ff-4947-b488-48ee1e0b4753_SiteId">
    <vt:lpwstr>b93f0750-f647-4332-894e-9e0ad45afc37</vt:lpwstr>
  </property>
  <property fmtid="{D5CDD505-2E9C-101B-9397-08002B2CF9AE}" pid="9" name="MSIP_Label_e4965c1e-a5ff-4947-b488-48ee1e0b4753_ActionId">
    <vt:lpwstr>4c766fdf-2365-41d8-aa2d-e6f06627075a</vt:lpwstr>
  </property>
  <property fmtid="{D5CDD505-2E9C-101B-9397-08002B2CF9AE}" pid="10" name="MSIP_Label_e4965c1e-a5ff-4947-b488-48ee1e0b4753_ContentBits">
    <vt:lpwstr>0</vt:lpwstr>
  </property>
  <property fmtid="{D5CDD505-2E9C-101B-9397-08002B2CF9AE}" pid="11" name="MSIP_Label_e4965c1e-a5ff-4947-b488-48ee1e0b4753_Tag">
    <vt:lpwstr>10, 3, 0, 1</vt:lpwstr>
  </property>
</Properties>
</file>