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kom-my.sharepoint.com/personal/beharis_eskom_co_za/Documents/MV Transformer CG/1 Cluster Level Interim Contracts/Ester AB Schedules - Updated with 2024 Loss Factors/"/>
    </mc:Choice>
  </mc:AlternateContent>
  <xr:revisionPtr revIDLastSave="18" documentId="13_ncr:1_{B6FF5A5B-5A27-41FB-998E-A9FC1E1AE0FE}" xr6:coauthVersionLast="47" xr6:coauthVersionMax="47" xr10:uidLastSave="{BED962DC-1727-4F22-8536-6B0BF96ADED9}"/>
  <bookViews>
    <workbookView xWindow="-108" yWindow="-108" windowWidth="23256" windowHeight="12576" activeTab="5" xr2:uid="{00000000-000D-0000-FFFF-FFFF00000000}"/>
  </bookViews>
  <sheets>
    <sheet name="List of Items &amp; Enquiry number" sheetId="4" r:id="rId1"/>
    <sheet name="Source Data" sheetId="5" r:id="rId2"/>
    <sheet name="Deviation Schedule" sheetId="6" r:id="rId3"/>
    <sheet name="16kVA" sheetId="1" r:id="rId4"/>
    <sheet name="32kVA" sheetId="2" r:id="rId5"/>
    <sheet name="64kVA" sheetId="3" r:id="rId6"/>
  </sheets>
  <definedNames>
    <definedName name="_xlnm.Print_Area" localSheetId="3">'16kVA'!$B$2:$G$137</definedName>
    <definedName name="_xlnm.Print_Area" localSheetId="4">'32kVA'!$B$2:$G$137</definedName>
    <definedName name="_xlnm.Print_Area" localSheetId="5">'64kVA'!$B$2:$G$137</definedName>
    <definedName name="_xlnm.Print_Area" localSheetId="2">'Deviation Schedule'!$A$1:$G$44</definedName>
    <definedName name="_xlnm.Print_Area" localSheetId="1">'Source Data'!$A$1:$A$5</definedName>
    <definedName name="Z_06C7796F_60FE_4B15_9D17_353082FC47C0_.wvu.PrintArea" localSheetId="2" hidden="1">'Deviation Schedule'!$A$1:$G$44</definedName>
    <definedName name="Z_0E947597_B9FB_408F_B47C_A2D788D00D7C_.wvu.PrintArea" localSheetId="2" hidden="1">'Deviation Schedule'!$A$1:$G$44</definedName>
    <definedName name="Z_117BB064_59A1_4952_B02A_C3693ED5C297_.wvu.PrintArea" localSheetId="2" hidden="1">'Deviation Schedule'!$A$1:$G$44</definedName>
    <definedName name="Z_169CE84D_4086_40BF_A0E4_FFFF3CE5EB7D_.wvu.PrintArea" localSheetId="2" hidden="1">'Deviation Schedule'!$A$1:$G$44</definedName>
    <definedName name="Z_17EE5DBF_0FE4_4A5B_BD66_2BA19DB4059D_.wvu.PrintArea" localSheetId="2" hidden="1">'Deviation Schedule'!$A$1:$G$44</definedName>
    <definedName name="Z_1A1D99E6_5E8C_41DD_96E1_A214C10404CE_.wvu.PrintArea" localSheetId="2" hidden="1">'Deviation Schedule'!$A$1:$G$44</definedName>
    <definedName name="Z_1D4E1FAD_3456_499A_A82D_FB40CF1A8068_.wvu.PrintArea" localSheetId="2" hidden="1">'Deviation Schedule'!$A$1:$G$44</definedName>
    <definedName name="Z_29FDB895_FDFF_4EC3_B5AF_C214E465DEEB_.wvu.PrintArea" localSheetId="2" hidden="1">'Deviation Schedule'!$A$1:$G$44</definedName>
    <definedName name="Z_3943ECC5_6242_44C8_BEFD_1B91BF0593A8_.wvu.PrintArea" localSheetId="2" hidden="1">'Deviation Schedule'!$A$1:$G$44</definedName>
    <definedName name="Z_4A294F5F_16F1_48B2_A8A8_1EB33557755F_.wvu.PrintArea" localSheetId="2" hidden="1">'Deviation Schedule'!$A$1:$G$44</definedName>
    <definedName name="Z_63B0D61F_848C_494A_B934_73A922F5C779_.wvu.PrintArea" localSheetId="2" hidden="1">'Deviation Schedule'!$A$1:$G$44</definedName>
    <definedName name="Z_661F14B0_7E60_4C52_A9F7_FCFD0F09BA1F_.wvu.PrintArea" localSheetId="2" hidden="1">'Deviation Schedule'!$A$1:$G$44</definedName>
    <definedName name="Z_7FA323DB_86D3_48A8_9453_C28D721B35AA_.wvu.PrintArea" localSheetId="2" hidden="1">'Deviation Schedule'!$A$1:$G$44</definedName>
    <definedName name="Z_90E79D85_6386_49B5_B347_A4ADD5B6BB70_.wvu.PrintArea" localSheetId="2" hidden="1">'Deviation Schedule'!$A$1:$G$44</definedName>
    <definedName name="Z_92196F57_6D64_4CC3_B851_AC99F65472C8_.wvu.PrintArea" localSheetId="2" hidden="1">'Deviation Schedule'!$A$1:$G$44</definedName>
    <definedName name="Z_97BDCDFB_5104_40FA_8A01_FF18139CF050_.wvu.PrintArea" localSheetId="2" hidden="1">'Deviation Schedule'!$A$1:$G$44</definedName>
    <definedName name="Z_9E68D5A3_77A7_4D2D_A381_B42253733A21_.wvu.PrintArea" localSheetId="2" hidden="1">'Deviation Schedule'!$A$1:$G$44</definedName>
    <definedName name="Z_A03AB8D3_A4F1_4FA2_8AC8_4059659716EC_.wvu.PrintArea" localSheetId="2" hidden="1">'Deviation Schedule'!$A$1:$G$44</definedName>
    <definedName name="Z_A9B6A78F_3E2F_46B3_9BF3_AEAAB67001EB_.wvu.PrintArea" localSheetId="2" hidden="1">'Deviation Schedule'!$A$1:$G$44</definedName>
    <definedName name="Z_B9063A62_D29B_48F4_A3B3_6CAFA6D6D8EA_.wvu.PrintArea" localSheetId="2" hidden="1">'Deviation Schedule'!$A$1:$G$44</definedName>
    <definedName name="Z_C55A1F6B_D702_4F78_8482_FD76CDDC8509_.wvu.PrintArea" localSheetId="2" hidden="1">'Deviation Schedule'!$A$1:$G$44</definedName>
    <definedName name="Z_CC25ED77_8561_4118_865C_02CCBBD6F7E5_.wvu.PrintArea" localSheetId="2" hidden="1">'Deviation Schedule'!$A$1:$G$44</definedName>
    <definedName name="Z_D3E2A94B_1604_4517_A060_716B5EF4D6E1_.wvu.PrintArea" localSheetId="2" hidden="1">'Deviation Schedule'!$A$1:$G$44</definedName>
    <definedName name="Z_D5714A68_473C_45CE_921C_00C34EEB4C96_.wvu.PrintArea" localSheetId="2" hidden="1">'Deviation Schedule'!$A$1:$G$44</definedName>
    <definedName name="Z_D9A4A332_3651_4408_844B_7E7ECC5E5ADD_.wvu.PrintArea" localSheetId="2" hidden="1">'Deviation Schedule'!$A$1:$G$44</definedName>
    <definedName name="Z_DFD10E9B_2E32_4A05_89FC_03F713864978_.wvu.PrintArea" localSheetId="2" hidden="1">'Deviation Schedule'!$A$1:$G$44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7" i="3" l="1"/>
  <c r="F136" i="3"/>
  <c r="F135" i="3"/>
  <c r="F134" i="3"/>
  <c r="F133" i="3"/>
  <c r="F132" i="3"/>
  <c r="F129" i="3"/>
  <c r="F128" i="3"/>
  <c r="F127" i="3"/>
  <c r="F126" i="3"/>
  <c r="F125" i="3"/>
  <c r="F123" i="3"/>
  <c r="F122" i="3"/>
  <c r="F121" i="3"/>
  <c r="F120" i="3"/>
  <c r="F119" i="3"/>
  <c r="F117" i="3"/>
  <c r="F116" i="3"/>
  <c r="F114" i="3"/>
  <c r="F113" i="3"/>
  <c r="F112" i="3"/>
  <c r="F111" i="3"/>
  <c r="F110" i="3"/>
  <c r="F109" i="3"/>
  <c r="F107" i="3"/>
  <c r="F106" i="3"/>
  <c r="F105" i="3"/>
  <c r="F104" i="3"/>
  <c r="F103" i="3"/>
  <c r="F102" i="3"/>
  <c r="F101" i="3"/>
  <c r="F100" i="3"/>
  <c r="F99" i="3"/>
  <c r="F98" i="3"/>
  <c r="F96" i="3"/>
  <c r="F95" i="3"/>
  <c r="F94" i="3"/>
  <c r="F93" i="3"/>
  <c r="F92" i="3"/>
  <c r="F91" i="3"/>
  <c r="F90" i="3"/>
  <c r="F88" i="3"/>
  <c r="F87" i="3"/>
  <c r="F85" i="3"/>
  <c r="F84" i="3"/>
  <c r="F83" i="3"/>
  <c r="F82" i="3"/>
  <c r="F80" i="3"/>
  <c r="F79" i="3"/>
  <c r="F77" i="3"/>
  <c r="F76" i="3"/>
  <c r="F74" i="3"/>
  <c r="F72" i="3"/>
  <c r="F71" i="3"/>
  <c r="F69" i="3"/>
  <c r="F67" i="3"/>
  <c r="F66" i="3"/>
  <c r="F65" i="3"/>
  <c r="F64" i="3"/>
  <c r="F62" i="3"/>
  <c r="F61" i="3"/>
  <c r="F60" i="3"/>
  <c r="F59" i="3"/>
  <c r="F58" i="3"/>
  <c r="F57" i="3"/>
  <c r="F55" i="3"/>
  <c r="F54" i="3"/>
  <c r="F53" i="3"/>
  <c r="F52" i="3"/>
  <c r="F51" i="3"/>
  <c r="F50" i="3"/>
  <c r="F49" i="3"/>
  <c r="F47" i="3"/>
  <c r="F46" i="3"/>
  <c r="F44" i="3"/>
  <c r="F43" i="3"/>
  <c r="F42" i="3"/>
  <c r="F41" i="3"/>
  <c r="F39" i="3"/>
  <c r="F38" i="3"/>
  <c r="F37" i="3"/>
  <c r="F36" i="3"/>
  <c r="F35" i="3"/>
  <c r="F34" i="3"/>
  <c r="F33" i="3"/>
  <c r="F32" i="3"/>
  <c r="F30" i="3"/>
  <c r="F29" i="3"/>
  <c r="F28" i="3"/>
  <c r="F27" i="3"/>
  <c r="F25" i="3"/>
  <c r="F24" i="3"/>
  <c r="F23" i="3"/>
  <c r="F22" i="3"/>
  <c r="F21" i="3"/>
  <c r="F20" i="3"/>
  <c r="F18" i="3"/>
  <c r="F17" i="3"/>
  <c r="F16" i="3"/>
  <c r="F15" i="3"/>
  <c r="F14" i="3"/>
  <c r="F13" i="3"/>
  <c r="F4" i="3"/>
  <c r="F137" i="2"/>
  <c r="F136" i="2"/>
  <c r="F135" i="2"/>
  <c r="F134" i="2"/>
  <c r="F133" i="2"/>
  <c r="F132" i="2"/>
  <c r="F129" i="2"/>
  <c r="F128" i="2"/>
  <c r="F127" i="2"/>
  <c r="F126" i="2"/>
  <c r="F125" i="2"/>
  <c r="F123" i="2"/>
  <c r="F122" i="2"/>
  <c r="F121" i="2"/>
  <c r="F120" i="2"/>
  <c r="F119" i="2"/>
  <c r="F117" i="2"/>
  <c r="F116" i="2"/>
  <c r="F114" i="2"/>
  <c r="F113" i="2"/>
  <c r="F112" i="2"/>
  <c r="F111" i="2"/>
  <c r="F110" i="2"/>
  <c r="F109" i="2"/>
  <c r="F107" i="2"/>
  <c r="F106" i="2"/>
  <c r="F105" i="2"/>
  <c r="F104" i="2"/>
  <c r="F103" i="2"/>
  <c r="F102" i="2"/>
  <c r="F101" i="2"/>
  <c r="F100" i="2"/>
  <c r="F99" i="2"/>
  <c r="F98" i="2"/>
  <c r="F96" i="2"/>
  <c r="F95" i="2"/>
  <c r="F94" i="2"/>
  <c r="F93" i="2"/>
  <c r="F92" i="2"/>
  <c r="F91" i="2"/>
  <c r="F90" i="2"/>
  <c r="F88" i="2"/>
  <c r="F87" i="2"/>
  <c r="F85" i="2"/>
  <c r="F84" i="2"/>
  <c r="F83" i="2"/>
  <c r="F82" i="2"/>
  <c r="F80" i="2"/>
  <c r="F79" i="2"/>
  <c r="F77" i="2"/>
  <c r="F76" i="2"/>
  <c r="F74" i="2"/>
  <c r="F72" i="2"/>
  <c r="F71" i="2"/>
  <c r="F69" i="2"/>
  <c r="F67" i="2"/>
  <c r="F66" i="2"/>
  <c r="F65" i="2"/>
  <c r="F64" i="2"/>
  <c r="F62" i="2"/>
  <c r="F61" i="2"/>
  <c r="F60" i="2"/>
  <c r="F59" i="2"/>
  <c r="F58" i="2"/>
  <c r="F57" i="2"/>
  <c r="F55" i="2"/>
  <c r="F54" i="2"/>
  <c r="F53" i="2"/>
  <c r="F52" i="2"/>
  <c r="F51" i="2"/>
  <c r="F50" i="2"/>
  <c r="F49" i="2"/>
  <c r="F47" i="2"/>
  <c r="F46" i="2"/>
  <c r="F44" i="2"/>
  <c r="F43" i="2"/>
  <c r="F42" i="2"/>
  <c r="F41" i="2"/>
  <c r="F39" i="2"/>
  <c r="F38" i="2"/>
  <c r="F37" i="2"/>
  <c r="F36" i="2"/>
  <c r="F35" i="2"/>
  <c r="F34" i="2"/>
  <c r="F33" i="2"/>
  <c r="F32" i="2"/>
  <c r="F30" i="2"/>
  <c r="F29" i="2"/>
  <c r="F28" i="2"/>
  <c r="F27" i="2"/>
  <c r="F25" i="2"/>
  <c r="F24" i="2"/>
  <c r="F23" i="2"/>
  <c r="F22" i="2"/>
  <c r="F21" i="2"/>
  <c r="F20" i="2"/>
  <c r="F18" i="2"/>
  <c r="F17" i="2"/>
  <c r="F16" i="2"/>
  <c r="F15" i="2"/>
  <c r="F14" i="2"/>
  <c r="F13" i="2"/>
  <c r="F4" i="2"/>
  <c r="F137" i="1"/>
  <c r="F136" i="1"/>
  <c r="F135" i="1"/>
  <c r="F134" i="1"/>
  <c r="F133" i="1"/>
  <c r="F132" i="1"/>
  <c r="F129" i="1"/>
  <c r="F128" i="1"/>
  <c r="F127" i="1"/>
  <c r="F126" i="1"/>
  <c r="F125" i="1"/>
  <c r="F123" i="1"/>
  <c r="F122" i="1"/>
  <c r="F121" i="1"/>
  <c r="F120" i="1"/>
  <c r="F119" i="1"/>
  <c r="F117" i="1"/>
  <c r="F116" i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100" i="1"/>
  <c r="F99" i="1"/>
  <c r="F98" i="1"/>
  <c r="F96" i="1"/>
  <c r="F95" i="1"/>
  <c r="F94" i="1"/>
  <c r="F93" i="1"/>
  <c r="F92" i="1"/>
  <c r="F91" i="1"/>
  <c r="F90" i="1"/>
  <c r="F88" i="1"/>
  <c r="F87" i="1"/>
  <c r="F85" i="1"/>
  <c r="F84" i="1"/>
  <c r="F83" i="1"/>
  <c r="F82" i="1"/>
  <c r="F80" i="1"/>
  <c r="F79" i="1"/>
  <c r="F77" i="1"/>
  <c r="F76" i="1"/>
  <c r="F74" i="1"/>
  <c r="F72" i="1"/>
  <c r="F71" i="1"/>
  <c r="F69" i="1"/>
  <c r="F67" i="1"/>
  <c r="F66" i="1"/>
  <c r="F65" i="1"/>
  <c r="F64" i="1"/>
  <c r="F62" i="1"/>
  <c r="F61" i="1"/>
  <c r="F60" i="1"/>
  <c r="F59" i="1"/>
  <c r="F58" i="1"/>
  <c r="F57" i="1"/>
  <c r="F55" i="1"/>
  <c r="F54" i="1"/>
  <c r="F53" i="1"/>
  <c r="F52" i="1"/>
  <c r="F51" i="1"/>
  <c r="F50" i="1"/>
  <c r="F49" i="1"/>
  <c r="F47" i="1"/>
  <c r="F46" i="1"/>
  <c r="F44" i="1"/>
  <c r="F43" i="1"/>
  <c r="F42" i="1"/>
  <c r="F41" i="1"/>
  <c r="F39" i="1"/>
  <c r="F38" i="1"/>
  <c r="F37" i="1"/>
  <c r="F36" i="1"/>
  <c r="F35" i="1"/>
  <c r="F34" i="1"/>
  <c r="F33" i="1"/>
  <c r="F32" i="1"/>
  <c r="F30" i="1"/>
  <c r="F29" i="1"/>
  <c r="F28" i="1"/>
  <c r="F27" i="1"/>
  <c r="F25" i="1"/>
  <c r="F24" i="1"/>
  <c r="F23" i="1"/>
  <c r="F22" i="1"/>
  <c r="F21" i="1"/>
  <c r="F20" i="1"/>
  <c r="F18" i="1"/>
  <c r="F17" i="1"/>
  <c r="F16" i="1"/>
  <c r="F15" i="1"/>
  <c r="F14" i="1"/>
  <c r="F13" i="1"/>
  <c r="F4" i="1"/>
  <c r="CO2" i="5"/>
  <c r="CO4" i="5"/>
  <c r="CO3" i="5"/>
</calcChain>
</file>

<file path=xl/sharedStrings.xml><?xml version="1.0" encoding="utf-8"?>
<sst xmlns="http://schemas.openxmlformats.org/spreadsheetml/2006/main" count="1162" uniqueCount="259">
  <si>
    <t>Steps to follow to prepare this file for tender</t>
  </si>
  <si>
    <t>Enter the Enquiry number in the cell below (B14) so that the number is carried through to the AB Schedule Sheets</t>
  </si>
  <si>
    <t>Leave enquiry number blank if not known</t>
  </si>
  <si>
    <t>Go to Source Data worksheet and confirm the figures from columns BL to BO and EL are correct</t>
  </si>
  <si>
    <t>Fix any other requirements on Source Data if there has been a change to the spec</t>
  </si>
  <si>
    <t>Hide Source Data Sheet</t>
  </si>
  <si>
    <t>Hide this sheet</t>
  </si>
  <si>
    <t>Hide any unnecessary sheets if not needed for the tender</t>
  </si>
  <si>
    <t>NOTE:</t>
  </si>
  <si>
    <t>This AB schedule is only for Ester Oil options. If the the tender scope includes Ester options, please also submit the Ester Oil or Ester/Ester Schedule to the Buyer</t>
  </si>
  <si>
    <t>Type Enquiry Number in the cell below (overtype the green text) so that it transfers to all the AB Schedules</t>
  </si>
  <si>
    <t>&gt;&gt;&gt;</t>
  </si>
  <si>
    <r>
      <t xml:space="preserve">Enquiry Number: </t>
    </r>
    <r>
      <rPr>
        <sz val="11"/>
        <color rgb="FF00B050"/>
        <rFont val="Calibri"/>
        <family val="2"/>
        <scheme val="minor"/>
      </rPr>
      <t>123456XYZ</t>
    </r>
  </si>
  <si>
    <t xml:space="preserve">List of Items </t>
  </si>
  <si>
    <t>SAP Number</t>
  </si>
  <si>
    <t>Description</t>
  </si>
  <si>
    <t>Schedule Name</t>
  </si>
  <si>
    <t>0182724</t>
  </si>
  <si>
    <t>TFR 16kVA 19kV/242V COASTAL D3200</t>
  </si>
  <si>
    <t>Single-phase SWER MV LV, 16 kVA, 19kV/242V  (Coastal, Ester Oil Only)</t>
  </si>
  <si>
    <t>0182725</t>
  </si>
  <si>
    <t>TFR 32kVA 19kV/242/-242V COASTAL D3200</t>
  </si>
  <si>
    <t>Dual-phase SWER MV LV, 32 kVA, 19kV/+242/-242V  (Coastal, Ester Oil Only)</t>
  </si>
  <si>
    <t>0205437</t>
  </si>
  <si>
    <t>TFR 64kVA 19kV/242/-242V COASTAL D3200</t>
  </si>
  <si>
    <t>Dual-phase SWER MV LV, 64 kVA, 19kV/+242/-242V (Coastal, Ester Oil Only)</t>
  </si>
  <si>
    <t>Select Pole Mounted Transformer (kVA, kV) here!</t>
  </si>
  <si>
    <t>Identification</t>
  </si>
  <si>
    <t>Name of manufacturer</t>
  </si>
  <si>
    <t>Name of supplier</t>
  </si>
  <si>
    <t>Product code for Inland transformers</t>
  </si>
  <si>
    <t>Product code for Coastal transformers</t>
  </si>
  <si>
    <t>Are the transformers covered by the SABS  certification mark?</t>
  </si>
  <si>
    <t>State SABS 780 permit number</t>
  </si>
  <si>
    <t>Oil Type</t>
  </si>
  <si>
    <t>Ratings</t>
  </si>
  <si>
    <t>Power rating</t>
  </si>
  <si>
    <t>Rated primary voltage (phase to ground)</t>
  </si>
  <si>
    <t>Rated no-load secondary voltage</t>
  </si>
  <si>
    <t>Frequency</t>
  </si>
  <si>
    <t>Number of phases</t>
  </si>
  <si>
    <t>Vector Group</t>
  </si>
  <si>
    <t>Insulation levels</t>
  </si>
  <si>
    <t>BIL - Primary</t>
  </si>
  <si>
    <t>BIL - Secondary</t>
  </si>
  <si>
    <t>Power frequency withstand voltage - Primary</t>
  </si>
  <si>
    <t>Power frequency withstand voltage – Secondary</t>
  </si>
  <si>
    <t>Inter-turn winding insulation</t>
  </si>
  <si>
    <t>Type (Enamel or Paper)</t>
  </si>
  <si>
    <t>Enamel grade (if applicable)</t>
  </si>
  <si>
    <t>Paper thickness (if applicable)</t>
  </si>
  <si>
    <t>Paper type (if applicable)</t>
  </si>
  <si>
    <t>Paper make (if applicable)</t>
  </si>
  <si>
    <t>Paper minimum impulse withstand</t>
  </si>
  <si>
    <t xml:space="preserve">Paper minimum power frequency withstand </t>
  </si>
  <si>
    <t>Inter-turn winding insulation stres</t>
  </si>
  <si>
    <t>Interlayer insulation</t>
  </si>
  <si>
    <t>Highest interlayer stress in non-tap part of winding (&lt;5kV/mm is not acceptable as the calculated value must be presented)</t>
  </si>
  <si>
    <t>Highest interlayer stress in tap part of winding (&lt;5kV/mm is not acceptable as the calculated value must be presented)</t>
  </si>
  <si>
    <t>Paper type.</t>
  </si>
  <si>
    <t>Paper make.</t>
  </si>
  <si>
    <t>Tapping connections</t>
  </si>
  <si>
    <t xml:space="preserve">Type </t>
  </si>
  <si>
    <t>Tapping range</t>
  </si>
  <si>
    <t>MV Bushings for Inland transformers</t>
  </si>
  <si>
    <t xml:space="preserve">Make </t>
  </si>
  <si>
    <t>Product code</t>
  </si>
  <si>
    <t>Material (e.g. Porcelain)</t>
  </si>
  <si>
    <t>Specific creepage distance</t>
  </si>
  <si>
    <t>Clamping</t>
  </si>
  <si>
    <t>Type</t>
  </si>
  <si>
    <t>Stem diameter</t>
  </si>
  <si>
    <t>MV Bushings for Coastal Transformers</t>
  </si>
  <si>
    <t>LV Bushings</t>
  </si>
  <si>
    <t xml:space="preserve">Supplied with flag </t>
  </si>
  <si>
    <t>Flag supplied with 2 x M12 x 40 mm set screws, 4 x flatwashers, 2 x spring washers and 2 x nuts</t>
  </si>
  <si>
    <t>Losses</t>
  </si>
  <si>
    <t xml:space="preserve">Loss factor base (Cost of Dx or Gx) </t>
  </si>
  <si>
    <t xml:space="preserve">No-load Loss Factor, NLLF </t>
  </si>
  <si>
    <t>Load Loss Factor, LLF</t>
  </si>
  <si>
    <t>Guaranteed no-load losses, PNL</t>
  </si>
  <si>
    <t>Guaranteed load losses, PLL</t>
  </si>
  <si>
    <t>Impedance voltage &amp; X/R ratio</t>
  </si>
  <si>
    <t>Impedance at principle tapping (specific design impedances to be stated)</t>
  </si>
  <si>
    <t>X/R ratio</t>
  </si>
  <si>
    <t>Audio-sound level (clause 8.5.3 of SANS 780)</t>
  </si>
  <si>
    <t>Maximum limit of transformer audio-sound level</t>
  </si>
  <si>
    <t>MV winding wire</t>
  </si>
  <si>
    <t>Material (e.g. Cu or Al)</t>
  </si>
  <si>
    <t>Type (e.g. Round, Strip or Foil)</t>
  </si>
  <si>
    <t>LV winding wire</t>
  </si>
  <si>
    <t>Core material</t>
  </si>
  <si>
    <t xml:space="preserve">Core material </t>
  </si>
  <si>
    <t xml:space="preserve">Type/code </t>
  </si>
  <si>
    <t>Maximum Flux Density of Material</t>
  </si>
  <si>
    <t>Supplier</t>
  </si>
  <si>
    <t>Tank and tank cover</t>
  </si>
  <si>
    <t>Tank type: Sealed</t>
  </si>
  <si>
    <t>Plain, rigid or corrugated</t>
  </si>
  <si>
    <t>Transformer dimensions</t>
  </si>
  <si>
    <t>Wo (including surge arrester)</t>
  </si>
  <si>
    <t>Lo</t>
  </si>
  <si>
    <t>Ht</t>
  </si>
  <si>
    <t>Mass</t>
  </si>
  <si>
    <t>Oil capacity</t>
  </si>
  <si>
    <t xml:space="preserve">Minimum clearance between live MV terminals and from MV live terminals to any part of the tank greater than twice the BIL </t>
  </si>
  <si>
    <t>Minimum mechanical clearance of 100 mm between the brackets and LV bushings shall be maintained</t>
  </si>
  <si>
    <t>Pole mounting bracket</t>
  </si>
  <si>
    <t>Single pole mounting bracket required? (Yes or No)</t>
  </si>
  <si>
    <t>Supplied with: - 2 x clamps</t>
  </si>
  <si>
    <t xml:space="preserve">                     - 1 x threaded rod (M20 x 350 mm)</t>
  </si>
  <si>
    <t xml:space="preserve">                     - 4 x threaded rods (M20 x 250 mm)</t>
  </si>
  <si>
    <t xml:space="preserve">                     - 12 x nuts, flat washers &amp; spring washers (M20)</t>
  </si>
  <si>
    <t>Dimension Mo</t>
  </si>
  <si>
    <t>Dimension h1</t>
  </si>
  <si>
    <t>Dimension W1</t>
  </si>
  <si>
    <t>Mounting hole diameter</t>
  </si>
  <si>
    <t>Mounting hole centres</t>
  </si>
  <si>
    <t>Transformer under base</t>
  </si>
  <si>
    <t>Under base required? (Yes or No)</t>
  </si>
  <si>
    <t>Lml</t>
  </si>
  <si>
    <t>Lmw (300, 400 or 450)</t>
  </si>
  <si>
    <t>Ls</t>
  </si>
  <si>
    <t>Lmh</t>
  </si>
  <si>
    <t>Lifting lugs</t>
  </si>
  <si>
    <t>Lifting lugs fitted</t>
  </si>
  <si>
    <t>Hole diameter</t>
  </si>
  <si>
    <t>Earthing terminals</t>
  </si>
  <si>
    <t xml:space="preserve">Boss material </t>
  </si>
  <si>
    <t>Boss depth</t>
  </si>
  <si>
    <t>Set screw material</t>
  </si>
  <si>
    <t>Set screw dimensions</t>
  </si>
  <si>
    <t>Supplied with washer and spring washer</t>
  </si>
  <si>
    <t>Surge arrester brackets</t>
  </si>
  <si>
    <t>Surge arrester brackets fitted</t>
  </si>
  <si>
    <t>Dimension D (worst case)</t>
  </si>
  <si>
    <t>Dimension E (worst case)</t>
  </si>
  <si>
    <t>Dimension F (worst case)</t>
  </si>
  <si>
    <t>Corrosion protection Inland transformers</t>
  </si>
  <si>
    <t>Indicate the coating system (i.e. DS numbers according to DSP 240-75655504) that is offered. (e.g. DS-7 for mild steel)</t>
  </si>
  <si>
    <t xml:space="preserve">Tank </t>
  </si>
  <si>
    <t>Radiators</t>
  </si>
  <si>
    <t>Threaded rods and accessories</t>
  </si>
  <si>
    <t>Colour of final coat</t>
  </si>
  <si>
    <t>Corrosion protection for Coastal transformers</t>
  </si>
  <si>
    <t>Indicate the coating system (i.e. DS numbers according to DSP 240-75655504) that is offered. (e.g. DS-14 + DS-15 for zinc sprayed mild steel with duplex coating)</t>
  </si>
  <si>
    <t>All Type Tests in Accordance with SANS 780:</t>
  </si>
  <si>
    <t>All Routine Tests in Accordance with SANS 780</t>
  </si>
  <si>
    <t>Amorphous Losses (Guaranteed no-load losses, PNL)</t>
  </si>
  <si>
    <t>xxxxxxxxxxx</t>
  </si>
  <si>
    <t>Ester Oil</t>
  </si>
  <si>
    <t>1 ph</t>
  </si>
  <si>
    <t>N/A</t>
  </si>
  <si>
    <t>Grade 3</t>
  </si>
  <si>
    <t>&gt; 0.125</t>
  </si>
  <si>
    <t>&lt;5</t>
  </si>
  <si>
    <t>&lt; 5</t>
  </si>
  <si>
    <t xml:space="preserve">&lt; 5 </t>
  </si>
  <si>
    <t>External</t>
  </si>
  <si>
    <t>0, +2.5 , +5</t>
  </si>
  <si>
    <t>≥ 31</t>
  </si>
  <si>
    <t>Base</t>
  </si>
  <si>
    <t>Draw lead</t>
  </si>
  <si>
    <t>M12</t>
  </si>
  <si>
    <t>Yes</t>
  </si>
  <si>
    <t>Distribution</t>
  </si>
  <si>
    <t>3,0 to 4,5</t>
  </si>
  <si>
    <t>xxxxxxxxxx</t>
  </si>
  <si>
    <t xml:space="preserve">≤ 48 </t>
  </si>
  <si>
    <t>Steel or Amporphous</t>
  </si>
  <si>
    <t>Sealed</t>
  </si>
  <si>
    <t xml:space="preserve">≤ 1 080 </t>
  </si>
  <si>
    <t xml:space="preserve">≤ 1 500 </t>
  </si>
  <si>
    <t xml:space="preserve">≤ 900 </t>
  </si>
  <si>
    <t xml:space="preserve">≤ 400 </t>
  </si>
  <si>
    <t xml:space="preserve">≤ 450 </t>
  </si>
  <si>
    <t>No</t>
  </si>
  <si>
    <t>≥ 320</t>
  </si>
  <si>
    <t xml:space="preserve">≤ 120 </t>
  </si>
  <si>
    <t xml:space="preserve">≥ 30 </t>
  </si>
  <si>
    <t>316 Stainless Steel or Mild Steel</t>
  </si>
  <si>
    <t>≥ 30</t>
  </si>
  <si>
    <t xml:space="preserve">M12 x 25 </t>
  </si>
  <si>
    <t>≥ 200</t>
  </si>
  <si>
    <t xml:space="preserve">≥ 400 </t>
  </si>
  <si>
    <t>≥ 150</t>
  </si>
  <si>
    <t>Avocado</t>
  </si>
  <si>
    <t>Azure Blue</t>
  </si>
  <si>
    <t>Report Numbers</t>
  </si>
  <si>
    <t>±242</t>
  </si>
  <si>
    <t>2ph</t>
  </si>
  <si>
    <t>Switch</t>
  </si>
  <si>
    <t>0, ±2.5, ±5</t>
  </si>
  <si>
    <t>Deviation schedule</t>
  </si>
  <si>
    <t xml:space="preserve">Specification: DSP 240-45395762 Rev.4  Enquiry no.: </t>
  </si>
  <si>
    <t xml:space="preserve">SAP No.: </t>
  </si>
  <si>
    <t xml:space="preserve"> BIDDER TO STATE SAP NUMBER</t>
  </si>
  <si>
    <t>Any deviations offered to this specification shall be listed below with reasons for deviation.  In addition, evidence shall be provided that the proposed deviation will at least be more cost-effective that that specified by Eskom.</t>
  </si>
  <si>
    <t>Item</t>
  </si>
  <si>
    <t>Clause</t>
  </si>
  <si>
    <t>Description of Deviation</t>
  </si>
  <si>
    <t>SUPPLIER SIGNATURES</t>
  </si>
  <si>
    <t xml:space="preserve">         </t>
  </si>
  <si>
    <t>Name (Print)</t>
  </si>
  <si>
    <t>Company Name</t>
  </si>
  <si>
    <t>Sign</t>
  </si>
  <si>
    <t>Date</t>
  </si>
  <si>
    <t>Specification: DSP 240-45395762 Rev.4</t>
  </si>
  <si>
    <t>TECHNICAL SCHEDULES A &amp; B FOR 
POLE-MOUNTED  DISTRIBUTION TRANSFORMERS</t>
  </si>
  <si>
    <t>* 19 kV (phase to ground)</t>
  </si>
  <si>
    <t>Deviations from the specific requirements stated in Schedule A must be recorded and explained in the Deviation Schedule</t>
  </si>
  <si>
    <t>Schedule A:  Purchaser's specific requirements</t>
  </si>
  <si>
    <t>Schedule B:  Guarantees and technical particulars of equipment offered</t>
  </si>
  <si>
    <t>Sub-clause of 240- 45395762</t>
  </si>
  <si>
    <t>Schedule A</t>
  </si>
  <si>
    <t>Schedule B</t>
  </si>
  <si>
    <t>Are the transformers covered by the SANS 780 certification mark?</t>
  </si>
  <si>
    <t>State SANS 780 permit number</t>
  </si>
  <si>
    <t>kVA</t>
  </si>
  <si>
    <t>kV</t>
  </si>
  <si>
    <t>V</t>
  </si>
  <si>
    <t>Hz</t>
  </si>
  <si>
    <t>3.2.5</t>
  </si>
  <si>
    <t>3.2.8</t>
  </si>
  <si>
    <t>mm</t>
  </si>
  <si>
    <t>Inter-turn winding insulation stress shall not exceed 5 kV/mm</t>
  </si>
  <si>
    <t>kV/mm</t>
  </si>
  <si>
    <t>3.2.9</t>
  </si>
  <si>
    <t>3.2.10</t>
  </si>
  <si>
    <t>%</t>
  </si>
  <si>
    <t>3.2.11</t>
  </si>
  <si>
    <t>mm/kV</t>
  </si>
  <si>
    <t>3.2.14</t>
  </si>
  <si>
    <t>R/kW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</si>
  <si>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(Steel Core)</t>
    </r>
  </si>
  <si>
    <t>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</si>
  <si>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(only if Amorphous Core is offered)</t>
    </r>
  </si>
  <si>
    <r>
      <t>Guaranteed load losses, P</t>
    </r>
    <r>
      <rPr>
        <vertAlign val="subscript"/>
        <sz val="12"/>
        <color indexed="8"/>
        <rFont val="Arial"/>
        <family val="2"/>
      </rPr>
      <t>LL</t>
    </r>
  </si>
  <si>
    <r>
      <rPr>
        <b/>
        <sz val="12"/>
        <color rgb="FF000000"/>
        <rFont val="Arial"/>
      </rPr>
      <t xml:space="preserve">Audio-sound level </t>
    </r>
    <r>
      <rPr>
        <sz val="12"/>
        <color rgb="FF000000"/>
        <rFont val="Arial"/>
      </rPr>
      <t>(SANS 780)</t>
    </r>
  </si>
  <si>
    <t>db(A)</t>
  </si>
  <si>
    <t>3.3.2</t>
  </si>
  <si>
    <t>3.3.3</t>
  </si>
  <si>
    <t>Figure 12</t>
  </si>
  <si>
    <t>kg</t>
  </si>
  <si>
    <t>l</t>
  </si>
  <si>
    <t>3.3.4</t>
  </si>
  <si>
    <t>17.2.1</t>
  </si>
  <si>
    <t>17.2.2</t>
  </si>
  <si>
    <t>17.2.3</t>
  </si>
  <si>
    <t>17.2.4</t>
  </si>
  <si>
    <t>Figure 13</t>
  </si>
  <si>
    <t>3.3.5</t>
  </si>
  <si>
    <t>Figure14</t>
  </si>
  <si>
    <t>3.3.6</t>
  </si>
  <si>
    <t>3.3.7</t>
  </si>
  <si>
    <t>3.3.8</t>
  </si>
  <si>
    <t>Figure 16</t>
  </si>
  <si>
    <r>
      <t xml:space="preserve">All Type Tests in Accordance with SANS 780:
</t>
    </r>
    <r>
      <rPr>
        <sz val="12"/>
        <color theme="1"/>
        <rFont val="Arial"/>
        <family val="2"/>
      </rPr>
      <t>• Temperature rise test 
• Dielectric type test
• Tank stiffness test 
• Corrugated tank fatigue test
• Equivalent disturbing current test (This test is only applicable to SWER transformers)
• Short Circuit Withstand Test
• Natural ageing and pollution performance test</t>
    </r>
  </si>
  <si>
    <r>
      <t xml:space="preserve">All Routine Tests in Accordance with SANS 780:
</t>
    </r>
    <r>
      <rPr>
        <sz val="12"/>
        <color theme="1"/>
        <rFont val="Arial"/>
        <family val="2"/>
      </rPr>
      <t xml:space="preserve">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
• Reactance (%)
• Dielectric routine tests
• Vector group test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</si>
</sst>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3"/>
      <name val="Arial"/>
      <family val="2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</font>
    <font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4">
    <xf numFmtId="0" fontId="0" fillId="0" borderId="0" xfId="0"/>
    <xf numFmtId="0" fontId="1" fillId="2" borderId="0" xfId="0" applyFont="1" applyFill="1"/>
    <xf numFmtId="0" fontId="3" fillId="0" borderId="11" xfId="0" applyFont="1" applyBorder="1" applyAlignment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right"/>
    </xf>
    <xf numFmtId="0" fontId="7" fillId="0" borderId="24" xfId="0" applyFont="1" applyBorder="1"/>
    <xf numFmtId="0" fontId="0" fillId="0" borderId="24" xfId="0" applyBorder="1"/>
    <xf numFmtId="0" fontId="0" fillId="3" borderId="0" xfId="0" applyFill="1"/>
    <xf numFmtId="0" fontId="0" fillId="7" borderId="0" xfId="0" applyFill="1" applyAlignment="1">
      <alignment horizontal="right"/>
    </xf>
    <xf numFmtId="0" fontId="6" fillId="0" borderId="0" xfId="0" applyFont="1" applyAlignment="1">
      <alignment horizontal="center"/>
    </xf>
    <xf numFmtId="0" fontId="13" fillId="0" borderId="4" xfId="1" applyFont="1" applyBorder="1" applyAlignment="1">
      <alignment horizontal="center" vertical="top" wrapText="1"/>
    </xf>
    <xf numFmtId="0" fontId="5" fillId="8" borderId="14" xfId="1" applyFill="1" applyBorder="1" applyProtection="1">
      <protection locked="0"/>
    </xf>
    <xf numFmtId="0" fontId="5" fillId="8" borderId="11" xfId="1" applyFill="1" applyBorder="1" applyProtection="1">
      <protection locked="0"/>
    </xf>
    <xf numFmtId="0" fontId="5" fillId="8" borderId="21" xfId="1" applyFill="1" applyBorder="1" applyProtection="1">
      <protection locked="0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right" vertical="top"/>
    </xf>
    <xf numFmtId="0" fontId="14" fillId="0" borderId="0" xfId="1" applyFont="1" applyAlignment="1">
      <alignment horizontal="center" vertical="top"/>
    </xf>
    <xf numFmtId="0" fontId="5" fillId="0" borderId="0" xfId="1" applyAlignment="1">
      <alignment vertical="top" wrapText="1"/>
    </xf>
    <xf numFmtId="0" fontId="5" fillId="0" borderId="0" xfId="1" applyAlignment="1">
      <alignment horizontal="right" vertical="top" wrapText="1"/>
    </xf>
    <xf numFmtId="0" fontId="5" fillId="0" borderId="0" xfId="1" applyAlignment="1">
      <alignment horizontal="center" vertical="top" wrapText="1"/>
    </xf>
    <xf numFmtId="0" fontId="14" fillId="0" borderId="0" xfId="1" applyFont="1" applyAlignment="1">
      <alignment vertical="top" wrapText="1"/>
    </xf>
    <xf numFmtId="0" fontId="0" fillId="0" borderId="0" xfId="0" applyAlignment="1">
      <alignment horizontal="center"/>
    </xf>
    <xf numFmtId="0" fontId="13" fillId="0" borderId="0" xfId="1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2" borderId="32" xfId="0" applyFill="1" applyBorder="1"/>
    <xf numFmtId="0" fontId="0" fillId="2" borderId="33" xfId="0" applyFill="1" applyBorder="1"/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/>
    <xf numFmtId="0" fontId="0" fillId="2" borderId="35" xfId="0" applyFill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36" xfId="0" applyFill="1" applyBorder="1"/>
    <xf numFmtId="0" fontId="7" fillId="2" borderId="35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3" borderId="0" xfId="0" applyFont="1" applyFill="1" applyAlignment="1" applyProtection="1">
      <alignment horizontal="center"/>
      <protection locked="0"/>
    </xf>
    <xf numFmtId="0" fontId="1" fillId="2" borderId="35" xfId="0" applyFont="1" applyFill="1" applyBorder="1"/>
    <xf numFmtId="0" fontId="1" fillId="2" borderId="3" xfId="0" applyFont="1" applyFill="1" applyBorder="1"/>
    <xf numFmtId="0" fontId="16" fillId="2" borderId="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4" borderId="2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6" fillId="0" borderId="0" xfId="0" applyFont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3" fontId="0" fillId="0" borderId="0" xfId="0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24" xfId="0" applyFont="1" applyBorder="1" applyAlignment="1">
      <alignment horizontal="center"/>
    </xf>
    <xf numFmtId="0" fontId="14" fillId="0" borderId="0" xfId="1" applyFont="1" applyAlignment="1">
      <alignment horizontal="center" vertical="top"/>
    </xf>
    <xf numFmtId="0" fontId="13" fillId="0" borderId="31" xfId="1" applyFont="1" applyBorder="1" applyAlignment="1">
      <alignment horizontal="center" vertical="top" wrapText="1"/>
    </xf>
    <xf numFmtId="0" fontId="5" fillId="8" borderId="29" xfId="1" applyFill="1" applyBorder="1" applyAlignment="1" applyProtection="1">
      <alignment horizontal="center"/>
      <protection locked="0"/>
    </xf>
    <xf numFmtId="0" fontId="5" fillId="8" borderId="30" xfId="1" applyFill="1" applyBorder="1" applyAlignment="1" applyProtection="1">
      <alignment horizontal="center"/>
      <protection locked="0"/>
    </xf>
    <xf numFmtId="0" fontId="5" fillId="8" borderId="27" xfId="1" applyFill="1" applyBorder="1" applyAlignment="1" applyProtection="1">
      <alignment horizontal="center"/>
      <protection locked="0"/>
    </xf>
    <xf numFmtId="0" fontId="5" fillId="8" borderId="28" xfId="1" applyFill="1" applyBorder="1" applyAlignment="1" applyProtection="1">
      <alignment horizontal="center"/>
      <protection locked="0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 vertical="top" wrapText="1"/>
    </xf>
    <xf numFmtId="0" fontId="11" fillId="0" borderId="3" xfId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5" fillId="0" borderId="1" xfId="1" applyBorder="1" applyAlignment="1">
      <alignment horizontal="center" vertical="top" wrapText="1"/>
    </xf>
    <xf numFmtId="0" fontId="5" fillId="0" borderId="5" xfId="1" applyBorder="1" applyAlignment="1">
      <alignment horizontal="center" vertical="top" wrapText="1"/>
    </xf>
    <xf numFmtId="0" fontId="5" fillId="0" borderId="2" xfId="1" applyBorder="1" applyAlignment="1">
      <alignment horizontal="center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5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0" fontId="5" fillId="8" borderId="25" xfId="1" applyFill="1" applyBorder="1" applyAlignment="1" applyProtection="1">
      <alignment horizontal="center"/>
      <protection locked="0"/>
    </xf>
    <xf numFmtId="0" fontId="5" fillId="8" borderId="26" xfId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0" fillId="2" borderId="36" xfId="0" applyFill="1" applyBorder="1" applyAlignment="1">
      <alignment horizontal="left"/>
    </xf>
    <xf numFmtId="0" fontId="15" fillId="2" borderId="0" xfId="0" applyFont="1" applyFill="1" applyAlignment="1">
      <alignment horizontal="center" wrapText="1"/>
    </xf>
    <xf numFmtId="0" fontId="15" fillId="2" borderId="36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38" xfId="0" applyFont="1" applyFill="1" applyBorder="1" applyAlignment="1">
      <alignment horizontal="center" wrapText="1"/>
    </xf>
    <xf numFmtId="0" fontId="1" fillId="2" borderId="3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0" fillId="0" borderId="12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AD171A4D-80A3-44AE-B975-0D8A7F8A4375}"/>
  </cellStyles>
  <dxfs count="4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</xdr:row>
      <xdr:rowOff>123825</xdr:rowOff>
    </xdr:from>
    <xdr:to>
      <xdr:col>8</xdr:col>
      <xdr:colOff>9525</xdr:colOff>
      <xdr:row>2</xdr:row>
      <xdr:rowOff>123825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A165420-AFFA-45A9-BFF7-C53E65DCE75A}"/>
            </a:ext>
          </a:extLst>
        </xdr:cNvPr>
        <xdr:cNvCxnSpPr/>
      </xdr:nvCxnSpPr>
      <xdr:spPr>
        <a:xfrm flipH="1">
          <a:off x="7541895" y="558165"/>
          <a:ext cx="880110" cy="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36738</xdr:colOff>
      <xdr:row>1</xdr:row>
      <xdr:rowOff>40822</xdr:rowOff>
    </xdr:from>
    <xdr:to>
      <xdr:col>3</xdr:col>
      <xdr:colOff>46263</xdr:colOff>
      <xdr:row>4</xdr:row>
      <xdr:rowOff>149679</xdr:rowOff>
    </xdr:to>
    <xdr:pic>
      <xdr:nvPicPr>
        <xdr:cNvPr id="3" name="Picture 2" descr="Description: eskom logo">
          <a:extLst>
            <a:ext uri="{FF2B5EF4-FFF2-40B4-BE49-F238E27FC236}">
              <a16:creationId xmlns:a16="http://schemas.microsoft.com/office/drawing/2014/main" id="{C273D095-F452-42CB-83D7-4CE84320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338" y="236765"/>
          <a:ext cx="1762125" cy="664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108856</xdr:colOff>
      <xdr:row>1</xdr:row>
      <xdr:rowOff>89808</xdr:rowOff>
    </xdr:from>
    <xdr:to>
      <xdr:col>3</xdr:col>
      <xdr:colOff>118381</xdr:colOff>
      <xdr:row>5</xdr:row>
      <xdr:rowOff>13608</xdr:rowOff>
    </xdr:to>
    <xdr:pic>
      <xdr:nvPicPr>
        <xdr:cNvPr id="3" name="Picture 2" descr="Description: eskom logo">
          <a:extLst>
            <a:ext uri="{FF2B5EF4-FFF2-40B4-BE49-F238E27FC236}">
              <a16:creationId xmlns:a16="http://schemas.microsoft.com/office/drawing/2014/main" id="{B7DBD70E-D456-4572-B52F-89CE71D2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6" y="285751"/>
          <a:ext cx="1762125" cy="664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130629</xdr:colOff>
      <xdr:row>1</xdr:row>
      <xdr:rowOff>27215</xdr:rowOff>
    </xdr:from>
    <xdr:to>
      <xdr:col>3</xdr:col>
      <xdr:colOff>140154</xdr:colOff>
      <xdr:row>4</xdr:row>
      <xdr:rowOff>136072</xdr:rowOff>
    </xdr:to>
    <xdr:pic>
      <xdr:nvPicPr>
        <xdr:cNvPr id="3" name="Picture 2" descr="Description: eskom logo">
          <a:extLst>
            <a:ext uri="{FF2B5EF4-FFF2-40B4-BE49-F238E27FC236}">
              <a16:creationId xmlns:a16="http://schemas.microsoft.com/office/drawing/2014/main" id="{8B74FFFE-C9F5-42D1-A07F-DC4067FF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229" y="223158"/>
          <a:ext cx="1762125" cy="664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CF5D-9B4F-423B-8C3D-3680720A2FDC}">
  <sheetPr>
    <tabColor rgb="FFFF0000"/>
  </sheetPr>
  <dimension ref="A1:C21"/>
  <sheetViews>
    <sheetView zoomScaleNormal="100" workbookViewId="0">
      <selection activeCell="B14" sqref="B14"/>
    </sheetView>
  </sheetViews>
  <sheetFormatPr defaultRowHeight="14.45"/>
  <cols>
    <col min="1" max="1" width="11" bestFit="1" customWidth="1"/>
    <col min="2" max="2" width="38.7109375" bestFit="1" customWidth="1"/>
    <col min="3" max="3" width="68.7109375" customWidth="1"/>
  </cols>
  <sheetData>
    <row r="1" spans="1:3">
      <c r="A1" s="84" t="s">
        <v>0</v>
      </c>
      <c r="B1" s="84"/>
      <c r="C1" s="84"/>
    </row>
    <row r="2" spans="1:3">
      <c r="A2" s="4">
        <v>1</v>
      </c>
      <c r="B2" t="s">
        <v>1</v>
      </c>
    </row>
    <row r="3" spans="1:3">
      <c r="A3" s="4">
        <v>1.1000000000000001</v>
      </c>
      <c r="B3" t="s">
        <v>2</v>
      </c>
    </row>
    <row r="4" spans="1:3">
      <c r="A4" s="4">
        <v>2</v>
      </c>
      <c r="B4" t="s">
        <v>3</v>
      </c>
    </row>
    <row r="5" spans="1:3">
      <c r="A5" s="4">
        <v>3</v>
      </c>
      <c r="B5" t="s">
        <v>4</v>
      </c>
    </row>
    <row r="6" spans="1:3">
      <c r="A6" s="4">
        <v>4</v>
      </c>
      <c r="B6" t="s">
        <v>5</v>
      </c>
    </row>
    <row r="7" spans="1:3">
      <c r="A7" s="4">
        <v>5</v>
      </c>
      <c r="B7" t="s">
        <v>6</v>
      </c>
    </row>
    <row r="8" spans="1:3">
      <c r="A8" s="4">
        <v>6</v>
      </c>
      <c r="B8" t="s">
        <v>7</v>
      </c>
    </row>
    <row r="10" spans="1:3">
      <c r="A10" s="84" t="s">
        <v>8</v>
      </c>
      <c r="B10" s="84"/>
      <c r="C10" s="84"/>
    </row>
    <row r="11" spans="1:3">
      <c r="B11" t="s">
        <v>9</v>
      </c>
    </row>
    <row r="13" spans="1:3" ht="14.45" customHeight="1">
      <c r="A13" s="85" t="s">
        <v>10</v>
      </c>
      <c r="B13" s="85"/>
      <c r="C13" s="85"/>
    </row>
    <row r="14" spans="1:3">
      <c r="A14" s="5" t="s">
        <v>11</v>
      </c>
      <c r="B14" t="s">
        <v>12</v>
      </c>
    </row>
    <row r="17" spans="1:3">
      <c r="A17" s="86" t="s">
        <v>13</v>
      </c>
      <c r="B17" s="86"/>
      <c r="C17" s="86"/>
    </row>
    <row r="18" spans="1:3">
      <c r="A18" s="6" t="s">
        <v>14</v>
      </c>
      <c r="B18" s="6" t="s">
        <v>15</v>
      </c>
      <c r="C18" s="6" t="s">
        <v>16</v>
      </c>
    </row>
    <row r="19" spans="1:3">
      <c r="A19" s="7" t="s">
        <v>17</v>
      </c>
      <c r="B19" s="7" t="s">
        <v>18</v>
      </c>
      <c r="C19" s="7" t="s">
        <v>19</v>
      </c>
    </row>
    <row r="20" spans="1:3">
      <c r="A20" s="7" t="s">
        <v>20</v>
      </c>
      <c r="B20" s="7" t="s">
        <v>21</v>
      </c>
      <c r="C20" s="7" t="s">
        <v>22</v>
      </c>
    </row>
    <row r="21" spans="1:3">
      <c r="A21" s="7" t="s">
        <v>23</v>
      </c>
      <c r="B21" s="7" t="s">
        <v>24</v>
      </c>
      <c r="C21" s="7" t="s">
        <v>25</v>
      </c>
    </row>
  </sheetData>
  <mergeCells count="4">
    <mergeCell ref="A1:C1"/>
    <mergeCell ref="A10:C10"/>
    <mergeCell ref="A13:C13"/>
    <mergeCell ref="A17:C17"/>
  </mergeCells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8D13-D929-4CA3-A5CC-90620811BE5F}">
  <sheetPr>
    <tabColor rgb="FFFF0000"/>
  </sheetPr>
  <dimension ref="A1:EL5"/>
  <sheetViews>
    <sheetView zoomScaleNormal="100" workbookViewId="0">
      <pane xSplit="1" ySplit="1" topLeftCell="B2" activePane="bottomRight" state="frozen"/>
      <selection pane="bottomRight" activeCell="EL2" sqref="EL2"/>
      <selection pane="bottomLeft" activeCell="A2" sqref="A2"/>
      <selection pane="topRight" activeCell="B1" sqref="B1"/>
    </sheetView>
  </sheetViews>
  <sheetFormatPr defaultRowHeight="14.45"/>
  <cols>
    <col min="1" max="1" width="59.5703125" customWidth="1"/>
    <col min="2" max="2" width="13.140625" bestFit="1" customWidth="1"/>
    <col min="3" max="3" width="21.42578125" bestFit="1" customWidth="1"/>
    <col min="4" max="4" width="16.42578125" bestFit="1" customWidth="1"/>
    <col min="5" max="5" width="17.140625" customWidth="1"/>
    <col min="6" max="6" width="35.140625" bestFit="1" customWidth="1"/>
    <col min="7" max="7" width="56.85546875" bestFit="1" customWidth="1"/>
    <col min="8" max="8" width="28.28515625" bestFit="1" customWidth="1"/>
    <col min="9" max="9" width="28.28515625" customWidth="1"/>
    <col min="10" max="10" width="7.42578125" bestFit="1" customWidth="1"/>
    <col min="11" max="11" width="12.28515625" bestFit="1" customWidth="1"/>
    <col min="12" max="12" width="20.7109375" bestFit="1" customWidth="1"/>
    <col min="13" max="13" width="30.5703125" style="5" bestFit="1" customWidth="1"/>
    <col min="14" max="14" width="10.28515625" bestFit="1" customWidth="1"/>
    <col min="15" max="15" width="17.42578125" bestFit="1" customWidth="1"/>
    <col min="16" max="16" width="14.28515625" bestFit="1" customWidth="1"/>
    <col min="17" max="17" width="15.7109375" bestFit="1" customWidth="1"/>
    <col min="18" max="18" width="12" bestFit="1" customWidth="1"/>
    <col min="19" max="19" width="14.42578125" bestFit="1" customWidth="1"/>
    <col min="20" max="20" width="41.85546875" bestFit="1" customWidth="1"/>
    <col min="21" max="21" width="44.5703125" bestFit="1" customWidth="1"/>
    <col min="22" max="22" width="27.140625" bestFit="1" customWidth="1"/>
    <col min="23" max="23" width="22" bestFit="1" customWidth="1"/>
    <col min="24" max="24" width="26.28515625" bestFit="1" customWidth="1"/>
    <col min="25" max="25" width="28.140625" bestFit="1" customWidth="1"/>
    <col min="26" max="26" width="23.7109375" bestFit="1" customWidth="1"/>
    <col min="27" max="27" width="24.5703125" bestFit="1" customWidth="1"/>
    <col min="28" max="28" width="30.28515625" customWidth="1"/>
    <col min="29" max="30" width="24.5703125" customWidth="1"/>
    <col min="31" max="31" width="19.28515625" bestFit="1" customWidth="1"/>
    <col min="32" max="32" width="47.7109375" bestFit="1" customWidth="1"/>
    <col min="33" max="33" width="43.42578125" bestFit="1" customWidth="1"/>
    <col min="34" max="35" width="12" bestFit="1" customWidth="1"/>
    <col min="36" max="36" width="19.42578125" bestFit="1" customWidth="1"/>
    <col min="37" max="37" width="8.28515625" bestFit="1" customWidth="1"/>
    <col min="38" max="38" width="13.5703125" bestFit="1" customWidth="1"/>
    <col min="39" max="39" width="34" bestFit="1" customWidth="1"/>
    <col min="40" max="40" width="12" bestFit="1" customWidth="1"/>
    <col min="41" max="41" width="12.5703125" bestFit="1" customWidth="1"/>
    <col min="42" max="42" width="22.7109375" bestFit="1" customWidth="1"/>
    <col min="43" max="43" width="24.7109375" bestFit="1" customWidth="1"/>
    <col min="44" max="44" width="9.28515625" bestFit="1" customWidth="1"/>
    <col min="45" max="45" width="9.85546875" bestFit="1" customWidth="1"/>
    <col min="46" max="46" width="14.28515625" bestFit="1" customWidth="1"/>
    <col min="47" max="47" width="35.140625" bestFit="1" customWidth="1"/>
    <col min="48" max="48" width="12" bestFit="1" customWidth="1"/>
    <col min="49" max="49" width="12.5703125" bestFit="1" customWidth="1"/>
    <col min="50" max="50" width="22.7109375" bestFit="1" customWidth="1"/>
    <col min="51" max="51" width="24.7109375" bestFit="1" customWidth="1"/>
    <col min="52" max="52" width="9.28515625" bestFit="1" customWidth="1"/>
    <col min="53" max="53" width="9.85546875" bestFit="1" customWidth="1"/>
    <col min="54" max="54" width="14.28515625" bestFit="1" customWidth="1"/>
    <col min="55" max="55" width="11.42578125" bestFit="1" customWidth="1"/>
    <col min="56" max="56" width="12" bestFit="1" customWidth="1"/>
    <col min="57" max="57" width="12.5703125" bestFit="1" customWidth="1"/>
    <col min="58" max="58" width="22.7109375" bestFit="1" customWidth="1"/>
    <col min="59" max="59" width="14.28515625" bestFit="1" customWidth="1"/>
    <col min="60" max="60" width="17.7109375" bestFit="1" customWidth="1"/>
    <col min="61" max="61" width="86" bestFit="1" customWidth="1"/>
    <col min="62" max="62" width="6.7109375" bestFit="1" customWidth="1"/>
    <col min="63" max="63" width="31.7109375" bestFit="1" customWidth="1"/>
    <col min="64" max="64" width="24.140625" bestFit="1" customWidth="1"/>
    <col min="65" max="65" width="19.140625" bestFit="1" customWidth="1"/>
    <col min="66" max="66" width="29.7109375" bestFit="1" customWidth="1"/>
    <col min="67" max="67" width="26" bestFit="1" customWidth="1"/>
    <col min="68" max="68" width="28.42578125" bestFit="1" customWidth="1"/>
    <col min="69" max="69" width="29" bestFit="1" customWidth="1"/>
    <col min="70" max="70" width="11" bestFit="1" customWidth="1"/>
    <col min="71" max="71" width="41.140625" bestFit="1" customWidth="1"/>
    <col min="72" max="72" width="45.28515625" bestFit="1" customWidth="1"/>
    <col min="73" max="73" width="16.140625" bestFit="1" customWidth="1"/>
    <col min="74" max="74" width="21.140625" bestFit="1" customWidth="1"/>
    <col min="75" max="75" width="28.28515625" bestFit="1" customWidth="1"/>
    <col min="76" max="76" width="15.28515625" bestFit="1" customWidth="1"/>
    <col min="77" max="77" width="21.140625" bestFit="1" customWidth="1"/>
    <col min="78" max="78" width="28.28515625" bestFit="1" customWidth="1"/>
    <col min="79" max="79" width="13.140625" bestFit="1" customWidth="1"/>
    <col min="80" max="80" width="18.140625" bestFit="1" customWidth="1"/>
    <col min="81" max="81" width="12" bestFit="1" customWidth="1"/>
    <col min="82" max="82" width="32" bestFit="1" customWidth="1"/>
    <col min="83" max="83" width="12" bestFit="1" customWidth="1"/>
    <col min="84" max="84" width="18.7109375" bestFit="1" customWidth="1"/>
    <col min="85" max="85" width="16.7109375" bestFit="1" customWidth="1"/>
    <col min="86" max="86" width="27.140625" bestFit="1" customWidth="1"/>
    <col min="87" max="87" width="23" bestFit="1" customWidth="1"/>
    <col min="88" max="88" width="27.28515625" bestFit="1" customWidth="1"/>
    <col min="89" max="90" width="7.28515625" bestFit="1" customWidth="1"/>
    <col min="91" max="91" width="6.85546875" bestFit="1" customWidth="1"/>
    <col min="92" max="92" width="12" bestFit="1" customWidth="1"/>
    <col min="93" max="93" width="34.7109375" customWidth="1"/>
    <col min="94" max="94" width="12" customWidth="1"/>
    <col min="95" max="95" width="21.42578125" bestFit="1" customWidth="1"/>
    <col min="96" max="96" width="47.42578125" bestFit="1" customWidth="1"/>
    <col min="97" max="97" width="24.85546875" bestFit="1" customWidth="1"/>
    <col min="98" max="98" width="40.85546875" bestFit="1" customWidth="1"/>
    <col min="99" max="99" width="41.7109375" bestFit="1" customWidth="1"/>
    <col min="100" max="100" width="53" bestFit="1" customWidth="1"/>
    <col min="101" max="101" width="14" bestFit="1" customWidth="1"/>
    <col min="102" max="102" width="13.28515625" bestFit="1" customWidth="1"/>
    <col min="103" max="103" width="14" bestFit="1" customWidth="1"/>
    <col min="104" max="104" width="23" bestFit="1" customWidth="1"/>
    <col min="105" max="105" width="21.42578125" bestFit="1" customWidth="1"/>
    <col min="106" max="106" width="22.5703125" bestFit="1" customWidth="1"/>
    <col min="107" max="107" width="31" bestFit="1" customWidth="1"/>
    <col min="108" max="108" width="4.140625" bestFit="1" customWidth="1"/>
    <col min="109" max="109" width="20" bestFit="1" customWidth="1"/>
    <col min="110" max="110" width="5.42578125" bestFit="1" customWidth="1"/>
    <col min="111" max="111" width="5.85546875" bestFit="1" customWidth="1"/>
    <col min="112" max="112" width="23" bestFit="1" customWidth="1"/>
    <col min="113" max="113" width="10.5703125" bestFit="1" customWidth="1"/>
    <col min="114" max="114" width="30.5703125" bestFit="1" customWidth="1"/>
    <col min="115" max="115" width="13.85546875" bestFit="1" customWidth="1"/>
    <col min="116" max="116" width="17.42578125" bestFit="1" customWidth="1"/>
    <col min="117" max="117" width="13.85546875" bestFit="1" customWidth="1"/>
    <col min="118" max="118" width="10.7109375" bestFit="1" customWidth="1"/>
    <col min="119" max="119" width="17.5703125" bestFit="1" customWidth="1"/>
    <col min="120" max="120" width="20.42578125" bestFit="1" customWidth="1"/>
    <col min="121" max="121" width="37.42578125" bestFit="1" customWidth="1"/>
    <col min="122" max="122" width="21.7109375" bestFit="1" customWidth="1"/>
    <col min="123" max="123" width="40.7109375" bestFit="1" customWidth="1"/>
    <col min="124" max="124" width="23" bestFit="1" customWidth="1"/>
    <col min="125" max="125" width="23.85546875" bestFit="1" customWidth="1"/>
    <col min="126" max="127" width="23.5703125" bestFit="1" customWidth="1"/>
    <col min="128" max="133" width="3.42578125" customWidth="1"/>
    <col min="134" max="134" width="42.140625" bestFit="1" customWidth="1"/>
    <col min="135" max="135" width="139.85546875" bestFit="1" customWidth="1"/>
    <col min="136" max="137" width="12" bestFit="1" customWidth="1"/>
    <col min="138" max="138" width="28.42578125" bestFit="1" customWidth="1"/>
    <col min="139" max="139" width="18" bestFit="1" customWidth="1"/>
    <col min="140" max="140" width="69.7109375" bestFit="1" customWidth="1"/>
    <col min="141" max="141" width="42.7109375" bestFit="1" customWidth="1"/>
    <col min="142" max="142" width="44.28515625" bestFit="1" customWidth="1"/>
  </cols>
  <sheetData>
    <row r="1" spans="1:142" s="77" customFormat="1">
      <c r="A1" s="77" t="s">
        <v>26</v>
      </c>
      <c r="B1" s="77" t="s">
        <v>27</v>
      </c>
      <c r="C1" s="77" t="s">
        <v>28</v>
      </c>
      <c r="D1" s="77" t="s">
        <v>29</v>
      </c>
      <c r="E1" s="78" t="s">
        <v>30</v>
      </c>
      <c r="F1" s="77" t="s">
        <v>31</v>
      </c>
      <c r="G1" s="77" t="s">
        <v>32</v>
      </c>
      <c r="H1" s="77" t="s">
        <v>33</v>
      </c>
      <c r="I1" s="77" t="s">
        <v>34</v>
      </c>
      <c r="J1" s="77" t="s">
        <v>35</v>
      </c>
      <c r="K1" s="77" t="s">
        <v>36</v>
      </c>
      <c r="L1" s="77" t="s">
        <v>37</v>
      </c>
      <c r="M1" s="77" t="s">
        <v>38</v>
      </c>
      <c r="N1" s="77" t="s">
        <v>39</v>
      </c>
      <c r="O1" s="77" t="s">
        <v>40</v>
      </c>
      <c r="P1" s="77" t="s">
        <v>41</v>
      </c>
      <c r="Q1" s="77" t="s">
        <v>42</v>
      </c>
      <c r="R1" s="77" t="s">
        <v>43</v>
      </c>
      <c r="S1" s="77" t="s">
        <v>44</v>
      </c>
      <c r="T1" s="77" t="s">
        <v>45</v>
      </c>
      <c r="U1" s="77" t="s">
        <v>46</v>
      </c>
      <c r="V1" s="77" t="s">
        <v>47</v>
      </c>
      <c r="W1" s="77" t="s">
        <v>48</v>
      </c>
      <c r="X1" s="77" t="s">
        <v>49</v>
      </c>
      <c r="Y1" s="77" t="s">
        <v>50</v>
      </c>
      <c r="Z1" s="77" t="s">
        <v>51</v>
      </c>
      <c r="AA1" s="77" t="s">
        <v>52</v>
      </c>
      <c r="AB1" s="79" t="s">
        <v>53</v>
      </c>
      <c r="AC1" s="79" t="s">
        <v>54</v>
      </c>
      <c r="AD1" s="79" t="s">
        <v>55</v>
      </c>
      <c r="AE1" s="77" t="s">
        <v>56</v>
      </c>
      <c r="AF1" s="77" t="s">
        <v>57</v>
      </c>
      <c r="AG1" s="77" t="s">
        <v>58</v>
      </c>
      <c r="AH1" s="77" t="s">
        <v>59</v>
      </c>
      <c r="AI1" s="77" t="s">
        <v>60</v>
      </c>
      <c r="AJ1" s="77" t="s">
        <v>61</v>
      </c>
      <c r="AK1" s="77" t="s">
        <v>62</v>
      </c>
      <c r="AL1" s="77" t="s">
        <v>63</v>
      </c>
      <c r="AM1" s="78" t="s">
        <v>64</v>
      </c>
      <c r="AN1" s="78" t="s">
        <v>65</v>
      </c>
      <c r="AO1" s="78" t="s">
        <v>66</v>
      </c>
      <c r="AP1" s="78" t="s">
        <v>67</v>
      </c>
      <c r="AQ1" s="78" t="s">
        <v>68</v>
      </c>
      <c r="AR1" s="78" t="s">
        <v>69</v>
      </c>
      <c r="AS1" s="78" t="s">
        <v>70</v>
      </c>
      <c r="AT1" s="78" t="s">
        <v>71</v>
      </c>
      <c r="AU1" s="77" t="s">
        <v>72</v>
      </c>
      <c r="AV1" s="77" t="s">
        <v>65</v>
      </c>
      <c r="AW1" s="77" t="s">
        <v>66</v>
      </c>
      <c r="AX1" s="77" t="s">
        <v>67</v>
      </c>
      <c r="AY1" s="77" t="s">
        <v>68</v>
      </c>
      <c r="AZ1" s="77" t="s">
        <v>69</v>
      </c>
      <c r="BA1" s="77" t="s">
        <v>70</v>
      </c>
      <c r="BB1" s="77" t="s">
        <v>71</v>
      </c>
      <c r="BC1" s="77" t="s">
        <v>73</v>
      </c>
      <c r="BD1" s="77" t="s">
        <v>65</v>
      </c>
      <c r="BE1" s="77" t="s">
        <v>66</v>
      </c>
      <c r="BF1" s="77" t="s">
        <v>67</v>
      </c>
      <c r="BG1" s="77" t="s">
        <v>71</v>
      </c>
      <c r="BH1" s="77" t="s">
        <v>74</v>
      </c>
      <c r="BI1" s="80" t="s">
        <v>75</v>
      </c>
      <c r="BJ1" s="77" t="s">
        <v>76</v>
      </c>
      <c r="BK1" s="77" t="s">
        <v>77</v>
      </c>
      <c r="BL1" s="77" t="s">
        <v>78</v>
      </c>
      <c r="BM1" s="77" t="s">
        <v>79</v>
      </c>
      <c r="BN1" s="77" t="s">
        <v>80</v>
      </c>
      <c r="BO1" s="77" t="s">
        <v>81</v>
      </c>
      <c r="BP1" s="77" t="s">
        <v>82</v>
      </c>
      <c r="BQ1" s="77" t="s">
        <v>83</v>
      </c>
      <c r="BR1" s="77" t="s">
        <v>84</v>
      </c>
      <c r="BS1" s="77" t="s">
        <v>85</v>
      </c>
      <c r="BT1" s="77" t="s">
        <v>86</v>
      </c>
      <c r="BU1" s="77" t="s">
        <v>87</v>
      </c>
      <c r="BV1" s="77" t="s">
        <v>88</v>
      </c>
      <c r="BW1" s="77" t="s">
        <v>89</v>
      </c>
      <c r="BX1" s="77" t="s">
        <v>90</v>
      </c>
      <c r="BY1" s="77" t="s">
        <v>88</v>
      </c>
      <c r="BZ1" s="77" t="s">
        <v>89</v>
      </c>
      <c r="CA1" s="77" t="s">
        <v>91</v>
      </c>
      <c r="CB1" s="77" t="s">
        <v>92</v>
      </c>
      <c r="CC1" s="77" t="s">
        <v>93</v>
      </c>
      <c r="CD1" s="77" t="s">
        <v>94</v>
      </c>
      <c r="CE1" s="77" t="s">
        <v>95</v>
      </c>
      <c r="CF1" s="77" t="s">
        <v>96</v>
      </c>
      <c r="CG1" s="77" t="s">
        <v>97</v>
      </c>
      <c r="CH1" s="77" t="s">
        <v>98</v>
      </c>
      <c r="CI1" s="77" t="s">
        <v>99</v>
      </c>
      <c r="CJ1" s="77" t="s">
        <v>100</v>
      </c>
      <c r="CK1" s="77" t="s">
        <v>101</v>
      </c>
      <c r="CL1" s="77" t="s">
        <v>102</v>
      </c>
      <c r="CM1" s="77" t="s">
        <v>103</v>
      </c>
      <c r="CN1" s="77" t="s">
        <v>104</v>
      </c>
      <c r="CO1" s="81" t="s">
        <v>105</v>
      </c>
      <c r="CP1" s="81" t="s">
        <v>106</v>
      </c>
      <c r="CQ1" s="77" t="s">
        <v>107</v>
      </c>
      <c r="CR1" s="77" t="s">
        <v>108</v>
      </c>
      <c r="CS1" s="77" t="s">
        <v>109</v>
      </c>
      <c r="CT1" s="77" t="s">
        <v>110</v>
      </c>
      <c r="CU1" s="77" t="s">
        <v>111</v>
      </c>
      <c r="CV1" s="77" t="s">
        <v>112</v>
      </c>
      <c r="CW1" s="77" t="s">
        <v>113</v>
      </c>
      <c r="CX1" s="77" t="s">
        <v>114</v>
      </c>
      <c r="CY1" s="77" t="s">
        <v>115</v>
      </c>
      <c r="CZ1" s="77" t="s">
        <v>116</v>
      </c>
      <c r="DA1" s="77" t="s">
        <v>117</v>
      </c>
      <c r="DB1" s="77" t="s">
        <v>118</v>
      </c>
      <c r="DC1" s="77" t="s">
        <v>119</v>
      </c>
      <c r="DD1" s="77" t="s">
        <v>120</v>
      </c>
      <c r="DE1" s="77" t="s">
        <v>121</v>
      </c>
      <c r="DF1" s="77" t="s">
        <v>122</v>
      </c>
      <c r="DG1" s="77" t="s">
        <v>123</v>
      </c>
      <c r="DH1" s="77" t="s">
        <v>116</v>
      </c>
      <c r="DI1" s="77" t="s">
        <v>124</v>
      </c>
      <c r="DJ1" s="77" t="s">
        <v>125</v>
      </c>
      <c r="DK1" s="77" t="s">
        <v>126</v>
      </c>
      <c r="DL1" s="77" t="s">
        <v>127</v>
      </c>
      <c r="DM1" s="77" t="s">
        <v>128</v>
      </c>
      <c r="DN1" s="77" t="s">
        <v>129</v>
      </c>
      <c r="DO1" s="77" t="s">
        <v>130</v>
      </c>
      <c r="DP1" s="77" t="s">
        <v>131</v>
      </c>
      <c r="DQ1" s="77" t="s">
        <v>132</v>
      </c>
      <c r="DR1" s="77" t="s">
        <v>133</v>
      </c>
      <c r="DS1" s="77" t="s">
        <v>134</v>
      </c>
      <c r="DT1" s="77" t="s">
        <v>116</v>
      </c>
      <c r="DU1" s="77" t="s">
        <v>135</v>
      </c>
      <c r="DV1" s="77" t="s">
        <v>136</v>
      </c>
      <c r="DW1" s="77" t="s">
        <v>137</v>
      </c>
      <c r="DX1" s="78" t="s">
        <v>138</v>
      </c>
      <c r="DY1" s="78" t="s">
        <v>139</v>
      </c>
      <c r="DZ1" s="78" t="s">
        <v>140</v>
      </c>
      <c r="EA1" s="78" t="s">
        <v>141</v>
      </c>
      <c r="EB1" s="78" t="s">
        <v>142</v>
      </c>
      <c r="EC1" s="78" t="s">
        <v>143</v>
      </c>
      <c r="ED1" s="77" t="s">
        <v>144</v>
      </c>
      <c r="EE1" s="77" t="s">
        <v>145</v>
      </c>
      <c r="EF1" s="77" t="s">
        <v>140</v>
      </c>
      <c r="EG1" s="77" t="s">
        <v>141</v>
      </c>
      <c r="EH1" s="77" t="s">
        <v>142</v>
      </c>
      <c r="EI1" s="77" t="s">
        <v>143</v>
      </c>
      <c r="EJ1" s="77" t="s">
        <v>146</v>
      </c>
      <c r="EK1" s="77" t="s">
        <v>147</v>
      </c>
      <c r="EL1" s="82" t="s">
        <v>148</v>
      </c>
    </row>
    <row r="2" spans="1:142">
      <c r="A2" s="7" t="s">
        <v>19</v>
      </c>
      <c r="C2" t="s">
        <v>149</v>
      </c>
      <c r="D2" t="s">
        <v>149</v>
      </c>
      <c r="E2" s="8" t="s">
        <v>149</v>
      </c>
      <c r="F2" t="s">
        <v>149</v>
      </c>
      <c r="G2" t="s">
        <v>149</v>
      </c>
      <c r="H2" t="s">
        <v>149</v>
      </c>
      <c r="I2" t="s">
        <v>150</v>
      </c>
      <c r="K2">
        <v>16</v>
      </c>
      <c r="L2">
        <v>19</v>
      </c>
      <c r="M2" s="5">
        <v>242</v>
      </c>
      <c r="N2">
        <v>50</v>
      </c>
      <c r="O2" t="s">
        <v>151</v>
      </c>
      <c r="P2" t="s">
        <v>152</v>
      </c>
      <c r="R2">
        <v>200</v>
      </c>
      <c r="S2">
        <v>30</v>
      </c>
      <c r="T2">
        <v>70</v>
      </c>
      <c r="U2">
        <v>8</v>
      </c>
      <c r="W2" t="s">
        <v>149</v>
      </c>
      <c r="X2" t="s">
        <v>153</v>
      </c>
      <c r="Y2" t="s">
        <v>154</v>
      </c>
      <c r="Z2" t="s">
        <v>149</v>
      </c>
      <c r="AA2" t="s">
        <v>149</v>
      </c>
      <c r="AB2">
        <v>21</v>
      </c>
      <c r="AC2">
        <v>8</v>
      </c>
      <c r="AD2" t="s">
        <v>155</v>
      </c>
      <c r="AF2" t="s">
        <v>156</v>
      </c>
      <c r="AG2" t="s">
        <v>157</v>
      </c>
      <c r="AH2" t="s">
        <v>149</v>
      </c>
      <c r="AI2" t="s">
        <v>149</v>
      </c>
      <c r="AK2" t="s">
        <v>158</v>
      </c>
      <c r="AL2" t="s">
        <v>159</v>
      </c>
      <c r="AN2" t="s">
        <v>149</v>
      </c>
      <c r="AO2" t="s">
        <v>149</v>
      </c>
      <c r="AP2" t="s">
        <v>149</v>
      </c>
      <c r="AQ2" t="s">
        <v>160</v>
      </c>
      <c r="AR2" t="s">
        <v>161</v>
      </c>
      <c r="AS2" t="s">
        <v>162</v>
      </c>
      <c r="AT2" t="s">
        <v>163</v>
      </c>
      <c r="AV2" t="s">
        <v>149</v>
      </c>
      <c r="AW2" t="s">
        <v>149</v>
      </c>
      <c r="AX2" t="s">
        <v>149</v>
      </c>
      <c r="AY2" t="s">
        <v>160</v>
      </c>
      <c r="AZ2" t="s">
        <v>161</v>
      </c>
      <c r="BA2" t="s">
        <v>162</v>
      </c>
      <c r="BB2" t="s">
        <v>163</v>
      </c>
      <c r="BD2" t="s">
        <v>149</v>
      </c>
      <c r="BE2" t="s">
        <v>149</v>
      </c>
      <c r="BF2" t="s">
        <v>149</v>
      </c>
      <c r="BG2" t="s">
        <v>163</v>
      </c>
      <c r="BH2" t="s">
        <v>164</v>
      </c>
      <c r="BI2" t="s">
        <v>164</v>
      </c>
      <c r="BK2" t="s">
        <v>165</v>
      </c>
      <c r="BL2" s="83">
        <v>80500</v>
      </c>
      <c r="BM2" s="83">
        <v>17500</v>
      </c>
      <c r="BN2" s="9">
        <v>100</v>
      </c>
      <c r="BO2" s="9">
        <v>400</v>
      </c>
      <c r="BQ2" t="s">
        <v>166</v>
      </c>
      <c r="BR2" t="s">
        <v>167</v>
      </c>
      <c r="BT2" t="s">
        <v>168</v>
      </c>
      <c r="BV2" t="s">
        <v>149</v>
      </c>
      <c r="BW2" t="s">
        <v>149</v>
      </c>
      <c r="BY2" t="s">
        <v>149</v>
      </c>
      <c r="BZ2" t="s">
        <v>149</v>
      </c>
      <c r="CB2" t="s">
        <v>169</v>
      </c>
      <c r="CC2" t="s">
        <v>149</v>
      </c>
      <c r="CD2" t="s">
        <v>149</v>
      </c>
      <c r="CE2" t="s">
        <v>149</v>
      </c>
      <c r="CG2" t="s">
        <v>170</v>
      </c>
      <c r="CH2" t="s">
        <v>167</v>
      </c>
      <c r="CJ2" t="s">
        <v>171</v>
      </c>
      <c r="CK2" t="s">
        <v>172</v>
      </c>
      <c r="CL2" t="s">
        <v>172</v>
      </c>
      <c r="CM2" t="s">
        <v>173</v>
      </c>
      <c r="CN2" t="s">
        <v>149</v>
      </c>
      <c r="CO2">
        <f t="shared" ref="CO2:CO4" si="0">2*R2</f>
        <v>400</v>
      </c>
      <c r="CP2">
        <v>100</v>
      </c>
      <c r="CR2" t="s">
        <v>164</v>
      </c>
      <c r="CS2" t="s">
        <v>164</v>
      </c>
      <c r="CT2" t="s">
        <v>164</v>
      </c>
      <c r="CU2" t="s">
        <v>164</v>
      </c>
      <c r="CV2" t="s">
        <v>164</v>
      </c>
      <c r="CW2">
        <v>400</v>
      </c>
      <c r="CX2" t="s">
        <v>174</v>
      </c>
      <c r="CY2" t="s">
        <v>175</v>
      </c>
      <c r="CZ2">
        <v>22</v>
      </c>
      <c r="DA2">
        <v>146</v>
      </c>
      <c r="DC2" t="s">
        <v>176</v>
      </c>
      <c r="DD2">
        <v>400</v>
      </c>
      <c r="DE2" t="s">
        <v>149</v>
      </c>
      <c r="DF2" t="s">
        <v>177</v>
      </c>
      <c r="DG2" t="s">
        <v>178</v>
      </c>
      <c r="DH2">
        <v>22</v>
      </c>
      <c r="DJ2" t="s">
        <v>164</v>
      </c>
      <c r="DK2" t="s">
        <v>179</v>
      </c>
      <c r="DM2" t="s">
        <v>180</v>
      </c>
      <c r="DN2" t="s">
        <v>181</v>
      </c>
      <c r="DO2" t="s">
        <v>180</v>
      </c>
      <c r="DP2" t="s">
        <v>182</v>
      </c>
      <c r="DQ2" t="s">
        <v>164</v>
      </c>
      <c r="DS2" t="s">
        <v>164</v>
      </c>
      <c r="DT2">
        <v>14</v>
      </c>
      <c r="DU2" t="s">
        <v>183</v>
      </c>
      <c r="DV2" t="s">
        <v>184</v>
      </c>
      <c r="DW2" t="s">
        <v>185</v>
      </c>
      <c r="DX2" s="8"/>
      <c r="DY2" s="8"/>
      <c r="DZ2" s="8" t="s">
        <v>149</v>
      </c>
      <c r="EA2" s="8" t="s">
        <v>149</v>
      </c>
      <c r="EB2" s="8" t="s">
        <v>149</v>
      </c>
      <c r="EC2" s="8" t="s">
        <v>186</v>
      </c>
      <c r="EF2" t="s">
        <v>149</v>
      </c>
      <c r="EG2" t="s">
        <v>149</v>
      </c>
      <c r="EH2" t="s">
        <v>149</v>
      </c>
      <c r="EI2" t="s">
        <v>187</v>
      </c>
      <c r="EJ2" t="s">
        <v>188</v>
      </c>
      <c r="EK2" t="s">
        <v>188</v>
      </c>
      <c r="EL2" s="9">
        <v>400</v>
      </c>
    </row>
    <row r="3" spans="1:142">
      <c r="A3" s="7" t="s">
        <v>22</v>
      </c>
      <c r="C3" t="s">
        <v>149</v>
      </c>
      <c r="D3" t="s">
        <v>149</v>
      </c>
      <c r="E3" s="8" t="s">
        <v>149</v>
      </c>
      <c r="F3" t="s">
        <v>149</v>
      </c>
      <c r="G3" t="s">
        <v>149</v>
      </c>
      <c r="H3" t="s">
        <v>149</v>
      </c>
      <c r="I3" t="s">
        <v>150</v>
      </c>
      <c r="K3">
        <v>32</v>
      </c>
      <c r="L3">
        <v>19</v>
      </c>
      <c r="M3" s="5" t="s">
        <v>189</v>
      </c>
      <c r="N3">
        <v>50</v>
      </c>
      <c r="O3" t="s">
        <v>190</v>
      </c>
      <c r="P3" t="s">
        <v>152</v>
      </c>
      <c r="R3">
        <v>200</v>
      </c>
      <c r="S3">
        <v>30</v>
      </c>
      <c r="T3">
        <v>70</v>
      </c>
      <c r="U3">
        <v>8</v>
      </c>
      <c r="W3" t="s">
        <v>149</v>
      </c>
      <c r="X3" t="s">
        <v>153</v>
      </c>
      <c r="Y3" t="s">
        <v>154</v>
      </c>
      <c r="Z3" t="s">
        <v>149</v>
      </c>
      <c r="AA3" t="s">
        <v>149</v>
      </c>
      <c r="AB3">
        <v>21</v>
      </c>
      <c r="AC3">
        <v>8</v>
      </c>
      <c r="AD3" t="s">
        <v>155</v>
      </c>
      <c r="AF3" t="s">
        <v>156</v>
      </c>
      <c r="AG3" t="s">
        <v>157</v>
      </c>
      <c r="AH3" t="s">
        <v>149</v>
      </c>
      <c r="AI3" t="s">
        <v>149</v>
      </c>
      <c r="AK3" t="s">
        <v>191</v>
      </c>
      <c r="AL3" t="s">
        <v>192</v>
      </c>
      <c r="AN3" t="s">
        <v>149</v>
      </c>
      <c r="AO3" t="s">
        <v>149</v>
      </c>
      <c r="AP3" t="s">
        <v>149</v>
      </c>
      <c r="AQ3" t="s">
        <v>160</v>
      </c>
      <c r="AR3" t="s">
        <v>161</v>
      </c>
      <c r="AS3" t="s">
        <v>162</v>
      </c>
      <c r="AT3" t="s">
        <v>163</v>
      </c>
      <c r="AV3" t="s">
        <v>149</v>
      </c>
      <c r="AW3" t="s">
        <v>149</v>
      </c>
      <c r="AX3" t="s">
        <v>149</v>
      </c>
      <c r="AY3" t="s">
        <v>160</v>
      </c>
      <c r="AZ3" t="s">
        <v>161</v>
      </c>
      <c r="BA3" t="s">
        <v>162</v>
      </c>
      <c r="BB3" t="s">
        <v>163</v>
      </c>
      <c r="BD3" t="s">
        <v>149</v>
      </c>
      <c r="BE3" t="s">
        <v>149</v>
      </c>
      <c r="BF3" t="s">
        <v>149</v>
      </c>
      <c r="BG3" t="s">
        <v>163</v>
      </c>
      <c r="BH3" t="s">
        <v>164</v>
      </c>
      <c r="BI3" t="s">
        <v>164</v>
      </c>
      <c r="BK3" t="s">
        <v>165</v>
      </c>
      <c r="BL3" s="83">
        <v>80500</v>
      </c>
      <c r="BM3" s="83">
        <v>17500</v>
      </c>
      <c r="BN3" s="9">
        <v>170</v>
      </c>
      <c r="BO3" s="9">
        <v>630</v>
      </c>
      <c r="BQ3" t="s">
        <v>166</v>
      </c>
      <c r="BR3" t="s">
        <v>167</v>
      </c>
      <c r="BT3" t="s">
        <v>168</v>
      </c>
      <c r="BV3" t="s">
        <v>149</v>
      </c>
      <c r="BW3" t="s">
        <v>149</v>
      </c>
      <c r="BY3" t="s">
        <v>149</v>
      </c>
      <c r="BZ3" t="s">
        <v>149</v>
      </c>
      <c r="CB3" t="s">
        <v>169</v>
      </c>
      <c r="CC3" t="s">
        <v>149</v>
      </c>
      <c r="CD3" t="s">
        <v>149</v>
      </c>
      <c r="CE3" t="s">
        <v>149</v>
      </c>
      <c r="CG3" t="s">
        <v>170</v>
      </c>
      <c r="CH3" t="s">
        <v>167</v>
      </c>
      <c r="CJ3" t="s">
        <v>171</v>
      </c>
      <c r="CK3" t="s">
        <v>172</v>
      </c>
      <c r="CL3" t="s">
        <v>172</v>
      </c>
      <c r="CM3" t="s">
        <v>173</v>
      </c>
      <c r="CN3" t="s">
        <v>149</v>
      </c>
      <c r="CO3">
        <f t="shared" si="0"/>
        <v>400</v>
      </c>
      <c r="CP3">
        <v>100</v>
      </c>
      <c r="CR3" t="s">
        <v>164</v>
      </c>
      <c r="CS3" t="s">
        <v>164</v>
      </c>
      <c r="CT3" t="s">
        <v>164</v>
      </c>
      <c r="CU3" t="s">
        <v>164</v>
      </c>
      <c r="CV3" t="s">
        <v>164</v>
      </c>
      <c r="CW3">
        <v>400</v>
      </c>
      <c r="CX3" t="s">
        <v>174</v>
      </c>
      <c r="CY3" t="s">
        <v>175</v>
      </c>
      <c r="CZ3">
        <v>22</v>
      </c>
      <c r="DA3">
        <v>146</v>
      </c>
      <c r="DC3" t="s">
        <v>176</v>
      </c>
      <c r="DD3">
        <v>400</v>
      </c>
      <c r="DE3" t="s">
        <v>149</v>
      </c>
      <c r="DF3" t="s">
        <v>177</v>
      </c>
      <c r="DG3" t="s">
        <v>178</v>
      </c>
      <c r="DH3">
        <v>22</v>
      </c>
      <c r="DJ3" t="s">
        <v>164</v>
      </c>
      <c r="DK3" t="s">
        <v>179</v>
      </c>
      <c r="DM3" t="s">
        <v>180</v>
      </c>
      <c r="DN3" t="s">
        <v>181</v>
      </c>
      <c r="DO3" t="s">
        <v>180</v>
      </c>
      <c r="DP3" t="s">
        <v>182</v>
      </c>
      <c r="DQ3" t="s">
        <v>164</v>
      </c>
      <c r="DS3" t="s">
        <v>164</v>
      </c>
      <c r="DT3">
        <v>14</v>
      </c>
      <c r="DU3" t="s">
        <v>183</v>
      </c>
      <c r="DV3" t="s">
        <v>184</v>
      </c>
      <c r="DW3" t="s">
        <v>185</v>
      </c>
      <c r="DX3" s="8"/>
      <c r="DY3" s="8"/>
      <c r="DZ3" s="8" t="s">
        <v>149</v>
      </c>
      <c r="EA3" s="8" t="s">
        <v>149</v>
      </c>
      <c r="EB3" s="8" t="s">
        <v>149</v>
      </c>
      <c r="EC3" s="8" t="s">
        <v>186</v>
      </c>
      <c r="EF3" t="s">
        <v>149</v>
      </c>
      <c r="EG3" t="s">
        <v>149</v>
      </c>
      <c r="EH3" t="s">
        <v>149</v>
      </c>
      <c r="EI3" t="s">
        <v>187</v>
      </c>
      <c r="EJ3" t="s">
        <v>188</v>
      </c>
      <c r="EK3" t="s">
        <v>188</v>
      </c>
      <c r="EL3" s="9">
        <v>630</v>
      </c>
    </row>
    <row r="4" spans="1:142">
      <c r="A4" s="7" t="s">
        <v>25</v>
      </c>
      <c r="C4" t="s">
        <v>149</v>
      </c>
      <c r="D4" t="s">
        <v>149</v>
      </c>
      <c r="E4" s="8" t="s">
        <v>149</v>
      </c>
      <c r="F4" t="s">
        <v>149</v>
      </c>
      <c r="G4" t="s">
        <v>149</v>
      </c>
      <c r="H4" t="s">
        <v>149</v>
      </c>
      <c r="I4" t="s">
        <v>150</v>
      </c>
      <c r="K4">
        <v>64</v>
      </c>
      <c r="L4">
        <v>19</v>
      </c>
      <c r="M4" s="5" t="s">
        <v>189</v>
      </c>
      <c r="N4">
        <v>50</v>
      </c>
      <c r="O4" t="s">
        <v>190</v>
      </c>
      <c r="P4" t="s">
        <v>152</v>
      </c>
      <c r="R4">
        <v>200</v>
      </c>
      <c r="S4">
        <v>30</v>
      </c>
      <c r="T4">
        <v>70</v>
      </c>
      <c r="U4">
        <v>8</v>
      </c>
      <c r="W4" t="s">
        <v>149</v>
      </c>
      <c r="X4" t="s">
        <v>153</v>
      </c>
      <c r="Y4" t="s">
        <v>154</v>
      </c>
      <c r="Z4" t="s">
        <v>149</v>
      </c>
      <c r="AA4" t="s">
        <v>149</v>
      </c>
      <c r="AB4">
        <v>21</v>
      </c>
      <c r="AC4">
        <v>8</v>
      </c>
      <c r="AD4" t="s">
        <v>155</v>
      </c>
      <c r="AF4" t="s">
        <v>156</v>
      </c>
      <c r="AG4" t="s">
        <v>157</v>
      </c>
      <c r="AH4" t="s">
        <v>149</v>
      </c>
      <c r="AI4" t="s">
        <v>149</v>
      </c>
      <c r="AK4" t="s">
        <v>191</v>
      </c>
      <c r="AL4" t="s">
        <v>192</v>
      </c>
      <c r="AN4" t="s">
        <v>149</v>
      </c>
      <c r="AO4" t="s">
        <v>149</v>
      </c>
      <c r="AP4" t="s">
        <v>149</v>
      </c>
      <c r="AQ4" t="s">
        <v>160</v>
      </c>
      <c r="AR4" t="s">
        <v>161</v>
      </c>
      <c r="AS4" t="s">
        <v>162</v>
      </c>
      <c r="AT4" t="s">
        <v>163</v>
      </c>
      <c r="AV4" t="s">
        <v>149</v>
      </c>
      <c r="AW4" t="s">
        <v>149</v>
      </c>
      <c r="AX4" t="s">
        <v>149</v>
      </c>
      <c r="AY4" t="s">
        <v>160</v>
      </c>
      <c r="AZ4" t="s">
        <v>161</v>
      </c>
      <c r="BA4" t="s">
        <v>162</v>
      </c>
      <c r="BB4" t="s">
        <v>163</v>
      </c>
      <c r="BD4" t="s">
        <v>149</v>
      </c>
      <c r="BE4" t="s">
        <v>149</v>
      </c>
      <c r="BF4" t="s">
        <v>149</v>
      </c>
      <c r="BG4" t="s">
        <v>163</v>
      </c>
      <c r="BH4" t="s">
        <v>164</v>
      </c>
      <c r="BI4" t="s">
        <v>164</v>
      </c>
      <c r="BK4" t="s">
        <v>165</v>
      </c>
      <c r="BL4" s="83">
        <v>80500</v>
      </c>
      <c r="BM4" s="83">
        <v>17500</v>
      </c>
      <c r="BN4" s="9">
        <v>260</v>
      </c>
      <c r="BO4" s="9">
        <v>1200</v>
      </c>
      <c r="BQ4" t="s">
        <v>166</v>
      </c>
      <c r="BR4" t="s">
        <v>167</v>
      </c>
      <c r="BT4" t="s">
        <v>168</v>
      </c>
      <c r="BV4" t="s">
        <v>149</v>
      </c>
      <c r="BW4" t="s">
        <v>149</v>
      </c>
      <c r="BY4" t="s">
        <v>149</v>
      </c>
      <c r="BZ4" t="s">
        <v>149</v>
      </c>
      <c r="CB4" t="s">
        <v>169</v>
      </c>
      <c r="CC4" t="s">
        <v>149</v>
      </c>
      <c r="CD4" t="s">
        <v>149</v>
      </c>
      <c r="CE4" t="s">
        <v>149</v>
      </c>
      <c r="CG4" t="s">
        <v>170</v>
      </c>
      <c r="CH4" t="s">
        <v>167</v>
      </c>
      <c r="CJ4" t="s">
        <v>171</v>
      </c>
      <c r="CK4" t="s">
        <v>172</v>
      </c>
      <c r="CL4" t="s">
        <v>172</v>
      </c>
      <c r="CM4" t="s">
        <v>173</v>
      </c>
      <c r="CN4" t="s">
        <v>149</v>
      </c>
      <c r="CO4">
        <f t="shared" si="0"/>
        <v>400</v>
      </c>
      <c r="CP4">
        <v>100</v>
      </c>
      <c r="CR4" t="s">
        <v>164</v>
      </c>
      <c r="CS4" t="s">
        <v>164</v>
      </c>
      <c r="CT4" t="s">
        <v>164</v>
      </c>
      <c r="CU4" t="s">
        <v>164</v>
      </c>
      <c r="CV4" t="s">
        <v>164</v>
      </c>
      <c r="CW4">
        <v>400</v>
      </c>
      <c r="CX4" t="s">
        <v>174</v>
      </c>
      <c r="CY4" t="s">
        <v>175</v>
      </c>
      <c r="CZ4">
        <v>22</v>
      </c>
      <c r="DA4">
        <v>146</v>
      </c>
      <c r="DC4" t="s">
        <v>176</v>
      </c>
      <c r="DD4">
        <v>400</v>
      </c>
      <c r="DE4" t="s">
        <v>149</v>
      </c>
      <c r="DF4" t="s">
        <v>177</v>
      </c>
      <c r="DG4" t="s">
        <v>178</v>
      </c>
      <c r="DH4">
        <v>22</v>
      </c>
      <c r="DJ4" t="s">
        <v>164</v>
      </c>
      <c r="DK4" t="s">
        <v>179</v>
      </c>
      <c r="DM4" t="s">
        <v>180</v>
      </c>
      <c r="DN4" t="s">
        <v>181</v>
      </c>
      <c r="DO4" t="s">
        <v>180</v>
      </c>
      <c r="DP4" t="s">
        <v>182</v>
      </c>
      <c r="DQ4" t="s">
        <v>164</v>
      </c>
      <c r="DS4" t="s">
        <v>164</v>
      </c>
      <c r="DT4">
        <v>14</v>
      </c>
      <c r="DU4" t="s">
        <v>183</v>
      </c>
      <c r="DV4" t="s">
        <v>184</v>
      </c>
      <c r="DW4" t="s">
        <v>185</v>
      </c>
      <c r="DX4" s="8"/>
      <c r="DY4" s="8"/>
      <c r="DZ4" s="8" t="s">
        <v>149</v>
      </c>
      <c r="EA4" s="8" t="s">
        <v>149</v>
      </c>
      <c r="EB4" s="8" t="s">
        <v>149</v>
      </c>
      <c r="EC4" s="8" t="s">
        <v>186</v>
      </c>
      <c r="EF4" t="s">
        <v>149</v>
      </c>
      <c r="EG4" t="s">
        <v>149</v>
      </c>
      <c r="EH4" t="s">
        <v>149</v>
      </c>
      <c r="EI4" t="s">
        <v>187</v>
      </c>
      <c r="EJ4" t="s">
        <v>188</v>
      </c>
      <c r="EK4" t="s">
        <v>188</v>
      </c>
      <c r="EL4" s="9">
        <v>1200</v>
      </c>
    </row>
    <row r="5" spans="1:142" s="10" customFormat="1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  <c r="R5" s="10">
        <v>18</v>
      </c>
      <c r="S5" s="10">
        <v>19</v>
      </c>
      <c r="T5" s="10">
        <v>20</v>
      </c>
      <c r="U5" s="10">
        <v>21</v>
      </c>
      <c r="V5" s="10">
        <v>22</v>
      </c>
      <c r="W5" s="10">
        <v>23</v>
      </c>
      <c r="X5" s="10">
        <v>24</v>
      </c>
      <c r="Y5" s="10">
        <v>25</v>
      </c>
      <c r="Z5" s="10">
        <v>26</v>
      </c>
      <c r="AA5" s="10">
        <v>27</v>
      </c>
      <c r="AB5" s="10">
        <v>28</v>
      </c>
      <c r="AC5" s="10">
        <v>29</v>
      </c>
      <c r="AD5" s="10">
        <v>30</v>
      </c>
      <c r="AE5" s="10">
        <v>31</v>
      </c>
      <c r="AF5" s="10">
        <v>32</v>
      </c>
      <c r="AG5" s="10">
        <v>33</v>
      </c>
      <c r="AH5" s="10">
        <v>34</v>
      </c>
      <c r="AI5" s="10">
        <v>35</v>
      </c>
      <c r="AJ5" s="10">
        <v>36</v>
      </c>
      <c r="AK5" s="10">
        <v>37</v>
      </c>
      <c r="AL5" s="10">
        <v>38</v>
      </c>
      <c r="AM5" s="10">
        <v>39</v>
      </c>
      <c r="AN5" s="10">
        <v>40</v>
      </c>
      <c r="AO5" s="10">
        <v>41</v>
      </c>
      <c r="AP5" s="10">
        <v>42</v>
      </c>
      <c r="AQ5" s="10">
        <v>43</v>
      </c>
      <c r="AR5" s="10">
        <v>44</v>
      </c>
      <c r="AS5" s="10">
        <v>45</v>
      </c>
      <c r="AT5" s="10">
        <v>46</v>
      </c>
      <c r="AU5" s="10">
        <v>47</v>
      </c>
      <c r="AV5" s="10">
        <v>48</v>
      </c>
      <c r="AW5" s="10">
        <v>49</v>
      </c>
      <c r="AX5" s="10">
        <v>50</v>
      </c>
      <c r="AY5" s="10">
        <v>51</v>
      </c>
      <c r="AZ5" s="10">
        <v>52</v>
      </c>
      <c r="BA5" s="10">
        <v>53</v>
      </c>
      <c r="BB5" s="10">
        <v>54</v>
      </c>
      <c r="BC5" s="10">
        <v>55</v>
      </c>
      <c r="BD5" s="10">
        <v>56</v>
      </c>
      <c r="BE5" s="10">
        <v>57</v>
      </c>
      <c r="BF5" s="10">
        <v>58</v>
      </c>
      <c r="BG5" s="10">
        <v>59</v>
      </c>
      <c r="BH5" s="10">
        <v>60</v>
      </c>
      <c r="BI5" s="10">
        <v>61</v>
      </c>
      <c r="BJ5" s="10">
        <v>62</v>
      </c>
      <c r="BK5" s="10">
        <v>63</v>
      </c>
      <c r="BL5" s="10">
        <v>64</v>
      </c>
      <c r="BM5" s="10">
        <v>65</v>
      </c>
      <c r="BN5" s="10">
        <v>66</v>
      </c>
      <c r="BO5" s="10">
        <v>67</v>
      </c>
      <c r="BP5" s="10">
        <v>68</v>
      </c>
      <c r="BQ5" s="10">
        <v>69</v>
      </c>
      <c r="BR5" s="10">
        <v>70</v>
      </c>
      <c r="BS5" s="10">
        <v>71</v>
      </c>
      <c r="BT5" s="10">
        <v>72</v>
      </c>
      <c r="BU5" s="10">
        <v>73</v>
      </c>
      <c r="BV5" s="10">
        <v>74</v>
      </c>
      <c r="BW5" s="10">
        <v>75</v>
      </c>
      <c r="BX5" s="10">
        <v>76</v>
      </c>
      <c r="BY5" s="10">
        <v>77</v>
      </c>
      <c r="BZ5" s="10">
        <v>78</v>
      </c>
      <c r="CA5" s="10">
        <v>79</v>
      </c>
      <c r="CB5" s="10">
        <v>80</v>
      </c>
      <c r="CC5" s="10">
        <v>81</v>
      </c>
      <c r="CD5" s="10">
        <v>82</v>
      </c>
      <c r="CE5" s="10">
        <v>83</v>
      </c>
      <c r="CF5" s="10">
        <v>84</v>
      </c>
      <c r="CG5" s="10">
        <v>85</v>
      </c>
      <c r="CH5" s="10">
        <v>86</v>
      </c>
      <c r="CI5" s="10">
        <v>87</v>
      </c>
      <c r="CJ5" s="10">
        <v>88</v>
      </c>
      <c r="CK5" s="10">
        <v>89</v>
      </c>
      <c r="CL5" s="10">
        <v>90</v>
      </c>
      <c r="CM5" s="10">
        <v>91</v>
      </c>
      <c r="CN5" s="10">
        <v>92</v>
      </c>
      <c r="CO5" s="10">
        <v>93</v>
      </c>
      <c r="CP5" s="10">
        <v>94</v>
      </c>
      <c r="CQ5" s="10">
        <v>95</v>
      </c>
      <c r="CR5" s="10">
        <v>96</v>
      </c>
      <c r="CS5" s="10">
        <v>97</v>
      </c>
      <c r="CT5" s="10">
        <v>98</v>
      </c>
      <c r="CU5" s="10">
        <v>99</v>
      </c>
      <c r="CV5" s="10">
        <v>100</v>
      </c>
      <c r="CW5" s="10">
        <v>101</v>
      </c>
      <c r="CX5" s="10">
        <v>102</v>
      </c>
      <c r="CY5" s="10">
        <v>103</v>
      </c>
      <c r="CZ5" s="10">
        <v>104</v>
      </c>
      <c r="DA5" s="10">
        <v>105</v>
      </c>
      <c r="DB5" s="10">
        <v>106</v>
      </c>
      <c r="DC5" s="10">
        <v>107</v>
      </c>
      <c r="DD5" s="10">
        <v>108</v>
      </c>
      <c r="DE5" s="10">
        <v>109</v>
      </c>
      <c r="DF5" s="10">
        <v>110</v>
      </c>
      <c r="DG5" s="10">
        <v>111</v>
      </c>
      <c r="DH5" s="10">
        <v>112</v>
      </c>
      <c r="DI5" s="10">
        <v>113</v>
      </c>
      <c r="DJ5" s="10">
        <v>114</v>
      </c>
      <c r="DK5" s="10">
        <v>115</v>
      </c>
      <c r="DL5" s="10">
        <v>116</v>
      </c>
      <c r="DM5" s="10">
        <v>117</v>
      </c>
      <c r="DN5" s="10">
        <v>118</v>
      </c>
      <c r="DO5" s="10">
        <v>119</v>
      </c>
      <c r="DP5" s="10">
        <v>120</v>
      </c>
      <c r="DQ5" s="10">
        <v>121</v>
      </c>
      <c r="DR5" s="10">
        <v>122</v>
      </c>
      <c r="DS5" s="10">
        <v>123</v>
      </c>
      <c r="DT5" s="10">
        <v>124</v>
      </c>
      <c r="DU5" s="10">
        <v>125</v>
      </c>
      <c r="DV5" s="10">
        <v>126</v>
      </c>
      <c r="DW5" s="10">
        <v>127</v>
      </c>
      <c r="DX5" s="10">
        <v>128</v>
      </c>
      <c r="DY5" s="10">
        <v>129</v>
      </c>
      <c r="DZ5" s="10">
        <v>130</v>
      </c>
      <c r="EA5" s="10">
        <v>131</v>
      </c>
      <c r="EB5" s="10">
        <v>132</v>
      </c>
      <c r="EC5" s="10">
        <v>133</v>
      </c>
      <c r="ED5" s="10">
        <v>134</v>
      </c>
      <c r="EE5" s="10">
        <v>135</v>
      </c>
      <c r="EF5" s="10">
        <v>136</v>
      </c>
      <c r="EG5" s="10">
        <v>137</v>
      </c>
      <c r="EH5" s="10">
        <v>138</v>
      </c>
      <c r="EI5" s="10">
        <v>139</v>
      </c>
      <c r="EJ5" s="10">
        <v>140</v>
      </c>
      <c r="EK5" s="10">
        <v>141</v>
      </c>
      <c r="EL5" s="10">
        <v>142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C3237-E1AB-4222-B0BD-0ACCA05B3E98}">
  <dimension ref="A1:K44"/>
  <sheetViews>
    <sheetView zoomScaleNormal="100" zoomScaleSheetLayoutView="100" workbookViewId="0">
      <selection activeCell="A3" sqref="A3:G3"/>
    </sheetView>
  </sheetViews>
  <sheetFormatPr defaultColWidth="15.28515625" defaultRowHeight="14.45"/>
  <sheetData>
    <row r="1" spans="1:11" ht="16.899999999999999">
      <c r="A1" s="93" t="s">
        <v>193</v>
      </c>
      <c r="B1" s="93"/>
      <c r="C1" s="93"/>
      <c r="D1" s="93"/>
      <c r="E1" s="93"/>
      <c r="F1" s="93"/>
      <c r="G1" s="93"/>
    </row>
    <row r="2" spans="1:11" ht="17.45">
      <c r="A2" s="94" t="s">
        <v>194</v>
      </c>
      <c r="B2" s="94"/>
      <c r="C2" s="94"/>
      <c r="D2" s="94"/>
      <c r="E2" s="94"/>
      <c r="F2" s="94"/>
      <c r="G2" s="94"/>
    </row>
    <row r="3" spans="1:11" ht="18.600000000000001" thickBot="1">
      <c r="A3" s="95" t="s">
        <v>195</v>
      </c>
      <c r="B3" s="95"/>
      <c r="C3" s="95"/>
      <c r="D3" s="95"/>
      <c r="E3" s="95"/>
      <c r="F3" s="95"/>
      <c r="G3" s="95"/>
      <c r="I3" s="96" t="s">
        <v>196</v>
      </c>
      <c r="J3" s="96"/>
      <c r="K3" s="96"/>
    </row>
    <row r="4" spans="1:11" ht="15" thickBot="1">
      <c r="A4" s="97" t="s">
        <v>197</v>
      </c>
      <c r="B4" s="98"/>
      <c r="C4" s="98"/>
      <c r="D4" s="98"/>
      <c r="E4" s="98"/>
      <c r="F4" s="98"/>
      <c r="G4" s="99"/>
    </row>
    <row r="5" spans="1:11" ht="15" thickBot="1">
      <c r="A5" s="11" t="s">
        <v>198</v>
      </c>
      <c r="B5" s="11" t="s">
        <v>199</v>
      </c>
      <c r="C5" s="100" t="s">
        <v>200</v>
      </c>
      <c r="D5" s="101"/>
      <c r="E5" s="101"/>
      <c r="F5" s="101"/>
      <c r="G5" s="102"/>
    </row>
    <row r="6" spans="1:11">
      <c r="A6" s="12"/>
      <c r="B6" s="12"/>
      <c r="C6" s="103"/>
      <c r="D6" s="103"/>
      <c r="E6" s="103"/>
      <c r="F6" s="103"/>
      <c r="G6" s="104"/>
    </row>
    <row r="7" spans="1:11">
      <c r="A7" s="13"/>
      <c r="B7" s="13"/>
      <c r="C7" s="91"/>
      <c r="D7" s="91"/>
      <c r="E7" s="91"/>
      <c r="F7" s="91"/>
      <c r="G7" s="92"/>
    </row>
    <row r="8" spans="1:11">
      <c r="A8" s="13"/>
      <c r="B8" s="13"/>
      <c r="C8" s="91"/>
      <c r="D8" s="91"/>
      <c r="E8" s="91"/>
      <c r="F8" s="91"/>
      <c r="G8" s="92"/>
    </row>
    <row r="9" spans="1:11">
      <c r="A9" s="13"/>
      <c r="B9" s="13"/>
      <c r="C9" s="91"/>
      <c r="D9" s="91"/>
      <c r="E9" s="91"/>
      <c r="F9" s="91"/>
      <c r="G9" s="92"/>
    </row>
    <row r="10" spans="1:11">
      <c r="A10" s="13"/>
      <c r="B10" s="13"/>
      <c r="C10" s="91"/>
      <c r="D10" s="91"/>
      <c r="E10" s="91"/>
      <c r="F10" s="91"/>
      <c r="G10" s="92"/>
    </row>
    <row r="11" spans="1:11">
      <c r="A11" s="13"/>
      <c r="B11" s="13"/>
      <c r="C11" s="91"/>
      <c r="D11" s="91"/>
      <c r="E11" s="91"/>
      <c r="F11" s="91"/>
      <c r="G11" s="92"/>
    </row>
    <row r="12" spans="1:11">
      <c r="A12" s="13"/>
      <c r="B12" s="13"/>
      <c r="C12" s="91"/>
      <c r="D12" s="91"/>
      <c r="E12" s="91"/>
      <c r="F12" s="91"/>
      <c r="G12" s="92"/>
    </row>
    <row r="13" spans="1:11">
      <c r="A13" s="13"/>
      <c r="B13" s="13"/>
      <c r="C13" s="91"/>
      <c r="D13" s="91"/>
      <c r="E13" s="91"/>
      <c r="F13" s="91"/>
      <c r="G13" s="92"/>
    </row>
    <row r="14" spans="1:11">
      <c r="A14" s="13"/>
      <c r="B14" s="13"/>
      <c r="C14" s="91"/>
      <c r="D14" s="91"/>
      <c r="E14" s="91"/>
      <c r="F14" s="91"/>
      <c r="G14" s="92"/>
    </row>
    <row r="15" spans="1:11">
      <c r="A15" s="13"/>
      <c r="B15" s="13"/>
      <c r="C15" s="91"/>
      <c r="D15" s="91"/>
      <c r="E15" s="91"/>
      <c r="F15" s="91"/>
      <c r="G15" s="92"/>
    </row>
    <row r="16" spans="1:11">
      <c r="A16" s="13"/>
      <c r="B16" s="13"/>
      <c r="C16" s="91"/>
      <c r="D16" s="91"/>
      <c r="E16" s="91"/>
      <c r="F16" s="91"/>
      <c r="G16" s="92"/>
    </row>
    <row r="17" spans="1:7">
      <c r="A17" s="13"/>
      <c r="B17" s="13"/>
      <c r="C17" s="91"/>
      <c r="D17" s="91"/>
      <c r="E17" s="91"/>
      <c r="F17" s="91"/>
      <c r="G17" s="92"/>
    </row>
    <row r="18" spans="1:7">
      <c r="A18" s="13"/>
      <c r="B18" s="13"/>
      <c r="C18" s="91"/>
      <c r="D18" s="91"/>
      <c r="E18" s="91"/>
      <c r="F18" s="91"/>
      <c r="G18" s="92"/>
    </row>
    <row r="19" spans="1:7">
      <c r="A19" s="13"/>
      <c r="B19" s="13"/>
      <c r="C19" s="91"/>
      <c r="D19" s="91"/>
      <c r="E19" s="91"/>
      <c r="F19" s="91"/>
      <c r="G19" s="92"/>
    </row>
    <row r="20" spans="1:7">
      <c r="A20" s="13"/>
      <c r="B20" s="13"/>
      <c r="C20" s="91"/>
      <c r="D20" s="91"/>
      <c r="E20" s="91"/>
      <c r="F20" s="91"/>
      <c r="G20" s="92"/>
    </row>
    <row r="21" spans="1:7">
      <c r="A21" s="13"/>
      <c r="B21" s="13"/>
      <c r="C21" s="91"/>
      <c r="D21" s="91"/>
      <c r="E21" s="91"/>
      <c r="F21" s="91"/>
      <c r="G21" s="92"/>
    </row>
    <row r="22" spans="1:7">
      <c r="A22" s="13"/>
      <c r="B22" s="13"/>
      <c r="C22" s="91"/>
      <c r="D22" s="91"/>
      <c r="E22" s="91"/>
      <c r="F22" s="91"/>
      <c r="G22" s="92"/>
    </row>
    <row r="23" spans="1:7">
      <c r="A23" s="13"/>
      <c r="B23" s="13"/>
      <c r="C23" s="91"/>
      <c r="D23" s="91"/>
      <c r="E23" s="91"/>
      <c r="F23" s="91"/>
      <c r="G23" s="92"/>
    </row>
    <row r="24" spans="1:7">
      <c r="A24" s="13"/>
      <c r="B24" s="13"/>
      <c r="C24" s="91"/>
      <c r="D24" s="91"/>
      <c r="E24" s="91"/>
      <c r="F24" s="91"/>
      <c r="G24" s="92"/>
    </row>
    <row r="25" spans="1:7">
      <c r="A25" s="13"/>
      <c r="B25" s="13"/>
      <c r="C25" s="91"/>
      <c r="D25" s="91"/>
      <c r="E25" s="91"/>
      <c r="F25" s="91"/>
      <c r="G25" s="92"/>
    </row>
    <row r="26" spans="1:7">
      <c r="A26" s="13"/>
      <c r="B26" s="13"/>
      <c r="C26" s="91"/>
      <c r="D26" s="91"/>
      <c r="E26" s="91"/>
      <c r="F26" s="91"/>
      <c r="G26" s="92"/>
    </row>
    <row r="27" spans="1:7">
      <c r="A27" s="13"/>
      <c r="B27" s="13"/>
      <c r="C27" s="91"/>
      <c r="D27" s="91"/>
      <c r="E27" s="91"/>
      <c r="F27" s="91"/>
      <c r="G27" s="92"/>
    </row>
    <row r="28" spans="1:7">
      <c r="A28" s="13"/>
      <c r="B28" s="13"/>
      <c r="C28" s="91"/>
      <c r="D28" s="91"/>
      <c r="E28" s="91"/>
      <c r="F28" s="91"/>
      <c r="G28" s="92"/>
    </row>
    <row r="29" spans="1:7">
      <c r="A29" s="13"/>
      <c r="B29" s="13"/>
      <c r="C29" s="91"/>
      <c r="D29" s="91"/>
      <c r="E29" s="91"/>
      <c r="F29" s="91"/>
      <c r="G29" s="92"/>
    </row>
    <row r="30" spans="1:7">
      <c r="A30" s="13"/>
      <c r="B30" s="13"/>
      <c r="C30" s="91"/>
      <c r="D30" s="91"/>
      <c r="E30" s="91"/>
      <c r="F30" s="91"/>
      <c r="G30" s="92"/>
    </row>
    <row r="31" spans="1:7">
      <c r="A31" s="13"/>
      <c r="B31" s="13"/>
      <c r="C31" s="91"/>
      <c r="D31" s="91"/>
      <c r="E31" s="91"/>
      <c r="F31" s="91"/>
      <c r="G31" s="92"/>
    </row>
    <row r="32" spans="1:7">
      <c r="A32" s="13"/>
      <c r="B32" s="13"/>
      <c r="C32" s="91"/>
      <c r="D32" s="91"/>
      <c r="E32" s="91"/>
      <c r="F32" s="91"/>
      <c r="G32" s="92"/>
    </row>
    <row r="33" spans="1:7">
      <c r="A33" s="13"/>
      <c r="B33" s="13"/>
      <c r="C33" s="91"/>
      <c r="D33" s="91"/>
      <c r="E33" s="91"/>
      <c r="F33" s="91"/>
      <c r="G33" s="92"/>
    </row>
    <row r="34" spans="1:7">
      <c r="A34" s="13"/>
      <c r="B34" s="13"/>
      <c r="C34" s="91"/>
      <c r="D34" s="91"/>
      <c r="E34" s="91"/>
      <c r="F34" s="91"/>
      <c r="G34" s="92"/>
    </row>
    <row r="35" spans="1:7" ht="15" thickBot="1">
      <c r="A35" s="14"/>
      <c r="B35" s="14"/>
      <c r="C35" s="89"/>
      <c r="D35" s="89"/>
      <c r="E35" s="89"/>
      <c r="F35" s="89"/>
      <c r="G35" s="90"/>
    </row>
    <row r="36" spans="1:7" ht="15.6">
      <c r="A36" s="15"/>
      <c r="B36" s="15"/>
      <c r="C36" s="15"/>
      <c r="D36" s="16"/>
      <c r="E36" s="17"/>
      <c r="F36" s="17"/>
      <c r="G36" s="17"/>
    </row>
    <row r="37" spans="1:7" ht="15.6">
      <c r="A37" s="15"/>
      <c r="B37" s="87" t="s">
        <v>201</v>
      </c>
      <c r="C37" s="87"/>
      <c r="D37" s="87"/>
      <c r="E37" s="87"/>
      <c r="F37" s="87"/>
      <c r="G37" s="87"/>
    </row>
    <row r="38" spans="1:7">
      <c r="A38" s="18"/>
      <c r="B38" s="18"/>
      <c r="C38" s="19"/>
      <c r="D38" s="20"/>
      <c r="E38" s="20"/>
      <c r="F38" s="20"/>
    </row>
    <row r="39" spans="1:7" ht="15.6">
      <c r="A39" s="21"/>
      <c r="B39" s="18" t="s">
        <v>202</v>
      </c>
      <c r="C39" s="19"/>
      <c r="D39" s="22"/>
      <c r="E39" s="20"/>
    </row>
    <row r="40" spans="1:7">
      <c r="B40" s="88" t="s">
        <v>203</v>
      </c>
      <c r="C40" s="88"/>
      <c r="D40" s="88"/>
      <c r="E40" s="20"/>
      <c r="F40" s="88" t="s">
        <v>204</v>
      </c>
      <c r="G40" s="88"/>
    </row>
    <row r="41" spans="1:7">
      <c r="A41" s="23"/>
      <c r="B41" s="20"/>
      <c r="C41" s="19"/>
      <c r="D41" s="20"/>
      <c r="E41" s="20"/>
      <c r="F41" s="20"/>
    </row>
    <row r="42" spans="1:7">
      <c r="A42" s="23"/>
      <c r="B42" s="20"/>
      <c r="C42" s="19"/>
      <c r="D42" s="20"/>
      <c r="E42" s="20"/>
      <c r="F42" s="20"/>
    </row>
    <row r="43" spans="1:7">
      <c r="B43" s="20"/>
      <c r="D43" s="22"/>
      <c r="F43" s="20"/>
    </row>
    <row r="44" spans="1:7">
      <c r="B44" s="88" t="s">
        <v>205</v>
      </c>
      <c r="C44" s="88"/>
      <c r="D44" s="88"/>
      <c r="F44" s="88" t="s">
        <v>206</v>
      </c>
      <c r="G44" s="88"/>
    </row>
  </sheetData>
  <mergeCells count="41">
    <mergeCell ref="C11:G11"/>
    <mergeCell ref="A1:G1"/>
    <mergeCell ref="A2:G2"/>
    <mergeCell ref="A3:G3"/>
    <mergeCell ref="I3:K3"/>
    <mergeCell ref="A4:G4"/>
    <mergeCell ref="C5:G5"/>
    <mergeCell ref="C6:G6"/>
    <mergeCell ref="C7:G7"/>
    <mergeCell ref="C8:G8"/>
    <mergeCell ref="C9:G9"/>
    <mergeCell ref="C10:G10"/>
    <mergeCell ref="C23:G23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35:G35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B37:G37"/>
    <mergeCell ref="B40:D40"/>
    <mergeCell ref="F40:G40"/>
    <mergeCell ref="B44:D44"/>
    <mergeCell ref="F44:G44"/>
  </mergeCells>
  <conditionalFormatting sqref="E36:F36">
    <cfRule type="cellIs" dxfId="3" priority="4" stopIfTrue="1" operator="equal">
      <formula>"??"</formula>
    </cfRule>
  </conditionalFormatting>
  <conditionalFormatting sqref="D41:E42 E39:E40 B43:B44">
    <cfRule type="cellIs" dxfId="2" priority="1" stopIfTrue="1" operator="equal">
      <formula>"?"</formula>
    </cfRule>
    <cfRule type="cellIs" dxfId="1" priority="2" stopIfTrue="1" operator="equal">
      <formula>"??"</formula>
    </cfRule>
  </conditionalFormatting>
  <conditionalFormatting sqref="D38:E38">
    <cfRule type="cellIs" dxfId="0" priority="3" stopIfTrue="1" operator="equal">
      <formula>"??"</formula>
    </cfRule>
  </conditionalFormatting>
  <pageMargins left="0.7" right="0.7" top="0.75" bottom="0.75" header="0.3" footer="0.3"/>
  <pageSetup scale="84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37"/>
  <sheetViews>
    <sheetView topLeftCell="A8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4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5"/>
      <c r="C2" s="26"/>
      <c r="D2" s="26"/>
      <c r="E2" s="27"/>
      <c r="F2" s="26"/>
      <c r="G2" s="28"/>
    </row>
    <row r="3" spans="2:7">
      <c r="B3" s="29"/>
      <c r="C3" s="30"/>
      <c r="D3" s="30"/>
      <c r="E3" s="31"/>
      <c r="F3" s="105" t="s">
        <v>207</v>
      </c>
      <c r="G3" s="106"/>
    </row>
    <row r="4" spans="2:7">
      <c r="B4" s="29"/>
      <c r="C4" s="30"/>
      <c r="D4" s="30"/>
      <c r="E4" s="31"/>
      <c r="F4" s="105" t="str">
        <f>'List of Items &amp; Enquiry number'!B14</f>
        <v>Enquiry Number: 123456XYZ</v>
      </c>
      <c r="G4" s="106"/>
    </row>
    <row r="5" spans="2:7">
      <c r="B5" s="29"/>
      <c r="C5" s="30"/>
      <c r="D5" s="30"/>
      <c r="E5" s="31"/>
      <c r="F5" s="30"/>
      <c r="G5" s="32"/>
    </row>
    <row r="6" spans="2:7" ht="28.9">
      <c r="B6" s="33"/>
      <c r="C6" s="34"/>
      <c r="D6" s="35" t="s">
        <v>208</v>
      </c>
      <c r="E6" s="36"/>
      <c r="F6" s="37"/>
      <c r="G6" s="38"/>
    </row>
    <row r="7" spans="2:7">
      <c r="B7" s="29"/>
      <c r="C7" s="30"/>
      <c r="D7" s="39" t="s">
        <v>19</v>
      </c>
      <c r="E7" s="31"/>
      <c r="F7" s="30"/>
      <c r="G7" s="32"/>
    </row>
    <row r="8" spans="2:7">
      <c r="B8" s="29"/>
      <c r="C8" s="30"/>
      <c r="D8" s="30" t="s">
        <v>209</v>
      </c>
      <c r="E8" s="30"/>
      <c r="F8" s="107" t="s">
        <v>210</v>
      </c>
      <c r="G8" s="108"/>
    </row>
    <row r="9" spans="2:7">
      <c r="B9" s="40" t="s">
        <v>211</v>
      </c>
      <c r="C9" s="1"/>
      <c r="D9" s="1"/>
      <c r="E9" s="1"/>
      <c r="F9" s="107"/>
      <c r="G9" s="108"/>
    </row>
    <row r="10" spans="2:7" ht="15" thickBot="1">
      <c r="B10" s="111" t="s">
        <v>212</v>
      </c>
      <c r="C10" s="112"/>
      <c r="D10" s="112"/>
      <c r="E10" s="41"/>
      <c r="F10" s="109"/>
      <c r="G10" s="110"/>
    </row>
    <row r="11" spans="2:7" ht="28.15" thickBot="1">
      <c r="B11" s="42" t="s">
        <v>198</v>
      </c>
      <c r="C11" s="43" t="s">
        <v>213</v>
      </c>
      <c r="D11" s="44" t="s">
        <v>15</v>
      </c>
      <c r="E11" s="45"/>
      <c r="F11" s="46" t="s">
        <v>214</v>
      </c>
      <c r="G11" s="43" t="s">
        <v>215</v>
      </c>
    </row>
    <row r="12" spans="2:7" ht="43.5" customHeight="1">
      <c r="B12" s="47">
        <v>1</v>
      </c>
      <c r="C12" s="48"/>
      <c r="D12" s="49" t="s">
        <v>27</v>
      </c>
      <c r="E12" s="50"/>
      <c r="F12" s="48"/>
      <c r="G12" s="51"/>
    </row>
    <row r="13" spans="2:7" ht="45.6" customHeight="1">
      <c r="B13" s="52">
        <v>1.1000000000000001</v>
      </c>
      <c r="C13" s="2"/>
      <c r="D13" s="53" t="s">
        <v>28</v>
      </c>
      <c r="E13" s="54"/>
      <c r="F13" s="2" t="str">
        <f>VLOOKUP($D$7,'Source Data'!$A$2:$EK$28,3,FALSE)</f>
        <v>xxxxxxxxxxx</v>
      </c>
      <c r="G13" s="3"/>
    </row>
    <row r="14" spans="2:7" ht="45.6" customHeight="1">
      <c r="B14" s="52">
        <v>1.2000000000000002</v>
      </c>
      <c r="C14" s="2"/>
      <c r="D14" s="53" t="s">
        <v>29</v>
      </c>
      <c r="E14" s="54"/>
      <c r="F14" s="2" t="str">
        <f>VLOOKUP($D$7,'Source Data'!$A$2:$EK$28,4,FALSE)</f>
        <v>xxxxxxxxxxx</v>
      </c>
      <c r="G14" s="3"/>
    </row>
    <row r="15" spans="2:7" ht="45.6" customHeight="1">
      <c r="B15" s="52">
        <v>1.3</v>
      </c>
      <c r="C15" s="2"/>
      <c r="D15" s="53" t="s">
        <v>31</v>
      </c>
      <c r="E15" s="54"/>
      <c r="F15" s="2" t="str">
        <f>VLOOKUP($D$7,'Source Data'!$A$2:$EK$28,6,FALSE)</f>
        <v>xxxxxxxxxxx</v>
      </c>
      <c r="G15" s="3"/>
    </row>
    <row r="16" spans="2:7" ht="45.6" customHeight="1">
      <c r="B16" s="52">
        <v>1.4</v>
      </c>
      <c r="C16" s="2"/>
      <c r="D16" s="53" t="s">
        <v>216</v>
      </c>
      <c r="E16" s="54"/>
      <c r="F16" s="2" t="str">
        <f>VLOOKUP($D$7,'Source Data'!$A$2:$EK$28,7,FALSE)</f>
        <v>xxxxxxxxxxx</v>
      </c>
      <c r="G16" s="3"/>
    </row>
    <row r="17" spans="2:7" ht="45.6" customHeight="1">
      <c r="B17" s="52">
        <v>1.5</v>
      </c>
      <c r="C17" s="2"/>
      <c r="D17" s="53" t="s">
        <v>217</v>
      </c>
      <c r="E17" s="54"/>
      <c r="F17" s="2" t="str">
        <f>VLOOKUP($D$7,'Source Data'!$A$2:$EK$28,8,FALSE)</f>
        <v>xxxxxxxxxxx</v>
      </c>
      <c r="G17" s="3"/>
    </row>
    <row r="18" spans="2:7" ht="45.6" customHeight="1">
      <c r="B18" s="52">
        <v>1.6</v>
      </c>
      <c r="C18" s="2"/>
      <c r="D18" s="53" t="s">
        <v>34</v>
      </c>
      <c r="E18" s="54"/>
      <c r="F18" s="2" t="str">
        <f>VLOOKUP($D$7,'Source Data'!$A$2:$EK$28,9,FALSE)</f>
        <v>Ester Oil</v>
      </c>
      <c r="G18" s="3"/>
    </row>
    <row r="19" spans="2:7" ht="45.6" customHeight="1">
      <c r="B19" s="55">
        <v>2</v>
      </c>
      <c r="C19" s="2">
        <v>3</v>
      </c>
      <c r="D19" s="56" t="s">
        <v>35</v>
      </c>
      <c r="E19" s="54"/>
      <c r="F19" s="2"/>
      <c r="G19" s="3"/>
    </row>
    <row r="20" spans="2:7" ht="45.6" customHeight="1">
      <c r="B20" s="52">
        <v>2.1</v>
      </c>
      <c r="C20" s="2"/>
      <c r="D20" s="53" t="s">
        <v>36</v>
      </c>
      <c r="E20" s="54" t="s">
        <v>218</v>
      </c>
      <c r="F20" s="2">
        <f>VLOOKUP($D$7,'Source Data'!$A$2:$EK$28,11,FALSE)</f>
        <v>16</v>
      </c>
      <c r="G20" s="3"/>
    </row>
    <row r="21" spans="2:7" ht="45.6" customHeight="1">
      <c r="B21" s="52">
        <v>2.2000000000000002</v>
      </c>
      <c r="C21" s="2"/>
      <c r="D21" s="53" t="s">
        <v>37</v>
      </c>
      <c r="E21" s="54" t="s">
        <v>219</v>
      </c>
      <c r="F21" s="2">
        <f>VLOOKUP($D$7,'Source Data'!$A$2:$EK$28,12,FALSE)</f>
        <v>19</v>
      </c>
      <c r="G21" s="3"/>
    </row>
    <row r="22" spans="2:7" ht="45.6" customHeight="1">
      <c r="B22" s="52">
        <v>2.3000000000000003</v>
      </c>
      <c r="C22" s="2"/>
      <c r="D22" s="53" t="s">
        <v>38</v>
      </c>
      <c r="E22" s="54" t="s">
        <v>220</v>
      </c>
      <c r="F22" s="2">
        <f>VLOOKUP($D$7,'Source Data'!$A$2:$EK$28,13,FALSE)</f>
        <v>242</v>
      </c>
      <c r="G22" s="3"/>
    </row>
    <row r="23" spans="2:7" ht="45.6" customHeight="1">
      <c r="B23" s="52">
        <v>2.4000000000000004</v>
      </c>
      <c r="C23" s="2"/>
      <c r="D23" s="53" t="s">
        <v>39</v>
      </c>
      <c r="E23" s="54" t="s">
        <v>221</v>
      </c>
      <c r="F23" s="2">
        <f>VLOOKUP($D$7,'Source Data'!$A$2:$EK$28,14,FALSE)</f>
        <v>50</v>
      </c>
      <c r="G23" s="3"/>
    </row>
    <row r="24" spans="2:7" ht="45.6" customHeight="1">
      <c r="B24" s="52">
        <v>2.5</v>
      </c>
      <c r="C24" s="2"/>
      <c r="D24" s="53" t="s">
        <v>40</v>
      </c>
      <c r="E24" s="54"/>
      <c r="F24" s="2" t="str">
        <f>VLOOKUP($D$7,'Source Data'!$A$2:$EK$28,15,FALSE)</f>
        <v>1 ph</v>
      </c>
      <c r="G24" s="3"/>
    </row>
    <row r="25" spans="2:7" ht="45.6" customHeight="1">
      <c r="B25" s="52">
        <v>2.6</v>
      </c>
      <c r="C25" s="2"/>
      <c r="D25" s="53" t="s">
        <v>41</v>
      </c>
      <c r="E25" s="54"/>
      <c r="F25" s="2" t="str">
        <f>VLOOKUP($D$7,'Source Data'!$A$2:$EK$28,16,FALSE)</f>
        <v>N/A</v>
      </c>
      <c r="G25" s="3" t="s">
        <v>149</v>
      </c>
    </row>
    <row r="26" spans="2:7" ht="45.6" customHeight="1">
      <c r="B26" s="55">
        <v>3</v>
      </c>
      <c r="C26" s="2" t="s">
        <v>222</v>
      </c>
      <c r="D26" s="56" t="s">
        <v>42</v>
      </c>
      <c r="E26" s="54"/>
      <c r="F26" s="2"/>
      <c r="G26" s="3"/>
    </row>
    <row r="27" spans="2:7" ht="45.6" customHeight="1">
      <c r="B27" s="52">
        <v>3.1</v>
      </c>
      <c r="C27" s="2"/>
      <c r="D27" s="53" t="s">
        <v>43</v>
      </c>
      <c r="E27" s="54" t="s">
        <v>219</v>
      </c>
      <c r="F27" s="2">
        <f>VLOOKUP($D$7,'Source Data'!$A$2:$EK$28,18,FALSE)</f>
        <v>200</v>
      </c>
      <c r="G27" s="3"/>
    </row>
    <row r="28" spans="2:7" ht="45.6" customHeight="1">
      <c r="B28" s="52">
        <v>3.2</v>
      </c>
      <c r="C28" s="2"/>
      <c r="D28" s="53" t="s">
        <v>44</v>
      </c>
      <c r="E28" s="54" t="s">
        <v>219</v>
      </c>
      <c r="F28" s="2">
        <f>VLOOKUP($D$7,'Source Data'!$A$2:$EK$28,19,FALSE)</f>
        <v>30</v>
      </c>
      <c r="G28" s="3"/>
    </row>
    <row r="29" spans="2:7" ht="45.6" customHeight="1">
      <c r="B29" s="52">
        <v>3.3000000000000003</v>
      </c>
      <c r="C29" s="2"/>
      <c r="D29" s="53" t="s">
        <v>45</v>
      </c>
      <c r="E29" s="54" t="s">
        <v>219</v>
      </c>
      <c r="F29" s="2">
        <f>VLOOKUP($D$7,'Source Data'!$A$2:$EK$28,20,FALSE)</f>
        <v>70</v>
      </c>
      <c r="G29" s="3"/>
    </row>
    <row r="30" spans="2:7" ht="45.6" customHeight="1">
      <c r="B30" s="52">
        <v>3.4000000000000004</v>
      </c>
      <c r="C30" s="2"/>
      <c r="D30" s="53" t="s">
        <v>46</v>
      </c>
      <c r="E30" s="54" t="s">
        <v>219</v>
      </c>
      <c r="F30" s="2">
        <f>VLOOKUP($D$7,'Source Data'!$A$2:$EK$28,21,FALSE)</f>
        <v>8</v>
      </c>
      <c r="G30" s="3"/>
    </row>
    <row r="31" spans="2:7" ht="45.6" customHeight="1">
      <c r="B31" s="55">
        <v>4</v>
      </c>
      <c r="C31" s="2" t="s">
        <v>223</v>
      </c>
      <c r="D31" s="56" t="s">
        <v>47</v>
      </c>
      <c r="E31" s="54"/>
      <c r="F31" s="2"/>
      <c r="G31" s="3"/>
    </row>
    <row r="32" spans="2:7" ht="45.6" customHeight="1">
      <c r="B32" s="52">
        <v>4.0999999999999996</v>
      </c>
      <c r="C32" s="2"/>
      <c r="D32" s="53" t="s">
        <v>48</v>
      </c>
      <c r="E32" s="54"/>
      <c r="F32" s="2" t="str">
        <f>VLOOKUP($D$7,'Source Data'!$A$2:$EK$28,23,FALSE)</f>
        <v>xxxxxxxxxxx</v>
      </c>
      <c r="G32" s="3"/>
    </row>
    <row r="33" spans="2:7" ht="45.6" customHeight="1">
      <c r="B33" s="52">
        <v>4.1999999999999993</v>
      </c>
      <c r="C33" s="2"/>
      <c r="D33" s="53" t="s">
        <v>49</v>
      </c>
      <c r="E33" s="54"/>
      <c r="F33" s="2" t="str">
        <f>VLOOKUP($D$7,'Source Data'!$A$2:$EK$28,24,FALSE)</f>
        <v>Grade 3</v>
      </c>
      <c r="G33" s="3"/>
    </row>
    <row r="34" spans="2:7" ht="45.6" customHeight="1">
      <c r="B34" s="52">
        <v>4.3</v>
      </c>
      <c r="C34" s="2"/>
      <c r="D34" s="53" t="s">
        <v>50</v>
      </c>
      <c r="E34" s="54" t="s">
        <v>224</v>
      </c>
      <c r="F34" s="2" t="str">
        <f>VLOOKUP($D$7,'Source Data'!$A$2:$EK$28,25,FALSE)</f>
        <v>&gt; 0.125</v>
      </c>
      <c r="G34" s="3"/>
    </row>
    <row r="35" spans="2:7" ht="45.6" customHeight="1">
      <c r="B35" s="52">
        <v>4.3999999999999995</v>
      </c>
      <c r="C35" s="2"/>
      <c r="D35" s="53" t="s">
        <v>51</v>
      </c>
      <c r="E35" s="54"/>
      <c r="F35" s="2" t="str">
        <f>VLOOKUP($D$7,'Source Data'!$A$2:$EK$28,26,FALSE)</f>
        <v>xxxxxxxxxxx</v>
      </c>
      <c r="G35" s="3"/>
    </row>
    <row r="36" spans="2:7" ht="45.6" customHeight="1">
      <c r="B36" s="52">
        <v>4.5</v>
      </c>
      <c r="C36" s="2"/>
      <c r="D36" s="53" t="s">
        <v>52</v>
      </c>
      <c r="E36" s="54"/>
      <c r="F36" s="2" t="str">
        <f>VLOOKUP($D$7,'Source Data'!$A$2:$EK$28,27,FALSE)</f>
        <v>xxxxxxxxxxx</v>
      </c>
      <c r="G36" s="3"/>
    </row>
    <row r="37" spans="2:7" ht="45.6" customHeight="1">
      <c r="B37" s="52">
        <v>4.5999999999999996</v>
      </c>
      <c r="C37" s="2"/>
      <c r="D37" s="53" t="s">
        <v>53</v>
      </c>
      <c r="E37" s="54" t="s">
        <v>219</v>
      </c>
      <c r="F37" s="2">
        <f>VLOOKUP($D$7,'Source Data'!$A$2:$EK$28,28,FALSE)</f>
        <v>21</v>
      </c>
      <c r="G37" s="3"/>
    </row>
    <row r="38" spans="2:7" ht="45.6" customHeight="1">
      <c r="B38" s="52">
        <v>4.7</v>
      </c>
      <c r="C38" s="2"/>
      <c r="D38" s="53" t="s">
        <v>54</v>
      </c>
      <c r="E38" s="54" t="s">
        <v>219</v>
      </c>
      <c r="F38" s="2">
        <f>VLOOKUP($D$7,'Source Data'!$A$2:$EK$28,29,FALSE)</f>
        <v>8</v>
      </c>
      <c r="G38" s="3"/>
    </row>
    <row r="39" spans="2:7" ht="45.6" customHeight="1">
      <c r="B39" s="52">
        <v>4.8</v>
      </c>
      <c r="C39" s="2"/>
      <c r="D39" s="53" t="s">
        <v>225</v>
      </c>
      <c r="E39" s="54" t="s">
        <v>226</v>
      </c>
      <c r="F39" s="2" t="str">
        <f>VLOOKUP($D$7,'Source Data'!$A$2:$EK$28,30,FALSE)</f>
        <v>&lt;5</v>
      </c>
      <c r="G39" s="3"/>
    </row>
    <row r="40" spans="2:7" ht="45.6" customHeight="1">
      <c r="B40" s="55">
        <v>5</v>
      </c>
      <c r="C40" s="2" t="s">
        <v>227</v>
      </c>
      <c r="D40" s="56" t="s">
        <v>56</v>
      </c>
      <c r="E40" s="54"/>
      <c r="F40" s="2"/>
      <c r="G40" s="3"/>
    </row>
    <row r="41" spans="2:7" ht="45.6" customHeight="1">
      <c r="B41" s="52">
        <v>5.0999999999999996</v>
      </c>
      <c r="C41" s="2"/>
      <c r="D41" s="53" t="s">
        <v>57</v>
      </c>
      <c r="E41" s="54" t="s">
        <v>226</v>
      </c>
      <c r="F41" s="2" t="str">
        <f>VLOOKUP($D$7,'Source Data'!$A$2:$EK$28,32,FALSE)</f>
        <v>&lt; 5</v>
      </c>
      <c r="G41" s="3"/>
    </row>
    <row r="42" spans="2:7" ht="45.6" customHeight="1">
      <c r="B42" s="52">
        <v>5.1999999999999993</v>
      </c>
      <c r="C42" s="2"/>
      <c r="D42" s="53" t="s">
        <v>58</v>
      </c>
      <c r="E42" s="54" t="s">
        <v>226</v>
      </c>
      <c r="F42" s="2" t="str">
        <f>VLOOKUP($D$7,'Source Data'!$A$2:$EK$28,33,FALSE)</f>
        <v xml:space="preserve">&lt; 5 </v>
      </c>
      <c r="G42" s="3"/>
    </row>
    <row r="43" spans="2:7" ht="45.6" customHeight="1">
      <c r="B43" s="52">
        <v>5.3</v>
      </c>
      <c r="C43" s="2"/>
      <c r="D43" s="53" t="s">
        <v>59</v>
      </c>
      <c r="E43" s="54"/>
      <c r="F43" s="2" t="str">
        <f>VLOOKUP($D$7,'Source Data'!$A$2:$EK$28,34,FALSE)</f>
        <v>xxxxxxxxxxx</v>
      </c>
      <c r="G43" s="3"/>
    </row>
    <row r="44" spans="2:7" ht="45.6" customHeight="1">
      <c r="B44" s="52">
        <v>5.3999999999999995</v>
      </c>
      <c r="C44" s="2"/>
      <c r="D44" s="53" t="s">
        <v>60</v>
      </c>
      <c r="E44" s="54"/>
      <c r="F44" s="2" t="str">
        <f>VLOOKUP($D$7,'Source Data'!$A$2:$EK$28,35,FALSE)</f>
        <v>xxxxxxxxxxx</v>
      </c>
      <c r="G44" s="3"/>
    </row>
    <row r="45" spans="2:7" ht="45.6" customHeight="1">
      <c r="B45" s="55">
        <v>6</v>
      </c>
      <c r="C45" s="2" t="s">
        <v>228</v>
      </c>
      <c r="D45" s="56" t="s">
        <v>61</v>
      </c>
      <c r="E45" s="54"/>
      <c r="F45" s="2"/>
      <c r="G45" s="3"/>
    </row>
    <row r="46" spans="2:7" ht="45.6" customHeight="1">
      <c r="B46" s="52">
        <v>6.1</v>
      </c>
      <c r="C46" s="2"/>
      <c r="D46" s="53" t="s">
        <v>62</v>
      </c>
      <c r="E46" s="54"/>
      <c r="F46" s="2" t="str">
        <f>VLOOKUP($D$7,'Source Data'!$A$2:$EK$28,37,FALSE)</f>
        <v>External</v>
      </c>
      <c r="G46" s="3"/>
    </row>
    <row r="47" spans="2:7" ht="45.6" customHeight="1">
      <c r="B47" s="52">
        <v>6.2</v>
      </c>
      <c r="C47" s="2"/>
      <c r="D47" s="53" t="s">
        <v>63</v>
      </c>
      <c r="E47" s="54" t="s">
        <v>229</v>
      </c>
      <c r="F47" s="2" t="str">
        <f>VLOOKUP($D$7,'Source Data'!$A$2:$EK$28,38,FALSE)</f>
        <v>0, +2.5 , +5</v>
      </c>
      <c r="G47" s="3"/>
    </row>
    <row r="48" spans="2:7" ht="45.6" customHeight="1">
      <c r="B48" s="55">
        <v>7</v>
      </c>
      <c r="C48" s="2" t="s">
        <v>230</v>
      </c>
      <c r="D48" s="56" t="s">
        <v>72</v>
      </c>
      <c r="E48" s="54"/>
      <c r="F48" s="2"/>
      <c r="G48" s="3"/>
    </row>
    <row r="49" spans="2:7" ht="45.6" customHeight="1">
      <c r="B49" s="52">
        <v>7.1</v>
      </c>
      <c r="C49" s="2"/>
      <c r="D49" s="53" t="s">
        <v>65</v>
      </c>
      <c r="E49" s="54"/>
      <c r="F49" s="2" t="str">
        <f>VLOOKUP($D$7,'Source Data'!$A$2:$EK$28,48,FALSE)</f>
        <v>xxxxxxxxxxx</v>
      </c>
      <c r="G49" s="3"/>
    </row>
    <row r="50" spans="2:7" ht="45.6" customHeight="1">
      <c r="B50" s="52">
        <v>7.2</v>
      </c>
      <c r="C50" s="2"/>
      <c r="D50" s="53" t="s">
        <v>66</v>
      </c>
      <c r="E50" s="54"/>
      <c r="F50" s="2" t="str">
        <f>VLOOKUP($D$7,'Source Data'!$A$2:$EK$28,49,FALSE)</f>
        <v>xxxxxxxxxxx</v>
      </c>
      <c r="G50" s="3"/>
    </row>
    <row r="51" spans="2:7" ht="45.6" customHeight="1">
      <c r="B51" s="52">
        <v>7.3</v>
      </c>
      <c r="C51" s="2"/>
      <c r="D51" s="53" t="s">
        <v>67</v>
      </c>
      <c r="E51" s="54"/>
      <c r="F51" s="2" t="str">
        <f>VLOOKUP($D$7,'Source Data'!$A$2:$EK$28,50,FALSE)</f>
        <v>xxxxxxxxxxx</v>
      </c>
      <c r="G51" s="3"/>
    </row>
    <row r="52" spans="2:7" ht="45.6" customHeight="1">
      <c r="B52" s="52">
        <v>7.4</v>
      </c>
      <c r="C52" s="2"/>
      <c r="D52" s="53" t="s">
        <v>68</v>
      </c>
      <c r="E52" s="54" t="s">
        <v>231</v>
      </c>
      <c r="F52" s="2" t="str">
        <f>VLOOKUP($D$7,'Source Data'!$A$2:$EK$28,51,FALSE)</f>
        <v>≥ 31</v>
      </c>
      <c r="G52" s="3"/>
    </row>
    <row r="53" spans="2:7" ht="45.6" customHeight="1">
      <c r="B53" s="52">
        <v>7.5</v>
      </c>
      <c r="C53" s="2"/>
      <c r="D53" s="53" t="s">
        <v>69</v>
      </c>
      <c r="E53" s="54"/>
      <c r="F53" s="2" t="str">
        <f>VLOOKUP($D$7,'Source Data'!$A$2:$EK$28,52,FALSE)</f>
        <v>Base</v>
      </c>
      <c r="G53" s="3"/>
    </row>
    <row r="54" spans="2:7" ht="45.6" customHeight="1">
      <c r="B54" s="52">
        <v>7.6</v>
      </c>
      <c r="C54" s="2"/>
      <c r="D54" s="53" t="s">
        <v>70</v>
      </c>
      <c r="E54" s="54"/>
      <c r="F54" s="2" t="str">
        <f>VLOOKUP($D$7,'Source Data'!$A$2:$EK$28,53,FALSE)</f>
        <v>Draw lead</v>
      </c>
      <c r="G54" s="3"/>
    </row>
    <row r="55" spans="2:7" ht="45.6" customHeight="1">
      <c r="B55" s="52">
        <v>7.7</v>
      </c>
      <c r="C55" s="2"/>
      <c r="D55" s="53" t="s">
        <v>71</v>
      </c>
      <c r="E55" s="54"/>
      <c r="F55" s="2" t="str">
        <f>VLOOKUP($D$7,'Source Data'!$A$2:$EK$28,54,FALSE)</f>
        <v>M12</v>
      </c>
      <c r="G55" s="3"/>
    </row>
    <row r="56" spans="2:7" ht="45.6" customHeight="1">
      <c r="B56" s="55">
        <v>8</v>
      </c>
      <c r="C56" s="2" t="s">
        <v>230</v>
      </c>
      <c r="D56" s="56" t="s">
        <v>73</v>
      </c>
      <c r="E56" s="54"/>
      <c r="F56" s="2"/>
      <c r="G56" s="3"/>
    </row>
    <row r="57" spans="2:7" ht="45.6" customHeight="1">
      <c r="B57" s="52">
        <v>8.1</v>
      </c>
      <c r="C57" s="2"/>
      <c r="D57" s="53" t="s">
        <v>65</v>
      </c>
      <c r="E57" s="54"/>
      <c r="F57" s="2" t="str">
        <f>VLOOKUP($D$7,'Source Data'!$A$2:$EK$28,56,FALSE)</f>
        <v>xxxxxxxxxxx</v>
      </c>
      <c r="G57" s="3"/>
    </row>
    <row r="58" spans="2:7" ht="45.6" customHeight="1">
      <c r="B58" s="52">
        <v>8.1999999999999993</v>
      </c>
      <c r="C58" s="2"/>
      <c r="D58" s="53" t="s">
        <v>66</v>
      </c>
      <c r="E58" s="54"/>
      <c r="F58" s="2" t="str">
        <f>VLOOKUP($D$7,'Source Data'!$A$2:$EK$28,57,FALSE)</f>
        <v>xxxxxxxxxxx</v>
      </c>
      <c r="G58" s="3"/>
    </row>
    <row r="59" spans="2:7" ht="45.6" customHeight="1">
      <c r="B59" s="52">
        <v>8.3000000000000007</v>
      </c>
      <c r="C59" s="2"/>
      <c r="D59" s="53" t="s">
        <v>67</v>
      </c>
      <c r="E59" s="54"/>
      <c r="F59" s="2" t="str">
        <f>VLOOKUP($D$7,'Source Data'!$A$2:$EK$28,58,FALSE)</f>
        <v>xxxxxxxxxxx</v>
      </c>
      <c r="G59" s="3"/>
    </row>
    <row r="60" spans="2:7" ht="45.6" customHeight="1">
      <c r="B60" s="52">
        <v>8.4</v>
      </c>
      <c r="C60" s="2"/>
      <c r="D60" s="53" t="s">
        <v>71</v>
      </c>
      <c r="E60" s="54"/>
      <c r="F60" s="2" t="str">
        <f>VLOOKUP($D$7,'Source Data'!$A$2:$EK$28,59,FALSE)</f>
        <v>M12</v>
      </c>
      <c r="G60" s="3"/>
    </row>
    <row r="61" spans="2:7" ht="45.6" customHeight="1">
      <c r="B61" s="52">
        <v>8.5</v>
      </c>
      <c r="C61" s="2"/>
      <c r="D61" s="53" t="s">
        <v>74</v>
      </c>
      <c r="E61" s="54"/>
      <c r="F61" s="2" t="str">
        <f>VLOOKUP($D$7,'Source Data'!$A$2:$EK$28,60,FALSE)</f>
        <v>Yes</v>
      </c>
      <c r="G61" s="3"/>
    </row>
    <row r="62" spans="2:7" ht="45.6" customHeight="1">
      <c r="B62" s="52">
        <v>8.6</v>
      </c>
      <c r="C62" s="2"/>
      <c r="D62" s="57" t="s">
        <v>75</v>
      </c>
      <c r="E62" s="54"/>
      <c r="F62" s="2" t="str">
        <f>VLOOKUP($D$7,'Source Data'!$A$2:$EK$28,61,FALSE)</f>
        <v>Yes</v>
      </c>
      <c r="G62" s="3"/>
    </row>
    <row r="63" spans="2:7" ht="45.6" customHeight="1">
      <c r="B63" s="55">
        <v>9</v>
      </c>
      <c r="C63" s="2" t="s">
        <v>232</v>
      </c>
      <c r="D63" s="56" t="s">
        <v>76</v>
      </c>
      <c r="E63" s="54"/>
      <c r="F63" s="2"/>
      <c r="G63" s="3"/>
    </row>
    <row r="64" spans="2:7" ht="45.6" customHeight="1">
      <c r="B64" s="52">
        <v>9.1</v>
      </c>
      <c r="C64" s="2"/>
      <c r="D64" s="53" t="s">
        <v>77</v>
      </c>
      <c r="E64" s="54"/>
      <c r="F64" s="2" t="str">
        <f>VLOOKUP($D$7,'Source Data'!$A$2:$EK$28,63,FALSE)</f>
        <v>Distribution</v>
      </c>
      <c r="G64" s="3" t="s">
        <v>149</v>
      </c>
    </row>
    <row r="65" spans="2:7" ht="45.6" customHeight="1">
      <c r="B65" s="52">
        <v>9.1999999999999993</v>
      </c>
      <c r="C65" s="2"/>
      <c r="D65" s="53" t="s">
        <v>78</v>
      </c>
      <c r="E65" s="54" t="s">
        <v>233</v>
      </c>
      <c r="F65" s="2">
        <f>VLOOKUP($D$7,'Source Data'!$A$2:$EK$28,64,FALSE)</f>
        <v>80500</v>
      </c>
      <c r="G65" s="3" t="s">
        <v>149</v>
      </c>
    </row>
    <row r="66" spans="2:7" ht="45.6" customHeight="1">
      <c r="B66" s="52">
        <v>9.3000000000000007</v>
      </c>
      <c r="C66" s="2"/>
      <c r="D66" s="53" t="s">
        <v>79</v>
      </c>
      <c r="E66" s="54" t="s">
        <v>233</v>
      </c>
      <c r="F66" s="2">
        <f>VLOOKUP($D$7,'Source Data'!$A$2:$EK$28,65,FALSE)</f>
        <v>17500</v>
      </c>
      <c r="G66" s="3" t="s">
        <v>149</v>
      </c>
    </row>
    <row r="67" spans="2:7" ht="45.6" customHeight="1">
      <c r="B67" s="52">
        <v>9.4</v>
      </c>
      <c r="C67" s="2"/>
      <c r="D67" s="53" t="s">
        <v>234</v>
      </c>
      <c r="E67" s="54" t="s">
        <v>235</v>
      </c>
      <c r="F67" s="2">
        <f>VLOOKUP($D$7,'Source Data'!$A$2:$EK$28,66,FALSE)</f>
        <v>100</v>
      </c>
      <c r="G67" s="3"/>
    </row>
    <row r="68" spans="2:7" ht="45.6" customHeight="1">
      <c r="B68" s="52">
        <v>9.5</v>
      </c>
      <c r="C68" s="2"/>
      <c r="D68" s="53" t="s">
        <v>236</v>
      </c>
      <c r="E68" s="54" t="s">
        <v>235</v>
      </c>
      <c r="F68" s="2">
        <v>50</v>
      </c>
      <c r="G68" s="3"/>
    </row>
    <row r="69" spans="2:7" ht="45.6" customHeight="1">
      <c r="B69" s="52">
        <v>9.6</v>
      </c>
      <c r="C69" s="2"/>
      <c r="D69" s="53" t="s">
        <v>237</v>
      </c>
      <c r="E69" s="54" t="s">
        <v>235</v>
      </c>
      <c r="F69" s="2">
        <f>VLOOKUP($D$7,'Source Data'!$A$2:$EK$28,67,FALSE)</f>
        <v>400</v>
      </c>
      <c r="G69" s="3"/>
    </row>
    <row r="70" spans="2:7" ht="45.6" customHeight="1">
      <c r="B70" s="55">
        <v>10</v>
      </c>
      <c r="C70" s="2" t="s">
        <v>232</v>
      </c>
      <c r="D70" s="58" t="s">
        <v>82</v>
      </c>
      <c r="E70" s="54"/>
      <c r="F70" s="2"/>
      <c r="G70" s="3"/>
    </row>
    <row r="71" spans="2:7" ht="45.6" customHeight="1">
      <c r="B71" s="52">
        <v>10.1</v>
      </c>
      <c r="C71" s="59"/>
      <c r="D71" s="60" t="s">
        <v>83</v>
      </c>
      <c r="E71" s="54" t="s">
        <v>229</v>
      </c>
      <c r="F71" s="61" t="str">
        <f>VLOOKUP($D$7,'Source Data'!$A$2:$EK$28,69,FALSE)</f>
        <v>3,0 to 4,5</v>
      </c>
      <c r="G71" s="3"/>
    </row>
    <row r="72" spans="2:7" ht="45.6" customHeight="1">
      <c r="B72" s="52">
        <v>10.199999999999999</v>
      </c>
      <c r="C72" s="2"/>
      <c r="D72" s="60" t="s">
        <v>84</v>
      </c>
      <c r="E72" s="54"/>
      <c r="F72" s="61" t="str">
        <f>VLOOKUP($D$7,'Source Data'!$A$2:$EK$28,70,FALSE)</f>
        <v>xxxxxxxxxx</v>
      </c>
      <c r="G72" s="3"/>
    </row>
    <row r="73" spans="2:7" ht="45.6" customHeight="1">
      <c r="B73" s="55">
        <v>11</v>
      </c>
      <c r="C73" s="2"/>
      <c r="D73" s="113" t="s">
        <v>238</v>
      </c>
      <c r="E73" s="54"/>
      <c r="F73" s="2"/>
      <c r="G73" s="3"/>
    </row>
    <row r="74" spans="2:7" ht="45.6" customHeight="1">
      <c r="B74" s="52">
        <v>11.1</v>
      </c>
      <c r="C74" s="2"/>
      <c r="D74" s="53" t="s">
        <v>86</v>
      </c>
      <c r="E74" s="54" t="s">
        <v>239</v>
      </c>
      <c r="F74" s="61" t="str">
        <f>VLOOKUP($D$7,'Source Data'!$A$2:$EK$28,72,FALSE)</f>
        <v xml:space="preserve">≤ 48 </v>
      </c>
      <c r="G74" s="3"/>
    </row>
    <row r="75" spans="2:7" ht="45.6" customHeight="1">
      <c r="B75" s="55">
        <v>12</v>
      </c>
      <c r="C75" s="2"/>
      <c r="D75" s="56" t="s">
        <v>87</v>
      </c>
      <c r="E75" s="54"/>
      <c r="F75" s="2"/>
      <c r="G75" s="3"/>
    </row>
    <row r="76" spans="2:7" ht="45.6" customHeight="1">
      <c r="B76" s="52">
        <v>12.1</v>
      </c>
      <c r="C76" s="2"/>
      <c r="D76" s="53" t="s">
        <v>88</v>
      </c>
      <c r="E76" s="54"/>
      <c r="F76" s="61" t="str">
        <f>VLOOKUP($D$7,'Source Data'!$A$2:$EK$28,74,FALSE)</f>
        <v>xxxxxxxxxxx</v>
      </c>
      <c r="G76" s="3"/>
    </row>
    <row r="77" spans="2:7" ht="45.6" customHeight="1">
      <c r="B77" s="52">
        <v>12.2</v>
      </c>
      <c r="C77" s="2"/>
      <c r="D77" s="53" t="s">
        <v>89</v>
      </c>
      <c r="E77" s="54"/>
      <c r="F77" s="61" t="str">
        <f>VLOOKUP($D$7,'Source Data'!$A$2:$EK$28,75,FALSE)</f>
        <v>xxxxxxxxxxx</v>
      </c>
      <c r="G77" s="3"/>
    </row>
    <row r="78" spans="2:7" ht="45.6" customHeight="1">
      <c r="B78" s="55">
        <v>13</v>
      </c>
      <c r="C78" s="2"/>
      <c r="D78" s="56" t="s">
        <v>90</v>
      </c>
      <c r="E78" s="54"/>
      <c r="F78" s="2"/>
      <c r="G78" s="3"/>
    </row>
    <row r="79" spans="2:7" ht="45.6" customHeight="1">
      <c r="B79" s="52">
        <v>13.1</v>
      </c>
      <c r="C79" s="2"/>
      <c r="D79" s="53" t="s">
        <v>88</v>
      </c>
      <c r="E79" s="54"/>
      <c r="F79" s="61" t="str">
        <f>VLOOKUP($D$7,'Source Data'!$A$2:$EK$28,77,FALSE)</f>
        <v>xxxxxxxxxxx</v>
      </c>
      <c r="G79" s="3"/>
    </row>
    <row r="80" spans="2:7" ht="45.6" customHeight="1">
      <c r="B80" s="52">
        <v>13.2</v>
      </c>
      <c r="C80" s="2"/>
      <c r="D80" s="53" t="s">
        <v>89</v>
      </c>
      <c r="E80" s="54"/>
      <c r="F80" s="61" t="str">
        <f>VLOOKUP($D$7,'Source Data'!$A$2:$EK$28,78,FALSE)</f>
        <v>xxxxxxxxxxx</v>
      </c>
      <c r="G80" s="3"/>
    </row>
    <row r="81" spans="2:7" ht="45.6" customHeight="1">
      <c r="B81" s="55">
        <v>14</v>
      </c>
      <c r="C81" s="2"/>
      <c r="D81" s="56" t="s">
        <v>91</v>
      </c>
      <c r="E81" s="54"/>
      <c r="F81" s="2"/>
      <c r="G81" s="3"/>
    </row>
    <row r="82" spans="2:7" ht="45.6" customHeight="1">
      <c r="B82" s="52">
        <v>14.1</v>
      </c>
      <c r="C82" s="2"/>
      <c r="D82" s="53" t="s">
        <v>92</v>
      </c>
      <c r="E82" s="54"/>
      <c r="F82" s="61" t="str">
        <f>VLOOKUP($D$7,'Source Data'!$A$2:$EK$28,80,FALSE)</f>
        <v>Steel or Amporphous</v>
      </c>
      <c r="G82" s="3"/>
    </row>
    <row r="83" spans="2:7" ht="45.6" customHeight="1">
      <c r="B83" s="52">
        <v>14.2</v>
      </c>
      <c r="C83" s="2"/>
      <c r="D83" s="53" t="s">
        <v>93</v>
      </c>
      <c r="E83" s="54"/>
      <c r="F83" s="61" t="str">
        <f>VLOOKUP($D$7,'Source Data'!$A$2:$EK$28,81,FALSE)</f>
        <v>xxxxxxxxxxx</v>
      </c>
      <c r="G83" s="3"/>
    </row>
    <row r="84" spans="2:7" ht="45.6" customHeight="1">
      <c r="B84" s="52">
        <v>14.3</v>
      </c>
      <c r="C84" s="2"/>
      <c r="D84" s="53" t="s">
        <v>94</v>
      </c>
      <c r="E84" s="54"/>
      <c r="F84" s="61" t="str">
        <f>VLOOKUP($D$7,'Source Data'!$A$2:$EK$28,82,FALSE)</f>
        <v>xxxxxxxxxxx</v>
      </c>
      <c r="G84" s="3"/>
    </row>
    <row r="85" spans="2:7" ht="45.6" customHeight="1">
      <c r="B85" s="52">
        <v>14.4</v>
      </c>
      <c r="C85" s="2"/>
      <c r="D85" s="53" t="s">
        <v>95</v>
      </c>
      <c r="E85" s="54"/>
      <c r="F85" s="61" t="str">
        <f>VLOOKUP($D$7,'Source Data'!$A$2:$EK$28,83,FALSE)</f>
        <v>xxxxxxxxxxx</v>
      </c>
      <c r="G85" s="3"/>
    </row>
    <row r="86" spans="2:7" ht="45.6" customHeight="1">
      <c r="B86" s="55">
        <v>15</v>
      </c>
      <c r="C86" s="2" t="s">
        <v>240</v>
      </c>
      <c r="D86" s="58" t="s">
        <v>96</v>
      </c>
      <c r="E86" s="54"/>
      <c r="F86" s="61"/>
      <c r="G86" s="3"/>
    </row>
    <row r="87" spans="2:7" ht="45.6" customHeight="1">
      <c r="B87" s="52">
        <v>15.1</v>
      </c>
      <c r="C87" s="2"/>
      <c r="D87" s="53" t="s">
        <v>97</v>
      </c>
      <c r="E87" s="54"/>
      <c r="F87" s="61" t="str">
        <f>VLOOKUP($D$7,'Source Data'!$A$2:$EK$28,85,FALSE)</f>
        <v>Sealed</v>
      </c>
      <c r="G87" s="3"/>
    </row>
    <row r="88" spans="2:7" ht="45.6" customHeight="1">
      <c r="B88" s="52">
        <v>15.2</v>
      </c>
      <c r="C88" s="2"/>
      <c r="D88" s="53" t="s">
        <v>98</v>
      </c>
      <c r="E88" s="54"/>
      <c r="F88" s="61" t="str">
        <f>VLOOKUP($D$7,'Source Data'!$A$2:$EK$28,86,FALSE)</f>
        <v>xxxxxxxxxx</v>
      </c>
      <c r="G88" s="3"/>
    </row>
    <row r="89" spans="2:7" ht="45.6" customHeight="1">
      <c r="B89" s="55">
        <v>16</v>
      </c>
      <c r="C89" s="2" t="s">
        <v>241</v>
      </c>
      <c r="D89" s="56" t="s">
        <v>99</v>
      </c>
      <c r="E89" s="54"/>
      <c r="F89" s="61"/>
      <c r="G89" s="3"/>
    </row>
    <row r="90" spans="2:7" ht="45.6" customHeight="1">
      <c r="B90" s="52">
        <v>16.100000000000001</v>
      </c>
      <c r="C90" s="2" t="s">
        <v>242</v>
      </c>
      <c r="D90" s="53" t="s">
        <v>100</v>
      </c>
      <c r="E90" s="54" t="s">
        <v>224</v>
      </c>
      <c r="F90" s="61" t="str">
        <f>VLOOKUP($D$7,'Source Data'!$A$2:$EK$28,88,FALSE)</f>
        <v xml:space="preserve">≤ 1 080 </v>
      </c>
      <c r="G90" s="3"/>
    </row>
    <row r="91" spans="2:7" ht="45.6" customHeight="1">
      <c r="B91" s="52">
        <v>16.2</v>
      </c>
      <c r="C91" s="2" t="s">
        <v>242</v>
      </c>
      <c r="D91" s="53" t="s">
        <v>101</v>
      </c>
      <c r="E91" s="54" t="s">
        <v>224</v>
      </c>
      <c r="F91" s="61" t="str">
        <f>VLOOKUP($D$7,'Source Data'!$A$2:$EK$28,89,FALSE)</f>
        <v xml:space="preserve">≤ 1 500 </v>
      </c>
      <c r="G91" s="3"/>
    </row>
    <row r="92" spans="2:7" ht="45.6" customHeight="1">
      <c r="B92" s="52">
        <v>16.3</v>
      </c>
      <c r="C92" s="2" t="s">
        <v>242</v>
      </c>
      <c r="D92" s="53" t="s">
        <v>102</v>
      </c>
      <c r="E92" s="54" t="s">
        <v>224</v>
      </c>
      <c r="F92" s="61" t="str">
        <f>VLOOKUP($D$7,'Source Data'!$A$2:$EK$28,90,FALSE)</f>
        <v xml:space="preserve">≤ 1 500 </v>
      </c>
      <c r="G92" s="3"/>
    </row>
    <row r="93" spans="2:7" ht="45.6" customHeight="1">
      <c r="B93" s="52">
        <v>16.399999999999999</v>
      </c>
      <c r="C93" s="2" t="s">
        <v>242</v>
      </c>
      <c r="D93" s="53" t="s">
        <v>103</v>
      </c>
      <c r="E93" s="54" t="s">
        <v>243</v>
      </c>
      <c r="F93" s="2" t="str">
        <f>VLOOKUP($D$7,'Source Data'!$A$2:$EK$28,91,FALSE)</f>
        <v xml:space="preserve">≤ 900 </v>
      </c>
      <c r="G93" s="3"/>
    </row>
    <row r="94" spans="2:7" ht="45.6" customHeight="1">
      <c r="B94" s="52">
        <v>16.5</v>
      </c>
      <c r="C94" s="2"/>
      <c r="D94" s="53" t="s">
        <v>104</v>
      </c>
      <c r="E94" s="54" t="s">
        <v>244</v>
      </c>
      <c r="F94" s="2" t="str">
        <f>VLOOKUP($D$7,'Source Data'!$A$2:$EK$28,92,FALSE)</f>
        <v>xxxxxxxxxxx</v>
      </c>
      <c r="G94" s="3"/>
    </row>
    <row r="95" spans="2:7" ht="45.6" customHeight="1">
      <c r="B95" s="52">
        <v>16.600000000000001</v>
      </c>
      <c r="C95" s="2"/>
      <c r="D95" s="53" t="s">
        <v>105</v>
      </c>
      <c r="E95" s="54" t="s">
        <v>224</v>
      </c>
      <c r="F95" s="2">
        <f>VLOOKUP($D$7,'Source Data'!$A$2:$EK$28,93,FALSE)</f>
        <v>400</v>
      </c>
      <c r="G95" s="3"/>
    </row>
    <row r="96" spans="2:7" ht="45.6" customHeight="1">
      <c r="B96" s="52">
        <v>16.7</v>
      </c>
      <c r="C96" s="2" t="s">
        <v>245</v>
      </c>
      <c r="D96" s="53" t="s">
        <v>106</v>
      </c>
      <c r="E96" s="54" t="s">
        <v>224</v>
      </c>
      <c r="F96" s="2">
        <f>VLOOKUP($D$7,'Source Data'!$A$2:$EK$28,94,FALSE)</f>
        <v>100</v>
      </c>
      <c r="G96" s="3"/>
    </row>
    <row r="97" spans="2:7" ht="45.6" customHeight="1">
      <c r="B97" s="55">
        <v>17</v>
      </c>
      <c r="C97" s="2" t="s">
        <v>245</v>
      </c>
      <c r="D97" s="56" t="s">
        <v>107</v>
      </c>
      <c r="E97" s="54"/>
      <c r="F97" s="2"/>
      <c r="G97" s="3"/>
    </row>
    <row r="98" spans="2:7" ht="45.6" customHeight="1">
      <c r="B98" s="52">
        <v>17.100000000000001</v>
      </c>
      <c r="C98" s="2"/>
      <c r="D98" s="53" t="s">
        <v>108</v>
      </c>
      <c r="E98" s="54"/>
      <c r="F98" s="2" t="str">
        <f>VLOOKUP($D$7,'Source Data'!$A$2:$EK$28,96,FALSE)</f>
        <v>Yes</v>
      </c>
      <c r="G98" s="3"/>
    </row>
    <row r="99" spans="2:7" ht="45.6" customHeight="1">
      <c r="B99" s="52" t="s">
        <v>246</v>
      </c>
      <c r="C99" s="62"/>
      <c r="D99" s="53" t="s">
        <v>109</v>
      </c>
      <c r="E99" s="54"/>
      <c r="F99" s="2" t="str">
        <f>VLOOKUP($D$7,'Source Data'!$A$2:$EK$28,97,FALSE)</f>
        <v>Yes</v>
      </c>
      <c r="G99" s="3"/>
    </row>
    <row r="100" spans="2:7" ht="45.6" customHeight="1">
      <c r="B100" s="52" t="s">
        <v>247</v>
      </c>
      <c r="C100" s="62"/>
      <c r="D100" s="60" t="s">
        <v>110</v>
      </c>
      <c r="E100" s="54"/>
      <c r="F100" s="2" t="str">
        <f>VLOOKUP($D$7,'Source Data'!$A$2:$EK$28,98,FALSE)</f>
        <v>Yes</v>
      </c>
      <c r="G100" s="3"/>
    </row>
    <row r="101" spans="2:7" ht="45.6" customHeight="1">
      <c r="B101" s="52" t="s">
        <v>248</v>
      </c>
      <c r="C101" s="62"/>
      <c r="D101" s="60" t="s">
        <v>111</v>
      </c>
      <c r="E101" s="54"/>
      <c r="F101" s="2" t="str">
        <f>VLOOKUP($D$7,'Source Data'!$A$2:$EK$28,99,FALSE)</f>
        <v>Yes</v>
      </c>
      <c r="G101" s="3"/>
    </row>
    <row r="102" spans="2:7" ht="45.6" customHeight="1">
      <c r="B102" s="52" t="s">
        <v>249</v>
      </c>
      <c r="C102" s="62"/>
      <c r="D102" s="60" t="s">
        <v>112</v>
      </c>
      <c r="E102" s="54"/>
      <c r="F102" s="2" t="str">
        <f>VLOOKUP($D$7,'Source Data'!$A$2:$EK$28,100,FALSE)</f>
        <v>Yes</v>
      </c>
      <c r="G102" s="3"/>
    </row>
    <row r="103" spans="2:7" ht="45.6" customHeight="1">
      <c r="B103" s="52">
        <v>17.2</v>
      </c>
      <c r="C103" s="2" t="s">
        <v>250</v>
      </c>
      <c r="D103" s="53" t="s">
        <v>113</v>
      </c>
      <c r="E103" s="54" t="s">
        <v>224</v>
      </c>
      <c r="F103" s="2">
        <f>VLOOKUP($D$7,'Source Data'!$A$2:$EK$28,101,FALSE)</f>
        <v>400</v>
      </c>
      <c r="G103" s="3"/>
    </row>
    <row r="104" spans="2:7" ht="45.6" customHeight="1">
      <c r="B104" s="52">
        <v>17.3</v>
      </c>
      <c r="C104" s="2" t="s">
        <v>250</v>
      </c>
      <c r="D104" s="53" t="s">
        <v>114</v>
      </c>
      <c r="E104" s="54" t="s">
        <v>224</v>
      </c>
      <c r="F104" s="2" t="str">
        <f>VLOOKUP($D$7,'Source Data'!$A$2:$EK$28,102,FALSE)</f>
        <v xml:space="preserve">≤ 400 </v>
      </c>
      <c r="G104" s="3"/>
    </row>
    <row r="105" spans="2:7" ht="45.6" customHeight="1">
      <c r="B105" s="52">
        <v>17.399999999999999</v>
      </c>
      <c r="C105" s="2" t="s">
        <v>250</v>
      </c>
      <c r="D105" s="53" t="s">
        <v>115</v>
      </c>
      <c r="E105" s="54" t="s">
        <v>224</v>
      </c>
      <c r="F105" s="2" t="str">
        <f>VLOOKUP($D$7,'Source Data'!$A$2:$EK$28,103,FALSE)</f>
        <v xml:space="preserve">≤ 450 </v>
      </c>
      <c r="G105" s="3"/>
    </row>
    <row r="106" spans="2:7" ht="45.6" customHeight="1">
      <c r="B106" s="52">
        <v>17.5</v>
      </c>
      <c r="C106" s="2" t="s">
        <v>250</v>
      </c>
      <c r="D106" s="53" t="s">
        <v>116</v>
      </c>
      <c r="E106" s="54" t="s">
        <v>224</v>
      </c>
      <c r="F106" s="2">
        <f>VLOOKUP($D$7,'Source Data'!$A$2:$EK$28,104,FALSE)</f>
        <v>22</v>
      </c>
      <c r="G106" s="3"/>
    </row>
    <row r="107" spans="2:7" ht="45.6" customHeight="1">
      <c r="B107" s="52">
        <v>17.600000000000001</v>
      </c>
      <c r="C107" s="2" t="s">
        <v>250</v>
      </c>
      <c r="D107" s="53" t="s">
        <v>117</v>
      </c>
      <c r="E107" s="54" t="s">
        <v>224</v>
      </c>
      <c r="F107" s="2">
        <f>VLOOKUP($D$7,'Source Data'!$A$2:$EK$28,105,FALSE)</f>
        <v>146</v>
      </c>
      <c r="G107" s="3"/>
    </row>
    <row r="108" spans="2:7" ht="45.6" customHeight="1">
      <c r="B108" s="55">
        <v>18</v>
      </c>
      <c r="C108" s="59" t="s">
        <v>251</v>
      </c>
      <c r="D108" s="56" t="s">
        <v>118</v>
      </c>
      <c r="E108" s="54"/>
      <c r="F108" s="2"/>
      <c r="G108" s="3"/>
    </row>
    <row r="109" spans="2:7" ht="45.6" customHeight="1">
      <c r="B109" s="52">
        <v>18.100000000000001</v>
      </c>
      <c r="C109" s="2"/>
      <c r="D109" s="53" t="s">
        <v>119</v>
      </c>
      <c r="E109" s="54"/>
      <c r="F109" s="2" t="str">
        <f>VLOOKUP($D$7,'Source Data'!$A$2:$EK$28,107,FALSE)</f>
        <v>No</v>
      </c>
      <c r="G109" s="3" t="s">
        <v>149</v>
      </c>
    </row>
    <row r="110" spans="2:7" ht="45.6" customHeight="1">
      <c r="B110" s="52">
        <v>18.2</v>
      </c>
      <c r="C110" s="2" t="s">
        <v>252</v>
      </c>
      <c r="D110" s="53" t="s">
        <v>120</v>
      </c>
      <c r="E110" s="54" t="s">
        <v>224</v>
      </c>
      <c r="F110" s="2">
        <f>VLOOKUP($D$7,'Source Data'!$A$2:$EK$28,108,FALSE)</f>
        <v>400</v>
      </c>
      <c r="G110" s="3" t="s">
        <v>152</v>
      </c>
    </row>
    <row r="111" spans="2:7" ht="45.6" customHeight="1">
      <c r="B111" s="52">
        <v>18.3</v>
      </c>
      <c r="C111" s="2" t="s">
        <v>252</v>
      </c>
      <c r="D111" s="53" t="s">
        <v>121</v>
      </c>
      <c r="E111" s="54" t="s">
        <v>224</v>
      </c>
      <c r="F111" s="2" t="str">
        <f>VLOOKUP($D$7,'Source Data'!$A$2:$EK$28,109,FALSE)</f>
        <v>xxxxxxxxxxx</v>
      </c>
      <c r="G111" s="3" t="s">
        <v>152</v>
      </c>
    </row>
    <row r="112" spans="2:7" ht="45.6" customHeight="1">
      <c r="B112" s="52">
        <v>18.399999999999999</v>
      </c>
      <c r="C112" s="2" t="s">
        <v>252</v>
      </c>
      <c r="D112" s="53" t="s">
        <v>122</v>
      </c>
      <c r="E112" s="54" t="s">
        <v>224</v>
      </c>
      <c r="F112" s="2" t="str">
        <f>VLOOKUP($D$7,'Source Data'!$A$2:$EK$28,110,FALSE)</f>
        <v>≥ 320</v>
      </c>
      <c r="G112" s="3" t="s">
        <v>152</v>
      </c>
    </row>
    <row r="113" spans="2:7" ht="45.6" customHeight="1">
      <c r="B113" s="52">
        <v>18.5</v>
      </c>
      <c r="C113" s="2" t="s">
        <v>252</v>
      </c>
      <c r="D113" s="53" t="s">
        <v>123</v>
      </c>
      <c r="E113" s="54" t="s">
        <v>224</v>
      </c>
      <c r="F113" s="2" t="str">
        <f>VLOOKUP($D$7,'Source Data'!$A$2:$EK$28,111,FALSE)</f>
        <v xml:space="preserve">≤ 120 </v>
      </c>
      <c r="G113" s="3" t="s">
        <v>152</v>
      </c>
    </row>
    <row r="114" spans="2:7" ht="45.6" customHeight="1">
      <c r="B114" s="52">
        <v>18.600000000000001</v>
      </c>
      <c r="C114" s="2" t="s">
        <v>252</v>
      </c>
      <c r="D114" s="53" t="s">
        <v>116</v>
      </c>
      <c r="E114" s="54" t="s">
        <v>224</v>
      </c>
      <c r="F114" s="2">
        <f>VLOOKUP($D$7,'Source Data'!$A$2:$EK$28,112,FALSE)</f>
        <v>22</v>
      </c>
      <c r="G114" s="3" t="s">
        <v>152</v>
      </c>
    </row>
    <row r="115" spans="2:7" ht="45.6" customHeight="1">
      <c r="B115" s="55">
        <v>19</v>
      </c>
      <c r="C115" s="2" t="s">
        <v>253</v>
      </c>
      <c r="D115" s="56" t="s">
        <v>124</v>
      </c>
      <c r="E115" s="54"/>
      <c r="F115" s="2"/>
      <c r="G115" s="3"/>
    </row>
    <row r="116" spans="2:7" ht="45.6" customHeight="1">
      <c r="B116" s="52">
        <v>19.100000000000001</v>
      </c>
      <c r="C116" s="2"/>
      <c r="D116" s="53" t="s">
        <v>125</v>
      </c>
      <c r="E116" s="54"/>
      <c r="F116" s="2" t="str">
        <f>VLOOKUP($D$7,'Source Data'!$A$2:$EK$28,114,FALSE)</f>
        <v>Yes</v>
      </c>
      <c r="G116" s="3"/>
    </row>
    <row r="117" spans="2:7" ht="45.6" customHeight="1">
      <c r="B117" s="52">
        <v>19.2</v>
      </c>
      <c r="C117" s="2"/>
      <c r="D117" s="53" t="s">
        <v>126</v>
      </c>
      <c r="E117" s="54" t="s">
        <v>224</v>
      </c>
      <c r="F117" s="2" t="str">
        <f>VLOOKUP($D$7,'Source Data'!$A$2:$EK$28,115,FALSE)</f>
        <v xml:space="preserve">≥ 30 </v>
      </c>
      <c r="G117" s="3"/>
    </row>
    <row r="118" spans="2:7" ht="45.6" customHeight="1">
      <c r="B118" s="55">
        <v>20</v>
      </c>
      <c r="C118" s="2" t="s">
        <v>254</v>
      </c>
      <c r="D118" s="56" t="s">
        <v>127</v>
      </c>
      <c r="E118" s="54"/>
      <c r="F118" s="2"/>
      <c r="G118" s="3"/>
    </row>
    <row r="119" spans="2:7" ht="45.6" customHeight="1">
      <c r="B119" s="52">
        <v>20.100000000000001</v>
      </c>
      <c r="C119" s="2"/>
      <c r="D119" s="53" t="s">
        <v>128</v>
      </c>
      <c r="E119" s="54"/>
      <c r="F119" s="2" t="str">
        <f>VLOOKUP($D$7,'Source Data'!$A$2:$EK$28,117,FALSE)</f>
        <v>316 Stainless Steel or Mild Steel</v>
      </c>
      <c r="G119" s="3"/>
    </row>
    <row r="120" spans="2:7" ht="45.6" customHeight="1">
      <c r="B120" s="52">
        <v>20.2</v>
      </c>
      <c r="C120" s="2"/>
      <c r="D120" s="53" t="s">
        <v>129</v>
      </c>
      <c r="E120" s="54" t="s">
        <v>224</v>
      </c>
      <c r="F120" s="2" t="str">
        <f>VLOOKUP($D$7,'Source Data'!$A$2:$EK$28,118,FALSE)</f>
        <v>≥ 30</v>
      </c>
      <c r="G120" s="3"/>
    </row>
    <row r="121" spans="2:7" ht="45.6" customHeight="1">
      <c r="B121" s="52">
        <v>20.3</v>
      </c>
      <c r="C121" s="2"/>
      <c r="D121" s="53" t="s">
        <v>130</v>
      </c>
      <c r="E121" s="54"/>
      <c r="F121" s="2" t="str">
        <f>VLOOKUP($D$7,'Source Data'!$A$2:$EK$28,119,FALSE)</f>
        <v>316 Stainless Steel or Mild Steel</v>
      </c>
      <c r="G121" s="3"/>
    </row>
    <row r="122" spans="2:7" ht="45.6" customHeight="1">
      <c r="B122" s="52">
        <v>20.399999999999999</v>
      </c>
      <c r="C122" s="2"/>
      <c r="D122" s="53" t="s">
        <v>131</v>
      </c>
      <c r="E122" s="54" t="s">
        <v>224</v>
      </c>
      <c r="F122" s="2" t="str">
        <f>VLOOKUP($D$7,'Source Data'!$A$2:$EK$28,120,FALSE)</f>
        <v xml:space="preserve">M12 x 25 </v>
      </c>
      <c r="G122" s="3"/>
    </row>
    <row r="123" spans="2:7" ht="45.6" customHeight="1">
      <c r="B123" s="52">
        <v>20.5</v>
      </c>
      <c r="C123" s="2"/>
      <c r="D123" s="53" t="s">
        <v>132</v>
      </c>
      <c r="E123" s="54"/>
      <c r="F123" s="2" t="str">
        <f>VLOOKUP($D$7,'Source Data'!$A$2:$EK$28,121,FALSE)</f>
        <v>Yes</v>
      </c>
      <c r="G123" s="3"/>
    </row>
    <row r="124" spans="2:7" ht="45.6" customHeight="1">
      <c r="B124" s="55">
        <v>21</v>
      </c>
      <c r="C124" s="2" t="s">
        <v>255</v>
      </c>
      <c r="D124" s="56" t="s">
        <v>133</v>
      </c>
      <c r="E124" s="54"/>
      <c r="F124" s="2"/>
      <c r="G124" s="3"/>
    </row>
    <row r="125" spans="2:7" ht="45.6" customHeight="1">
      <c r="B125" s="52">
        <v>21.1</v>
      </c>
      <c r="C125" s="2"/>
      <c r="D125" s="53" t="s">
        <v>134</v>
      </c>
      <c r="E125" s="54"/>
      <c r="F125" s="2" t="str">
        <f>VLOOKUP($D$7,'Source Data'!$A$2:$EK$28,123,FALSE)</f>
        <v>Yes</v>
      </c>
      <c r="G125" s="3"/>
    </row>
    <row r="126" spans="2:7" ht="45.6" customHeight="1">
      <c r="B126" s="52">
        <v>21.2</v>
      </c>
      <c r="C126" s="2" t="s">
        <v>256</v>
      </c>
      <c r="D126" s="53" t="s">
        <v>116</v>
      </c>
      <c r="E126" s="54" t="s">
        <v>224</v>
      </c>
      <c r="F126" s="2">
        <f>VLOOKUP($D$7,'Source Data'!$A$2:$EK$28,124,FALSE)</f>
        <v>14</v>
      </c>
      <c r="G126" s="3"/>
    </row>
    <row r="127" spans="2:7" ht="45.6" customHeight="1">
      <c r="B127" s="52">
        <v>21.3</v>
      </c>
      <c r="C127" s="2" t="s">
        <v>256</v>
      </c>
      <c r="D127" s="53" t="s">
        <v>135</v>
      </c>
      <c r="E127" s="54" t="s">
        <v>224</v>
      </c>
      <c r="F127" s="2" t="str">
        <f>VLOOKUP($D$7,'Source Data'!$A$2:$EK$28,125,FALSE)</f>
        <v>≥ 200</v>
      </c>
      <c r="G127" s="3"/>
    </row>
    <row r="128" spans="2:7" ht="45.6" customHeight="1">
      <c r="B128" s="52">
        <v>21.4</v>
      </c>
      <c r="C128" s="2" t="s">
        <v>256</v>
      </c>
      <c r="D128" s="53" t="s">
        <v>136</v>
      </c>
      <c r="E128" s="54" t="s">
        <v>224</v>
      </c>
      <c r="F128" s="2" t="str">
        <f>VLOOKUP($D$7,'Source Data'!$A$2:$EK$28,126,FALSE)</f>
        <v xml:space="preserve">≥ 400 </v>
      </c>
      <c r="G128" s="3"/>
    </row>
    <row r="129" spans="2:7" ht="45.6" customHeight="1">
      <c r="B129" s="52">
        <v>21.5</v>
      </c>
      <c r="C129" s="2" t="s">
        <v>256</v>
      </c>
      <c r="D129" s="53" t="s">
        <v>137</v>
      </c>
      <c r="E129" s="54" t="s">
        <v>224</v>
      </c>
      <c r="F129" s="2" t="str">
        <f>VLOOKUP($D$7,'Source Data'!$A$2:$EK$28,127,FALSE)</f>
        <v>≥ 150</v>
      </c>
      <c r="G129" s="3"/>
    </row>
    <row r="130" spans="2:7" ht="45.6" customHeight="1">
      <c r="B130" s="55">
        <v>22</v>
      </c>
      <c r="C130" s="63">
        <v>3.4</v>
      </c>
      <c r="D130" s="64" t="s">
        <v>144</v>
      </c>
      <c r="E130" s="65"/>
      <c r="F130" s="63"/>
      <c r="G130" s="66"/>
    </row>
    <row r="131" spans="2:7" ht="45.6" customHeight="1">
      <c r="B131" s="52">
        <v>22.1</v>
      </c>
      <c r="C131" s="2"/>
      <c r="D131" s="67" t="s">
        <v>145</v>
      </c>
      <c r="E131" s="54"/>
      <c r="F131" s="2"/>
      <c r="G131" s="3"/>
    </row>
    <row r="132" spans="2:7" ht="45.6" customHeight="1">
      <c r="B132" s="52">
        <v>22.2</v>
      </c>
      <c r="C132" s="2"/>
      <c r="D132" s="67" t="s">
        <v>140</v>
      </c>
      <c r="E132" s="54"/>
      <c r="F132" s="2" t="str">
        <f>VLOOKUP($D$7,'Source Data'!$A$2:$EK$28,136,FALSE)</f>
        <v>xxxxxxxxxxx</v>
      </c>
      <c r="G132" s="3"/>
    </row>
    <row r="133" spans="2:7" ht="45.6" customHeight="1">
      <c r="B133" s="52">
        <v>22.3</v>
      </c>
      <c r="C133" s="2"/>
      <c r="D133" s="67" t="s">
        <v>141</v>
      </c>
      <c r="E133" s="54"/>
      <c r="F133" s="2" t="str">
        <f>VLOOKUP($D$7,'Source Data'!$A$2:$EK$28,137,FALSE)</f>
        <v>xxxxxxxxxxx</v>
      </c>
      <c r="G133" s="3"/>
    </row>
    <row r="134" spans="2:7" ht="45.6" customHeight="1">
      <c r="B134" s="52">
        <v>22.4</v>
      </c>
      <c r="C134" s="68"/>
      <c r="D134" s="67" t="s">
        <v>142</v>
      </c>
      <c r="E134" s="69"/>
      <c r="F134" s="2" t="str">
        <f>VLOOKUP($D$7,'Source Data'!$A$2:$EK$28,138,FALSE)</f>
        <v>xxxxxxxxxxx</v>
      </c>
      <c r="G134" s="70"/>
    </row>
    <row r="135" spans="2:7" ht="45.6" customHeight="1">
      <c r="B135" s="52">
        <v>22.5</v>
      </c>
      <c r="C135" s="68"/>
      <c r="D135" s="67" t="s">
        <v>143</v>
      </c>
      <c r="E135" s="69"/>
      <c r="F135" s="2" t="str">
        <f>VLOOKUP($D$7,'Source Data'!$A$2:$EK$28,139,FALSE)</f>
        <v>Azure Blue</v>
      </c>
      <c r="G135" s="70"/>
    </row>
    <row r="136" spans="2:7" ht="157.15" customHeight="1">
      <c r="B136" s="71">
        <v>23</v>
      </c>
      <c r="C136" s="68">
        <v>4.2</v>
      </c>
      <c r="D136" s="64" t="s">
        <v>257</v>
      </c>
      <c r="E136" s="69"/>
      <c r="F136" s="2" t="str">
        <f>VLOOKUP($D$7,'Source Data'!$A$2:$EK$28,140,FALSE)</f>
        <v>Report Numbers</v>
      </c>
      <c r="G136" s="70"/>
    </row>
    <row r="137" spans="2:7" ht="241.9" thickBot="1">
      <c r="B137" s="72">
        <v>24</v>
      </c>
      <c r="C137" s="73">
        <v>4.3</v>
      </c>
      <c r="D137" s="74" t="s">
        <v>258</v>
      </c>
      <c r="E137" s="75"/>
      <c r="F137" s="73" t="str">
        <f>VLOOKUP($D$7,'Source Data'!$A$2:$EK$28,141,FALSE)</f>
        <v>Report Numbers</v>
      </c>
      <c r="G137" s="76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&amp;CSingle-phase SWER MV LV, 16 kVA, 19kV/242V 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137"/>
  <sheetViews>
    <sheetView zoomScale="70" zoomScaleNormal="70" zoomScaleSheetLayoutView="70" workbookViewId="0">
      <selection activeCell="H76" sqref="H76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24" customWidth="1"/>
    <col min="6" max="6" width="22.85546875" customWidth="1"/>
    <col min="7" max="7" width="30.85546875" customWidth="1"/>
  </cols>
  <sheetData>
    <row r="1" spans="2:7" ht="15" thickBot="1"/>
    <row r="2" spans="2:7">
      <c r="B2" s="25"/>
      <c r="C2" s="26"/>
      <c r="D2" s="26"/>
      <c r="E2" s="27"/>
      <c r="F2" s="26"/>
      <c r="G2" s="28"/>
    </row>
    <row r="3" spans="2:7">
      <c r="B3" s="29"/>
      <c r="C3" s="30"/>
      <c r="D3" s="30"/>
      <c r="E3" s="31"/>
      <c r="F3" s="105" t="s">
        <v>207</v>
      </c>
      <c r="G3" s="106"/>
    </row>
    <row r="4" spans="2:7">
      <c r="B4" s="29"/>
      <c r="C4" s="30"/>
      <c r="D4" s="30"/>
      <c r="E4" s="31"/>
      <c r="F4" s="105" t="str">
        <f>'List of Items &amp; Enquiry number'!B14</f>
        <v>Enquiry Number: 123456XYZ</v>
      </c>
      <c r="G4" s="106"/>
    </row>
    <row r="5" spans="2:7">
      <c r="B5" s="29"/>
      <c r="C5" s="30"/>
      <c r="D5" s="30"/>
      <c r="E5" s="31"/>
      <c r="F5" s="30"/>
      <c r="G5" s="32"/>
    </row>
    <row r="6" spans="2:7" ht="28.9">
      <c r="B6" s="33"/>
      <c r="C6" s="34"/>
      <c r="D6" s="35" t="s">
        <v>208</v>
      </c>
      <c r="E6" s="36"/>
      <c r="F6" s="37"/>
      <c r="G6" s="38"/>
    </row>
    <row r="7" spans="2:7">
      <c r="B7" s="29"/>
      <c r="C7" s="30"/>
      <c r="D7" s="39" t="s">
        <v>22</v>
      </c>
      <c r="E7" s="31"/>
      <c r="F7" s="30"/>
      <c r="G7" s="32"/>
    </row>
    <row r="8" spans="2:7">
      <c r="B8" s="29"/>
      <c r="C8" s="30"/>
      <c r="D8" s="30" t="s">
        <v>209</v>
      </c>
      <c r="E8" s="30"/>
      <c r="F8" s="107" t="s">
        <v>210</v>
      </c>
      <c r="G8" s="108"/>
    </row>
    <row r="9" spans="2:7" ht="14.45" customHeight="1">
      <c r="B9" s="40" t="s">
        <v>211</v>
      </c>
      <c r="C9" s="1"/>
      <c r="D9" s="1"/>
      <c r="E9" s="1"/>
      <c r="F9" s="107"/>
      <c r="G9" s="108"/>
    </row>
    <row r="10" spans="2:7" ht="15" thickBot="1">
      <c r="B10" s="111" t="s">
        <v>212</v>
      </c>
      <c r="C10" s="112"/>
      <c r="D10" s="112"/>
      <c r="E10" s="41"/>
      <c r="F10" s="109"/>
      <c r="G10" s="110"/>
    </row>
    <row r="11" spans="2:7" ht="28.15" thickBot="1">
      <c r="B11" s="42" t="s">
        <v>198</v>
      </c>
      <c r="C11" s="43" t="s">
        <v>213</v>
      </c>
      <c r="D11" s="44" t="s">
        <v>15</v>
      </c>
      <c r="E11" s="45"/>
      <c r="F11" s="46" t="s">
        <v>214</v>
      </c>
      <c r="G11" s="43" t="s">
        <v>215</v>
      </c>
    </row>
    <row r="12" spans="2:7" ht="45.6" customHeight="1">
      <c r="B12" s="47">
        <v>1</v>
      </c>
      <c r="C12" s="48"/>
      <c r="D12" s="49" t="s">
        <v>27</v>
      </c>
      <c r="E12" s="50"/>
      <c r="F12" s="48"/>
      <c r="G12" s="51"/>
    </row>
    <row r="13" spans="2:7" ht="45.6" customHeight="1">
      <c r="B13" s="52">
        <v>1.1000000000000001</v>
      </c>
      <c r="C13" s="2"/>
      <c r="D13" s="53" t="s">
        <v>28</v>
      </c>
      <c r="E13" s="54"/>
      <c r="F13" s="2" t="str">
        <f>VLOOKUP($D$7,'Source Data'!$A$2:$EK$28,3,FALSE)</f>
        <v>xxxxxxxxxxx</v>
      </c>
      <c r="G13" s="3"/>
    </row>
    <row r="14" spans="2:7" ht="45.6" customHeight="1">
      <c r="B14" s="52">
        <v>1.2000000000000002</v>
      </c>
      <c r="C14" s="2"/>
      <c r="D14" s="53" t="s">
        <v>29</v>
      </c>
      <c r="E14" s="54"/>
      <c r="F14" s="2" t="str">
        <f>VLOOKUP($D$7,'Source Data'!$A$2:$EK$28,4,FALSE)</f>
        <v>xxxxxxxxxxx</v>
      </c>
      <c r="G14" s="3"/>
    </row>
    <row r="15" spans="2:7" ht="45.6" customHeight="1">
      <c r="B15" s="52">
        <v>1.3</v>
      </c>
      <c r="C15" s="2"/>
      <c r="D15" s="53" t="s">
        <v>31</v>
      </c>
      <c r="E15" s="54"/>
      <c r="F15" s="2" t="str">
        <f>VLOOKUP($D$7,'Source Data'!$A$2:$EK$28,6,FALSE)</f>
        <v>xxxxxxxxxxx</v>
      </c>
      <c r="G15" s="3"/>
    </row>
    <row r="16" spans="2:7" ht="45.6" customHeight="1">
      <c r="B16" s="52">
        <v>1.4</v>
      </c>
      <c r="C16" s="2"/>
      <c r="D16" s="53" t="s">
        <v>216</v>
      </c>
      <c r="E16" s="54"/>
      <c r="F16" s="2" t="str">
        <f>VLOOKUP($D$7,'Source Data'!$A$2:$EK$28,7,FALSE)</f>
        <v>xxxxxxxxxxx</v>
      </c>
      <c r="G16" s="3"/>
    </row>
    <row r="17" spans="2:7" ht="45.6" customHeight="1">
      <c r="B17" s="52">
        <v>1.5</v>
      </c>
      <c r="C17" s="2"/>
      <c r="D17" s="53" t="s">
        <v>217</v>
      </c>
      <c r="E17" s="54"/>
      <c r="F17" s="2" t="str">
        <f>VLOOKUP($D$7,'Source Data'!$A$2:$EK$28,8,FALSE)</f>
        <v>xxxxxxxxxxx</v>
      </c>
      <c r="G17" s="3"/>
    </row>
    <row r="18" spans="2:7" ht="45.6" customHeight="1">
      <c r="B18" s="52">
        <v>1.6</v>
      </c>
      <c r="C18" s="2"/>
      <c r="D18" s="53" t="s">
        <v>34</v>
      </c>
      <c r="E18" s="54"/>
      <c r="F18" s="2" t="str">
        <f>VLOOKUP($D$7,'Source Data'!$A$2:$EK$28,9,FALSE)</f>
        <v>Ester Oil</v>
      </c>
      <c r="G18" s="3"/>
    </row>
    <row r="19" spans="2:7" ht="45.6" customHeight="1">
      <c r="B19" s="55">
        <v>2</v>
      </c>
      <c r="C19" s="2">
        <v>3</v>
      </c>
      <c r="D19" s="56" t="s">
        <v>35</v>
      </c>
      <c r="E19" s="54"/>
      <c r="F19" s="2"/>
      <c r="G19" s="3"/>
    </row>
    <row r="20" spans="2:7" ht="45.6" customHeight="1">
      <c r="B20" s="52">
        <v>2.1</v>
      </c>
      <c r="C20" s="2"/>
      <c r="D20" s="53" t="s">
        <v>36</v>
      </c>
      <c r="E20" s="54" t="s">
        <v>218</v>
      </c>
      <c r="F20" s="2">
        <f>VLOOKUP($D$7,'Source Data'!$A$2:$EK$28,11,FALSE)</f>
        <v>32</v>
      </c>
      <c r="G20" s="3"/>
    </row>
    <row r="21" spans="2:7" ht="45.6" customHeight="1">
      <c r="B21" s="52">
        <v>2.2000000000000002</v>
      </c>
      <c r="C21" s="2"/>
      <c r="D21" s="53" t="s">
        <v>37</v>
      </c>
      <c r="E21" s="54" t="s">
        <v>219</v>
      </c>
      <c r="F21" s="2">
        <f>VLOOKUP($D$7,'Source Data'!$A$2:$EK$28,12,FALSE)</f>
        <v>19</v>
      </c>
      <c r="G21" s="3"/>
    </row>
    <row r="22" spans="2:7" ht="45.6" customHeight="1">
      <c r="B22" s="52">
        <v>2.3000000000000003</v>
      </c>
      <c r="C22" s="2"/>
      <c r="D22" s="53" t="s">
        <v>38</v>
      </c>
      <c r="E22" s="54" t="s">
        <v>220</v>
      </c>
      <c r="F22" s="2" t="str">
        <f>VLOOKUP($D$7,'Source Data'!$A$2:$EK$28,13,FALSE)</f>
        <v>±242</v>
      </c>
      <c r="G22" s="3"/>
    </row>
    <row r="23" spans="2:7" ht="45.6" customHeight="1">
      <c r="B23" s="52">
        <v>2.4000000000000004</v>
      </c>
      <c r="C23" s="2"/>
      <c r="D23" s="53" t="s">
        <v>39</v>
      </c>
      <c r="E23" s="54" t="s">
        <v>221</v>
      </c>
      <c r="F23" s="2">
        <f>VLOOKUP($D$7,'Source Data'!$A$2:$EK$28,14,FALSE)</f>
        <v>50</v>
      </c>
      <c r="G23" s="3"/>
    </row>
    <row r="24" spans="2:7" ht="45.6" customHeight="1">
      <c r="B24" s="52">
        <v>2.5</v>
      </c>
      <c r="C24" s="2"/>
      <c r="D24" s="53" t="s">
        <v>40</v>
      </c>
      <c r="E24" s="54"/>
      <c r="F24" s="2" t="str">
        <f>VLOOKUP($D$7,'Source Data'!$A$2:$EK$28,15,FALSE)</f>
        <v>2ph</v>
      </c>
      <c r="G24" s="3"/>
    </row>
    <row r="25" spans="2:7" ht="45.6" customHeight="1">
      <c r="B25" s="52">
        <v>2.6</v>
      </c>
      <c r="C25" s="2"/>
      <c r="D25" s="53" t="s">
        <v>41</v>
      </c>
      <c r="E25" s="54"/>
      <c r="F25" s="2" t="str">
        <f>VLOOKUP($D$7,'Source Data'!$A$2:$EK$28,16,FALSE)</f>
        <v>N/A</v>
      </c>
      <c r="G25" s="3" t="s">
        <v>149</v>
      </c>
    </row>
    <row r="26" spans="2:7" ht="45.6" customHeight="1">
      <c r="B26" s="55">
        <v>3</v>
      </c>
      <c r="C26" s="2" t="s">
        <v>222</v>
      </c>
      <c r="D26" s="56" t="s">
        <v>42</v>
      </c>
      <c r="E26" s="54"/>
      <c r="F26" s="2"/>
      <c r="G26" s="3"/>
    </row>
    <row r="27" spans="2:7" ht="45.6" customHeight="1">
      <c r="B27" s="52">
        <v>3.1</v>
      </c>
      <c r="C27" s="2"/>
      <c r="D27" s="53" t="s">
        <v>43</v>
      </c>
      <c r="E27" s="54" t="s">
        <v>219</v>
      </c>
      <c r="F27" s="2">
        <f>VLOOKUP($D$7,'Source Data'!$A$2:$EK$28,18,FALSE)</f>
        <v>200</v>
      </c>
      <c r="G27" s="3"/>
    </row>
    <row r="28" spans="2:7" ht="45.6" customHeight="1">
      <c r="B28" s="52">
        <v>3.2</v>
      </c>
      <c r="C28" s="2"/>
      <c r="D28" s="53" t="s">
        <v>44</v>
      </c>
      <c r="E28" s="54" t="s">
        <v>219</v>
      </c>
      <c r="F28" s="2">
        <f>VLOOKUP($D$7,'Source Data'!$A$2:$EK$28,19,FALSE)</f>
        <v>30</v>
      </c>
      <c r="G28" s="3"/>
    </row>
    <row r="29" spans="2:7" ht="45.6" customHeight="1">
      <c r="B29" s="52">
        <v>3.3000000000000003</v>
      </c>
      <c r="C29" s="2"/>
      <c r="D29" s="53" t="s">
        <v>45</v>
      </c>
      <c r="E29" s="54" t="s">
        <v>219</v>
      </c>
      <c r="F29" s="2">
        <f>VLOOKUP($D$7,'Source Data'!$A$2:$EK$28,20,FALSE)</f>
        <v>70</v>
      </c>
      <c r="G29" s="3"/>
    </row>
    <row r="30" spans="2:7" ht="45.6" customHeight="1">
      <c r="B30" s="52">
        <v>3.4000000000000004</v>
      </c>
      <c r="C30" s="2"/>
      <c r="D30" s="53" t="s">
        <v>46</v>
      </c>
      <c r="E30" s="54" t="s">
        <v>219</v>
      </c>
      <c r="F30" s="2">
        <f>VLOOKUP($D$7,'Source Data'!$A$2:$EK$28,21,FALSE)</f>
        <v>8</v>
      </c>
      <c r="G30" s="3"/>
    </row>
    <row r="31" spans="2:7" ht="45.6" customHeight="1">
      <c r="B31" s="55">
        <v>4</v>
      </c>
      <c r="C31" s="2" t="s">
        <v>223</v>
      </c>
      <c r="D31" s="56" t="s">
        <v>47</v>
      </c>
      <c r="E31" s="54"/>
      <c r="F31" s="2"/>
      <c r="G31" s="3"/>
    </row>
    <row r="32" spans="2:7" ht="45.6" customHeight="1">
      <c r="B32" s="52">
        <v>4.0999999999999996</v>
      </c>
      <c r="C32" s="2"/>
      <c r="D32" s="53" t="s">
        <v>48</v>
      </c>
      <c r="E32" s="54"/>
      <c r="F32" s="2" t="str">
        <f>VLOOKUP($D$7,'Source Data'!$A$2:$EK$28,23,FALSE)</f>
        <v>xxxxxxxxxxx</v>
      </c>
      <c r="G32" s="3"/>
    </row>
    <row r="33" spans="2:7" ht="45.6" customHeight="1">
      <c r="B33" s="52">
        <v>4.1999999999999993</v>
      </c>
      <c r="C33" s="2"/>
      <c r="D33" s="53" t="s">
        <v>49</v>
      </c>
      <c r="E33" s="54"/>
      <c r="F33" s="2" t="str">
        <f>VLOOKUP($D$7,'Source Data'!$A$2:$EK$28,24,FALSE)</f>
        <v>Grade 3</v>
      </c>
      <c r="G33" s="3"/>
    </row>
    <row r="34" spans="2:7" ht="45.6" customHeight="1">
      <c r="B34" s="52">
        <v>4.3</v>
      </c>
      <c r="C34" s="2"/>
      <c r="D34" s="53" t="s">
        <v>50</v>
      </c>
      <c r="E34" s="54" t="s">
        <v>224</v>
      </c>
      <c r="F34" s="2" t="str">
        <f>VLOOKUP($D$7,'Source Data'!$A$2:$EK$28,25,FALSE)</f>
        <v>&gt; 0.125</v>
      </c>
      <c r="G34" s="3"/>
    </row>
    <row r="35" spans="2:7" ht="45.6" customHeight="1">
      <c r="B35" s="52">
        <v>4.3999999999999995</v>
      </c>
      <c r="C35" s="2"/>
      <c r="D35" s="53" t="s">
        <v>51</v>
      </c>
      <c r="E35" s="54"/>
      <c r="F35" s="2" t="str">
        <f>VLOOKUP($D$7,'Source Data'!$A$2:$EK$28,26,FALSE)</f>
        <v>xxxxxxxxxxx</v>
      </c>
      <c r="G35" s="3"/>
    </row>
    <row r="36" spans="2:7" ht="45.6" customHeight="1">
      <c r="B36" s="52">
        <v>4.5</v>
      </c>
      <c r="C36" s="2"/>
      <c r="D36" s="53" t="s">
        <v>52</v>
      </c>
      <c r="E36" s="54"/>
      <c r="F36" s="2" t="str">
        <f>VLOOKUP($D$7,'Source Data'!$A$2:$EK$28,27,FALSE)</f>
        <v>xxxxxxxxxxx</v>
      </c>
      <c r="G36" s="3"/>
    </row>
    <row r="37" spans="2:7" ht="45.6" customHeight="1">
      <c r="B37" s="52">
        <v>4.5999999999999996</v>
      </c>
      <c r="C37" s="2"/>
      <c r="D37" s="53" t="s">
        <v>53</v>
      </c>
      <c r="E37" s="54" t="s">
        <v>219</v>
      </c>
      <c r="F37" s="2">
        <f>VLOOKUP($D$7,'Source Data'!$A$2:$EK$28,28,FALSE)</f>
        <v>21</v>
      </c>
      <c r="G37" s="3"/>
    </row>
    <row r="38" spans="2:7" ht="45.6" customHeight="1">
      <c r="B38" s="52">
        <v>4.7</v>
      </c>
      <c r="C38" s="2"/>
      <c r="D38" s="53" t="s">
        <v>54</v>
      </c>
      <c r="E38" s="54" t="s">
        <v>219</v>
      </c>
      <c r="F38" s="2">
        <f>VLOOKUP($D$7,'Source Data'!$A$2:$EK$28,29,FALSE)</f>
        <v>8</v>
      </c>
      <c r="G38" s="3"/>
    </row>
    <row r="39" spans="2:7" ht="45.6" customHeight="1">
      <c r="B39" s="52">
        <v>4.8</v>
      </c>
      <c r="C39" s="2"/>
      <c r="D39" s="53" t="s">
        <v>225</v>
      </c>
      <c r="E39" s="54" t="s">
        <v>226</v>
      </c>
      <c r="F39" s="2" t="str">
        <f>VLOOKUP($D$7,'Source Data'!$A$2:$EK$28,30,FALSE)</f>
        <v>&lt;5</v>
      </c>
      <c r="G39" s="3"/>
    </row>
    <row r="40" spans="2:7" ht="45.6" customHeight="1">
      <c r="B40" s="55">
        <v>5</v>
      </c>
      <c r="C40" s="2" t="s">
        <v>227</v>
      </c>
      <c r="D40" s="56" t="s">
        <v>56</v>
      </c>
      <c r="E40" s="54"/>
      <c r="F40" s="2"/>
      <c r="G40" s="3"/>
    </row>
    <row r="41" spans="2:7" ht="45.6" customHeight="1">
      <c r="B41" s="52">
        <v>5.0999999999999996</v>
      </c>
      <c r="C41" s="2"/>
      <c r="D41" s="53" t="s">
        <v>57</v>
      </c>
      <c r="E41" s="54" t="s">
        <v>226</v>
      </c>
      <c r="F41" s="2" t="str">
        <f>VLOOKUP($D$7,'Source Data'!$A$2:$EK$28,32,FALSE)</f>
        <v>&lt; 5</v>
      </c>
      <c r="G41" s="3"/>
    </row>
    <row r="42" spans="2:7" ht="45.6" customHeight="1">
      <c r="B42" s="52">
        <v>5.1999999999999993</v>
      </c>
      <c r="C42" s="2"/>
      <c r="D42" s="53" t="s">
        <v>58</v>
      </c>
      <c r="E42" s="54" t="s">
        <v>226</v>
      </c>
      <c r="F42" s="2" t="str">
        <f>VLOOKUP($D$7,'Source Data'!$A$2:$EK$28,33,FALSE)</f>
        <v xml:space="preserve">&lt; 5 </v>
      </c>
      <c r="G42" s="3"/>
    </row>
    <row r="43" spans="2:7" ht="45.6" customHeight="1">
      <c r="B43" s="52">
        <v>5.3</v>
      </c>
      <c r="C43" s="2"/>
      <c r="D43" s="53" t="s">
        <v>59</v>
      </c>
      <c r="E43" s="54"/>
      <c r="F43" s="2" t="str">
        <f>VLOOKUP($D$7,'Source Data'!$A$2:$EK$28,34,FALSE)</f>
        <v>xxxxxxxxxxx</v>
      </c>
      <c r="G43" s="3"/>
    </row>
    <row r="44" spans="2:7" ht="45.6" customHeight="1">
      <c r="B44" s="52">
        <v>5.3999999999999995</v>
      </c>
      <c r="C44" s="2"/>
      <c r="D44" s="53" t="s">
        <v>60</v>
      </c>
      <c r="E44" s="54"/>
      <c r="F44" s="2" t="str">
        <f>VLOOKUP($D$7,'Source Data'!$A$2:$EK$28,35,FALSE)</f>
        <v>xxxxxxxxxxx</v>
      </c>
      <c r="G44" s="3"/>
    </row>
    <row r="45" spans="2:7" ht="45.6" customHeight="1">
      <c r="B45" s="55">
        <v>6</v>
      </c>
      <c r="C45" s="2" t="s">
        <v>228</v>
      </c>
      <c r="D45" s="56" t="s">
        <v>61</v>
      </c>
      <c r="E45" s="54"/>
      <c r="F45" s="2"/>
      <c r="G45" s="3"/>
    </row>
    <row r="46" spans="2:7" ht="45.6" customHeight="1">
      <c r="B46" s="52">
        <v>6.1</v>
      </c>
      <c r="C46" s="2"/>
      <c r="D46" s="53" t="s">
        <v>62</v>
      </c>
      <c r="E46" s="54"/>
      <c r="F46" s="2" t="str">
        <f>VLOOKUP($D$7,'Source Data'!$A$2:$EK$28,37,FALSE)</f>
        <v>Switch</v>
      </c>
      <c r="G46" s="3"/>
    </row>
    <row r="47" spans="2:7" ht="45.6" customHeight="1">
      <c r="B47" s="52">
        <v>6.2</v>
      </c>
      <c r="C47" s="2"/>
      <c r="D47" s="53" t="s">
        <v>63</v>
      </c>
      <c r="E47" s="54" t="s">
        <v>229</v>
      </c>
      <c r="F47" s="2" t="str">
        <f>VLOOKUP($D$7,'Source Data'!$A$2:$EK$28,38,FALSE)</f>
        <v>0, ±2.5, ±5</v>
      </c>
      <c r="G47" s="3"/>
    </row>
    <row r="48" spans="2:7" ht="45.6" customHeight="1">
      <c r="B48" s="55">
        <v>7</v>
      </c>
      <c r="C48" s="2" t="s">
        <v>230</v>
      </c>
      <c r="D48" s="56" t="s">
        <v>72</v>
      </c>
      <c r="E48" s="54"/>
      <c r="F48" s="2"/>
      <c r="G48" s="3"/>
    </row>
    <row r="49" spans="2:7" ht="45.6" customHeight="1">
      <c r="B49" s="52">
        <v>7.1</v>
      </c>
      <c r="C49" s="2"/>
      <c r="D49" s="53" t="s">
        <v>65</v>
      </c>
      <c r="E49" s="54"/>
      <c r="F49" s="2" t="str">
        <f>VLOOKUP($D$7,'Source Data'!$A$2:$EK$28,48,FALSE)</f>
        <v>xxxxxxxxxxx</v>
      </c>
      <c r="G49" s="3"/>
    </row>
    <row r="50" spans="2:7" ht="45.6" customHeight="1">
      <c r="B50" s="52">
        <v>7.2</v>
      </c>
      <c r="C50" s="2"/>
      <c r="D50" s="53" t="s">
        <v>66</v>
      </c>
      <c r="E50" s="54"/>
      <c r="F50" s="2" t="str">
        <f>VLOOKUP($D$7,'Source Data'!$A$2:$EK$28,49,FALSE)</f>
        <v>xxxxxxxxxxx</v>
      </c>
      <c r="G50" s="3"/>
    </row>
    <row r="51" spans="2:7" ht="45.6" customHeight="1">
      <c r="B51" s="52">
        <v>7.3</v>
      </c>
      <c r="C51" s="2"/>
      <c r="D51" s="53" t="s">
        <v>67</v>
      </c>
      <c r="E51" s="54"/>
      <c r="F51" s="2" t="str">
        <f>VLOOKUP($D$7,'Source Data'!$A$2:$EK$28,50,FALSE)</f>
        <v>xxxxxxxxxxx</v>
      </c>
      <c r="G51" s="3"/>
    </row>
    <row r="52" spans="2:7" ht="45.6" customHeight="1">
      <c r="B52" s="52">
        <v>7.4</v>
      </c>
      <c r="C52" s="2"/>
      <c r="D52" s="53" t="s">
        <v>68</v>
      </c>
      <c r="E52" s="54" t="s">
        <v>231</v>
      </c>
      <c r="F52" s="2" t="str">
        <f>VLOOKUP($D$7,'Source Data'!$A$2:$EK$28,51,FALSE)</f>
        <v>≥ 31</v>
      </c>
      <c r="G52" s="3"/>
    </row>
    <row r="53" spans="2:7" ht="45.6" customHeight="1">
      <c r="B53" s="52">
        <v>7.5</v>
      </c>
      <c r="C53" s="2"/>
      <c r="D53" s="53" t="s">
        <v>69</v>
      </c>
      <c r="E53" s="54"/>
      <c r="F53" s="2" t="str">
        <f>VLOOKUP($D$7,'Source Data'!$A$2:$EK$28,52,FALSE)</f>
        <v>Base</v>
      </c>
      <c r="G53" s="3"/>
    </row>
    <row r="54" spans="2:7" ht="45.6" customHeight="1">
      <c r="B54" s="52">
        <v>7.6</v>
      </c>
      <c r="C54" s="2"/>
      <c r="D54" s="53" t="s">
        <v>70</v>
      </c>
      <c r="E54" s="54"/>
      <c r="F54" s="2" t="str">
        <f>VLOOKUP($D$7,'Source Data'!$A$2:$EK$28,53,FALSE)</f>
        <v>Draw lead</v>
      </c>
      <c r="G54" s="3"/>
    </row>
    <row r="55" spans="2:7" ht="45.6" customHeight="1">
      <c r="B55" s="52">
        <v>7.7</v>
      </c>
      <c r="C55" s="2"/>
      <c r="D55" s="53" t="s">
        <v>71</v>
      </c>
      <c r="E55" s="54"/>
      <c r="F55" s="2" t="str">
        <f>VLOOKUP($D$7,'Source Data'!$A$2:$EK$28,54,FALSE)</f>
        <v>M12</v>
      </c>
      <c r="G55" s="3"/>
    </row>
    <row r="56" spans="2:7" ht="45.6" customHeight="1">
      <c r="B56" s="55">
        <v>8</v>
      </c>
      <c r="C56" s="2" t="s">
        <v>230</v>
      </c>
      <c r="D56" s="56" t="s">
        <v>73</v>
      </c>
      <c r="E56" s="54"/>
      <c r="F56" s="2"/>
      <c r="G56" s="3"/>
    </row>
    <row r="57" spans="2:7" ht="45.6" customHeight="1">
      <c r="B57" s="52">
        <v>8.1</v>
      </c>
      <c r="C57" s="2"/>
      <c r="D57" s="53" t="s">
        <v>65</v>
      </c>
      <c r="E57" s="54"/>
      <c r="F57" s="2" t="str">
        <f>VLOOKUP($D$7,'Source Data'!$A$2:$EK$28,56,FALSE)</f>
        <v>xxxxxxxxxxx</v>
      </c>
      <c r="G57" s="3"/>
    </row>
    <row r="58" spans="2:7" ht="45.6" customHeight="1">
      <c r="B58" s="52">
        <v>8.1999999999999993</v>
      </c>
      <c r="C58" s="2"/>
      <c r="D58" s="53" t="s">
        <v>66</v>
      </c>
      <c r="E58" s="54"/>
      <c r="F58" s="2" t="str">
        <f>VLOOKUP($D$7,'Source Data'!$A$2:$EK$28,57,FALSE)</f>
        <v>xxxxxxxxxxx</v>
      </c>
      <c r="G58" s="3"/>
    </row>
    <row r="59" spans="2:7" ht="45.6" customHeight="1">
      <c r="B59" s="52">
        <v>8.3000000000000007</v>
      </c>
      <c r="C59" s="2"/>
      <c r="D59" s="53" t="s">
        <v>67</v>
      </c>
      <c r="E59" s="54"/>
      <c r="F59" s="2" t="str">
        <f>VLOOKUP($D$7,'Source Data'!$A$2:$EK$28,58,FALSE)</f>
        <v>xxxxxxxxxxx</v>
      </c>
      <c r="G59" s="3"/>
    </row>
    <row r="60" spans="2:7" ht="45.6" customHeight="1">
      <c r="B60" s="52">
        <v>8.4</v>
      </c>
      <c r="C60" s="2"/>
      <c r="D60" s="53" t="s">
        <v>71</v>
      </c>
      <c r="E60" s="54"/>
      <c r="F60" s="2" t="str">
        <f>VLOOKUP($D$7,'Source Data'!$A$2:$EK$28,59,FALSE)</f>
        <v>M12</v>
      </c>
      <c r="G60" s="3"/>
    </row>
    <row r="61" spans="2:7" ht="45.6" customHeight="1">
      <c r="B61" s="52">
        <v>8.5</v>
      </c>
      <c r="C61" s="2"/>
      <c r="D61" s="53" t="s">
        <v>74</v>
      </c>
      <c r="E61" s="54"/>
      <c r="F61" s="2" t="str">
        <f>VLOOKUP($D$7,'Source Data'!$A$2:$EK$28,60,FALSE)</f>
        <v>Yes</v>
      </c>
      <c r="G61" s="3"/>
    </row>
    <row r="62" spans="2:7" ht="45.6" customHeight="1">
      <c r="B62" s="52">
        <v>8.6</v>
      </c>
      <c r="C62" s="2"/>
      <c r="D62" s="57" t="s">
        <v>75</v>
      </c>
      <c r="E62" s="54"/>
      <c r="F62" s="2" t="str">
        <f>VLOOKUP($D$7,'Source Data'!$A$2:$EK$28,61,FALSE)</f>
        <v>Yes</v>
      </c>
      <c r="G62" s="3"/>
    </row>
    <row r="63" spans="2:7" ht="45.6" customHeight="1">
      <c r="B63" s="55">
        <v>9</v>
      </c>
      <c r="C63" s="2" t="s">
        <v>232</v>
      </c>
      <c r="D63" s="56" t="s">
        <v>76</v>
      </c>
      <c r="E63" s="54"/>
      <c r="F63" s="2"/>
      <c r="G63" s="3"/>
    </row>
    <row r="64" spans="2:7" ht="45.6" customHeight="1">
      <c r="B64" s="52">
        <v>9.1</v>
      </c>
      <c r="C64" s="2"/>
      <c r="D64" s="53" t="s">
        <v>77</v>
      </c>
      <c r="E64" s="54"/>
      <c r="F64" s="2" t="str">
        <f>VLOOKUP($D$7,'Source Data'!$A$2:$EK$28,63,FALSE)</f>
        <v>Distribution</v>
      </c>
      <c r="G64" s="3" t="s">
        <v>149</v>
      </c>
    </row>
    <row r="65" spans="2:7" ht="45.6" customHeight="1">
      <c r="B65" s="52">
        <v>9.1999999999999993</v>
      </c>
      <c r="C65" s="2"/>
      <c r="D65" s="53" t="s">
        <v>78</v>
      </c>
      <c r="E65" s="54" t="s">
        <v>233</v>
      </c>
      <c r="F65" s="2">
        <f>VLOOKUP($D$7,'Source Data'!$A$2:$EK$28,64,FALSE)</f>
        <v>80500</v>
      </c>
      <c r="G65" s="3" t="s">
        <v>149</v>
      </c>
    </row>
    <row r="66" spans="2:7" ht="45.6" customHeight="1">
      <c r="B66" s="52">
        <v>9.3000000000000007</v>
      </c>
      <c r="C66" s="2"/>
      <c r="D66" s="53" t="s">
        <v>79</v>
      </c>
      <c r="E66" s="54" t="s">
        <v>233</v>
      </c>
      <c r="F66" s="2">
        <f>VLOOKUP($D$7,'Source Data'!$A$2:$EK$28,65,FALSE)</f>
        <v>17500</v>
      </c>
      <c r="G66" s="3" t="s">
        <v>149</v>
      </c>
    </row>
    <row r="67" spans="2:7" ht="45.6" customHeight="1">
      <c r="B67" s="52">
        <v>9.4</v>
      </c>
      <c r="C67" s="2"/>
      <c r="D67" s="53" t="s">
        <v>234</v>
      </c>
      <c r="E67" s="54" t="s">
        <v>235</v>
      </c>
      <c r="F67" s="2">
        <f>VLOOKUP($D$7,'Source Data'!$A$2:$EK$28,66,FALSE)</f>
        <v>170</v>
      </c>
      <c r="G67" s="3"/>
    </row>
    <row r="68" spans="2:7" ht="45.6" customHeight="1">
      <c r="B68" s="52">
        <v>9.5</v>
      </c>
      <c r="C68" s="2"/>
      <c r="D68" s="53" t="s">
        <v>236</v>
      </c>
      <c r="E68" s="54" t="s">
        <v>235</v>
      </c>
      <c r="F68" s="2">
        <v>85</v>
      </c>
      <c r="G68" s="3"/>
    </row>
    <row r="69" spans="2:7" ht="45.6" customHeight="1">
      <c r="B69" s="52">
        <v>9.6</v>
      </c>
      <c r="C69" s="2"/>
      <c r="D69" s="53" t="s">
        <v>237</v>
      </c>
      <c r="E69" s="54" t="s">
        <v>235</v>
      </c>
      <c r="F69" s="2">
        <f>VLOOKUP($D$7,'Source Data'!$A$2:$EK$28,67,FALSE)</f>
        <v>630</v>
      </c>
      <c r="G69" s="3"/>
    </row>
    <row r="70" spans="2:7" ht="45.6" customHeight="1">
      <c r="B70" s="55">
        <v>10</v>
      </c>
      <c r="C70" s="2" t="s">
        <v>232</v>
      </c>
      <c r="D70" s="58" t="s">
        <v>82</v>
      </c>
      <c r="E70" s="54"/>
      <c r="F70" s="2"/>
      <c r="G70" s="3"/>
    </row>
    <row r="71" spans="2:7" ht="45.6" customHeight="1">
      <c r="B71" s="52">
        <v>10.1</v>
      </c>
      <c r="C71" s="59"/>
      <c r="D71" s="60" t="s">
        <v>83</v>
      </c>
      <c r="E71" s="54" t="s">
        <v>229</v>
      </c>
      <c r="F71" s="61" t="str">
        <f>VLOOKUP($D$7,'Source Data'!$A$2:$EK$28,69,FALSE)</f>
        <v>3,0 to 4,5</v>
      </c>
      <c r="G71" s="3"/>
    </row>
    <row r="72" spans="2:7" ht="45.6" customHeight="1">
      <c r="B72" s="52">
        <v>10.199999999999999</v>
      </c>
      <c r="C72" s="2"/>
      <c r="D72" s="60" t="s">
        <v>84</v>
      </c>
      <c r="E72" s="54"/>
      <c r="F72" s="61" t="str">
        <f>VLOOKUP($D$7,'Source Data'!$A$2:$EK$28,70,FALSE)</f>
        <v>xxxxxxxxxx</v>
      </c>
      <c r="G72" s="3"/>
    </row>
    <row r="73" spans="2:7" ht="45.6" customHeight="1">
      <c r="B73" s="55">
        <v>11</v>
      </c>
      <c r="C73" s="2"/>
      <c r="D73" s="113" t="s">
        <v>238</v>
      </c>
      <c r="E73" s="54"/>
      <c r="F73" s="2"/>
      <c r="G73" s="3"/>
    </row>
    <row r="74" spans="2:7" ht="45.6" customHeight="1">
      <c r="B74" s="52">
        <v>11.1</v>
      </c>
      <c r="C74" s="2"/>
      <c r="D74" s="53" t="s">
        <v>86</v>
      </c>
      <c r="E74" s="54" t="s">
        <v>239</v>
      </c>
      <c r="F74" s="61" t="str">
        <f>VLOOKUP($D$7,'Source Data'!$A$2:$EK$28,72,FALSE)</f>
        <v xml:space="preserve">≤ 48 </v>
      </c>
      <c r="G74" s="3"/>
    </row>
    <row r="75" spans="2:7" ht="45.6" customHeight="1">
      <c r="B75" s="55">
        <v>12</v>
      </c>
      <c r="C75" s="2"/>
      <c r="D75" s="56" t="s">
        <v>87</v>
      </c>
      <c r="E75" s="54"/>
      <c r="F75" s="2"/>
      <c r="G75" s="3"/>
    </row>
    <row r="76" spans="2:7" ht="45.6" customHeight="1">
      <c r="B76" s="52">
        <v>12.1</v>
      </c>
      <c r="C76" s="2"/>
      <c r="D76" s="53" t="s">
        <v>88</v>
      </c>
      <c r="E76" s="54"/>
      <c r="F76" s="61" t="str">
        <f>VLOOKUP($D$7,'Source Data'!$A$2:$EK$28,74,FALSE)</f>
        <v>xxxxxxxxxxx</v>
      </c>
      <c r="G76" s="3"/>
    </row>
    <row r="77" spans="2:7" ht="45.6" customHeight="1">
      <c r="B77" s="52">
        <v>12.2</v>
      </c>
      <c r="C77" s="2"/>
      <c r="D77" s="53" t="s">
        <v>89</v>
      </c>
      <c r="E77" s="54"/>
      <c r="F77" s="61" t="str">
        <f>VLOOKUP($D$7,'Source Data'!$A$2:$EK$28,75,FALSE)</f>
        <v>xxxxxxxxxxx</v>
      </c>
      <c r="G77" s="3"/>
    </row>
    <row r="78" spans="2:7" ht="45.6" customHeight="1">
      <c r="B78" s="55">
        <v>13</v>
      </c>
      <c r="C78" s="2"/>
      <c r="D78" s="56" t="s">
        <v>90</v>
      </c>
      <c r="E78" s="54"/>
      <c r="F78" s="2"/>
      <c r="G78" s="3"/>
    </row>
    <row r="79" spans="2:7" ht="45.6" customHeight="1">
      <c r="B79" s="52">
        <v>13.1</v>
      </c>
      <c r="C79" s="2"/>
      <c r="D79" s="53" t="s">
        <v>88</v>
      </c>
      <c r="E79" s="54"/>
      <c r="F79" s="61" t="str">
        <f>VLOOKUP($D$7,'Source Data'!$A$2:$EK$28,77,FALSE)</f>
        <v>xxxxxxxxxxx</v>
      </c>
      <c r="G79" s="3"/>
    </row>
    <row r="80" spans="2:7" ht="45.6" customHeight="1">
      <c r="B80" s="52">
        <v>13.2</v>
      </c>
      <c r="C80" s="2"/>
      <c r="D80" s="53" t="s">
        <v>89</v>
      </c>
      <c r="E80" s="54"/>
      <c r="F80" s="61" t="str">
        <f>VLOOKUP($D$7,'Source Data'!$A$2:$EK$28,78,FALSE)</f>
        <v>xxxxxxxxxxx</v>
      </c>
      <c r="G80" s="3"/>
    </row>
    <row r="81" spans="2:7" ht="45.6" customHeight="1">
      <c r="B81" s="55">
        <v>14</v>
      </c>
      <c r="C81" s="2"/>
      <c r="D81" s="56" t="s">
        <v>91</v>
      </c>
      <c r="E81" s="54"/>
      <c r="F81" s="2"/>
      <c r="G81" s="3"/>
    </row>
    <row r="82" spans="2:7" ht="45.6" customHeight="1">
      <c r="B82" s="52">
        <v>14.1</v>
      </c>
      <c r="C82" s="2"/>
      <c r="D82" s="53" t="s">
        <v>92</v>
      </c>
      <c r="E82" s="54"/>
      <c r="F82" s="61" t="str">
        <f>VLOOKUP($D$7,'Source Data'!$A$2:$EK$28,80,FALSE)</f>
        <v>Steel or Amporphous</v>
      </c>
      <c r="G82" s="3"/>
    </row>
    <row r="83" spans="2:7" ht="45.6" customHeight="1">
      <c r="B83" s="52">
        <v>14.2</v>
      </c>
      <c r="C83" s="2"/>
      <c r="D83" s="53" t="s">
        <v>93</v>
      </c>
      <c r="E83" s="54"/>
      <c r="F83" s="61" t="str">
        <f>VLOOKUP($D$7,'Source Data'!$A$2:$EK$28,81,FALSE)</f>
        <v>xxxxxxxxxxx</v>
      </c>
      <c r="G83" s="3"/>
    </row>
    <row r="84" spans="2:7" ht="45.6" customHeight="1">
      <c r="B84" s="52">
        <v>14.3</v>
      </c>
      <c r="C84" s="2"/>
      <c r="D84" s="53" t="s">
        <v>94</v>
      </c>
      <c r="E84" s="54"/>
      <c r="F84" s="61" t="str">
        <f>VLOOKUP($D$7,'Source Data'!$A$2:$EK$28,82,FALSE)</f>
        <v>xxxxxxxxxxx</v>
      </c>
      <c r="G84" s="3"/>
    </row>
    <row r="85" spans="2:7" ht="45.6" customHeight="1">
      <c r="B85" s="52">
        <v>14.4</v>
      </c>
      <c r="C85" s="2"/>
      <c r="D85" s="53" t="s">
        <v>95</v>
      </c>
      <c r="E85" s="54"/>
      <c r="F85" s="61" t="str">
        <f>VLOOKUP($D$7,'Source Data'!$A$2:$EK$28,83,FALSE)</f>
        <v>xxxxxxxxxxx</v>
      </c>
      <c r="G85" s="3"/>
    </row>
    <row r="86" spans="2:7" ht="45.6" customHeight="1">
      <c r="B86" s="55">
        <v>15</v>
      </c>
      <c r="C86" s="2" t="s">
        <v>240</v>
      </c>
      <c r="D86" s="58" t="s">
        <v>96</v>
      </c>
      <c r="E86" s="54"/>
      <c r="F86" s="61"/>
      <c r="G86" s="3"/>
    </row>
    <row r="87" spans="2:7" ht="45.6" customHeight="1">
      <c r="B87" s="52">
        <v>15.1</v>
      </c>
      <c r="C87" s="2"/>
      <c r="D87" s="53" t="s">
        <v>97</v>
      </c>
      <c r="E87" s="54"/>
      <c r="F87" s="61" t="str">
        <f>VLOOKUP($D$7,'Source Data'!$A$2:$EK$28,85,FALSE)</f>
        <v>Sealed</v>
      </c>
      <c r="G87" s="3"/>
    </row>
    <row r="88" spans="2:7" ht="45.6" customHeight="1">
      <c r="B88" s="52">
        <v>15.2</v>
      </c>
      <c r="C88" s="2"/>
      <c r="D88" s="53" t="s">
        <v>98</v>
      </c>
      <c r="E88" s="54"/>
      <c r="F88" s="61" t="str">
        <f>VLOOKUP($D$7,'Source Data'!$A$2:$EK$28,86,FALSE)</f>
        <v>xxxxxxxxxx</v>
      </c>
      <c r="G88" s="3"/>
    </row>
    <row r="89" spans="2:7" ht="45.6" customHeight="1">
      <c r="B89" s="55">
        <v>16</v>
      </c>
      <c r="C89" s="2" t="s">
        <v>241</v>
      </c>
      <c r="D89" s="56" t="s">
        <v>99</v>
      </c>
      <c r="E89" s="54"/>
      <c r="F89" s="61"/>
      <c r="G89" s="3"/>
    </row>
    <row r="90" spans="2:7" ht="45.6" customHeight="1">
      <c r="B90" s="52">
        <v>16.100000000000001</v>
      </c>
      <c r="C90" s="2" t="s">
        <v>242</v>
      </c>
      <c r="D90" s="53" t="s">
        <v>100</v>
      </c>
      <c r="E90" s="54" t="s">
        <v>224</v>
      </c>
      <c r="F90" s="61" t="str">
        <f>VLOOKUP($D$7,'Source Data'!$A$2:$EK$28,88,FALSE)</f>
        <v xml:space="preserve">≤ 1 080 </v>
      </c>
      <c r="G90" s="3"/>
    </row>
    <row r="91" spans="2:7" ht="45.6" customHeight="1">
      <c r="B91" s="52">
        <v>16.2</v>
      </c>
      <c r="C91" s="2" t="s">
        <v>242</v>
      </c>
      <c r="D91" s="53" t="s">
        <v>101</v>
      </c>
      <c r="E91" s="54" t="s">
        <v>224</v>
      </c>
      <c r="F91" s="61" t="str">
        <f>VLOOKUP($D$7,'Source Data'!$A$2:$EK$28,89,FALSE)</f>
        <v xml:space="preserve">≤ 1 500 </v>
      </c>
      <c r="G91" s="3"/>
    </row>
    <row r="92" spans="2:7" ht="45.6" customHeight="1">
      <c r="B92" s="52">
        <v>16.3</v>
      </c>
      <c r="C92" s="2" t="s">
        <v>242</v>
      </c>
      <c r="D92" s="53" t="s">
        <v>102</v>
      </c>
      <c r="E92" s="54" t="s">
        <v>224</v>
      </c>
      <c r="F92" s="61" t="str">
        <f>VLOOKUP($D$7,'Source Data'!$A$2:$EK$28,90,FALSE)</f>
        <v xml:space="preserve">≤ 1 500 </v>
      </c>
      <c r="G92" s="3"/>
    </row>
    <row r="93" spans="2:7" ht="45.6" customHeight="1">
      <c r="B93" s="52">
        <v>16.399999999999999</v>
      </c>
      <c r="C93" s="2" t="s">
        <v>242</v>
      </c>
      <c r="D93" s="53" t="s">
        <v>103</v>
      </c>
      <c r="E93" s="54" t="s">
        <v>243</v>
      </c>
      <c r="F93" s="2" t="str">
        <f>VLOOKUP($D$7,'Source Data'!$A$2:$EK$28,91,FALSE)</f>
        <v xml:space="preserve">≤ 900 </v>
      </c>
      <c r="G93" s="3"/>
    </row>
    <row r="94" spans="2:7" ht="45.6" customHeight="1">
      <c r="B94" s="52">
        <v>16.5</v>
      </c>
      <c r="C94" s="2"/>
      <c r="D94" s="53" t="s">
        <v>104</v>
      </c>
      <c r="E94" s="54" t="s">
        <v>244</v>
      </c>
      <c r="F94" s="2" t="str">
        <f>VLOOKUP($D$7,'Source Data'!$A$2:$EK$28,92,FALSE)</f>
        <v>xxxxxxxxxxx</v>
      </c>
      <c r="G94" s="3"/>
    </row>
    <row r="95" spans="2:7" ht="45.6" customHeight="1">
      <c r="B95" s="52">
        <v>16.600000000000001</v>
      </c>
      <c r="C95" s="2"/>
      <c r="D95" s="53" t="s">
        <v>105</v>
      </c>
      <c r="E95" s="54" t="s">
        <v>224</v>
      </c>
      <c r="F95" s="2">
        <f>VLOOKUP($D$7,'Source Data'!$A$2:$EK$28,93,FALSE)</f>
        <v>400</v>
      </c>
      <c r="G95" s="3"/>
    </row>
    <row r="96" spans="2:7" ht="45.6" customHeight="1">
      <c r="B96" s="52">
        <v>16.7</v>
      </c>
      <c r="C96" s="2" t="s">
        <v>245</v>
      </c>
      <c r="D96" s="53" t="s">
        <v>106</v>
      </c>
      <c r="E96" s="54" t="s">
        <v>224</v>
      </c>
      <c r="F96" s="2">
        <f>VLOOKUP($D$7,'Source Data'!$A$2:$EK$28,94,FALSE)</f>
        <v>100</v>
      </c>
      <c r="G96" s="3"/>
    </row>
    <row r="97" spans="2:7" ht="45.6" customHeight="1">
      <c r="B97" s="55">
        <v>17</v>
      </c>
      <c r="C97" s="2" t="s">
        <v>245</v>
      </c>
      <c r="D97" s="56" t="s">
        <v>107</v>
      </c>
      <c r="E97" s="54"/>
      <c r="F97" s="2"/>
      <c r="G97" s="3"/>
    </row>
    <row r="98" spans="2:7" ht="45.6" customHeight="1">
      <c r="B98" s="52">
        <v>17.100000000000001</v>
      </c>
      <c r="C98" s="2"/>
      <c r="D98" s="53" t="s">
        <v>108</v>
      </c>
      <c r="E98" s="54"/>
      <c r="F98" s="2" t="str">
        <f>VLOOKUP($D$7,'Source Data'!$A$2:$EK$28,96,FALSE)</f>
        <v>Yes</v>
      </c>
      <c r="G98" s="3"/>
    </row>
    <row r="99" spans="2:7" ht="45.6" customHeight="1">
      <c r="B99" s="52" t="s">
        <v>246</v>
      </c>
      <c r="C99" s="62"/>
      <c r="D99" s="53" t="s">
        <v>109</v>
      </c>
      <c r="E99" s="54"/>
      <c r="F99" s="2" t="str">
        <f>VLOOKUP($D$7,'Source Data'!$A$2:$EK$28,97,FALSE)</f>
        <v>Yes</v>
      </c>
      <c r="G99" s="3"/>
    </row>
    <row r="100" spans="2:7" ht="45.6" customHeight="1">
      <c r="B100" s="52" t="s">
        <v>247</v>
      </c>
      <c r="C100" s="62"/>
      <c r="D100" s="60" t="s">
        <v>110</v>
      </c>
      <c r="E100" s="54"/>
      <c r="F100" s="2" t="str">
        <f>VLOOKUP($D$7,'Source Data'!$A$2:$EK$28,98,FALSE)</f>
        <v>Yes</v>
      </c>
      <c r="G100" s="3"/>
    </row>
    <row r="101" spans="2:7" ht="45.6" customHeight="1">
      <c r="B101" s="52" t="s">
        <v>248</v>
      </c>
      <c r="C101" s="62"/>
      <c r="D101" s="60" t="s">
        <v>111</v>
      </c>
      <c r="E101" s="54"/>
      <c r="F101" s="2" t="str">
        <f>VLOOKUP($D$7,'Source Data'!$A$2:$EK$28,99,FALSE)</f>
        <v>Yes</v>
      </c>
      <c r="G101" s="3"/>
    </row>
    <row r="102" spans="2:7" ht="45.6" customHeight="1">
      <c r="B102" s="52" t="s">
        <v>249</v>
      </c>
      <c r="C102" s="62"/>
      <c r="D102" s="60" t="s">
        <v>112</v>
      </c>
      <c r="E102" s="54"/>
      <c r="F102" s="2" t="str">
        <f>VLOOKUP($D$7,'Source Data'!$A$2:$EK$28,100,FALSE)</f>
        <v>Yes</v>
      </c>
      <c r="G102" s="3"/>
    </row>
    <row r="103" spans="2:7" ht="45.6" customHeight="1">
      <c r="B103" s="52">
        <v>17.2</v>
      </c>
      <c r="C103" s="2" t="s">
        <v>250</v>
      </c>
      <c r="D103" s="53" t="s">
        <v>113</v>
      </c>
      <c r="E103" s="54" t="s">
        <v>224</v>
      </c>
      <c r="F103" s="2">
        <f>VLOOKUP($D$7,'Source Data'!$A$2:$EK$28,101,FALSE)</f>
        <v>400</v>
      </c>
      <c r="G103" s="3"/>
    </row>
    <row r="104" spans="2:7" ht="45.6" customHeight="1">
      <c r="B104" s="52">
        <v>17.3</v>
      </c>
      <c r="C104" s="2" t="s">
        <v>250</v>
      </c>
      <c r="D104" s="53" t="s">
        <v>114</v>
      </c>
      <c r="E104" s="54" t="s">
        <v>224</v>
      </c>
      <c r="F104" s="2" t="str">
        <f>VLOOKUP($D$7,'Source Data'!$A$2:$EK$28,102,FALSE)</f>
        <v xml:space="preserve">≤ 400 </v>
      </c>
      <c r="G104" s="3"/>
    </row>
    <row r="105" spans="2:7" ht="45.6" customHeight="1">
      <c r="B105" s="52">
        <v>17.399999999999999</v>
      </c>
      <c r="C105" s="2" t="s">
        <v>250</v>
      </c>
      <c r="D105" s="53" t="s">
        <v>115</v>
      </c>
      <c r="E105" s="54" t="s">
        <v>224</v>
      </c>
      <c r="F105" s="2" t="str">
        <f>VLOOKUP($D$7,'Source Data'!$A$2:$EK$28,103,FALSE)</f>
        <v xml:space="preserve">≤ 450 </v>
      </c>
      <c r="G105" s="3"/>
    </row>
    <row r="106" spans="2:7" ht="45.6" customHeight="1">
      <c r="B106" s="52">
        <v>17.5</v>
      </c>
      <c r="C106" s="2" t="s">
        <v>250</v>
      </c>
      <c r="D106" s="53" t="s">
        <v>116</v>
      </c>
      <c r="E106" s="54" t="s">
        <v>224</v>
      </c>
      <c r="F106" s="2">
        <f>VLOOKUP($D$7,'Source Data'!$A$2:$EK$28,104,FALSE)</f>
        <v>22</v>
      </c>
      <c r="G106" s="3"/>
    </row>
    <row r="107" spans="2:7" ht="45.6" customHeight="1">
      <c r="B107" s="52">
        <v>17.600000000000001</v>
      </c>
      <c r="C107" s="2" t="s">
        <v>250</v>
      </c>
      <c r="D107" s="53" t="s">
        <v>117</v>
      </c>
      <c r="E107" s="54" t="s">
        <v>224</v>
      </c>
      <c r="F107" s="2">
        <f>VLOOKUP($D$7,'Source Data'!$A$2:$EK$28,105,FALSE)</f>
        <v>146</v>
      </c>
      <c r="G107" s="3"/>
    </row>
    <row r="108" spans="2:7" ht="45.6" customHeight="1">
      <c r="B108" s="55">
        <v>18</v>
      </c>
      <c r="C108" s="59" t="s">
        <v>251</v>
      </c>
      <c r="D108" s="56" t="s">
        <v>118</v>
      </c>
      <c r="E108" s="54"/>
      <c r="F108" s="2"/>
      <c r="G108" s="3"/>
    </row>
    <row r="109" spans="2:7" ht="45.6" customHeight="1">
      <c r="B109" s="52">
        <v>18.100000000000001</v>
      </c>
      <c r="C109" s="2"/>
      <c r="D109" s="53" t="s">
        <v>119</v>
      </c>
      <c r="E109" s="54"/>
      <c r="F109" s="2" t="str">
        <f>VLOOKUP($D$7,'Source Data'!$A$2:$EK$28,107,FALSE)</f>
        <v>No</v>
      </c>
      <c r="G109" s="3" t="s">
        <v>149</v>
      </c>
    </row>
    <row r="110" spans="2:7" ht="45.6" customHeight="1">
      <c r="B110" s="52">
        <v>18.2</v>
      </c>
      <c r="C110" s="2" t="s">
        <v>252</v>
      </c>
      <c r="D110" s="53" t="s">
        <v>120</v>
      </c>
      <c r="E110" s="54" t="s">
        <v>224</v>
      </c>
      <c r="F110" s="2">
        <f>VLOOKUP($D$7,'Source Data'!$A$2:$EK$28,108,FALSE)</f>
        <v>400</v>
      </c>
      <c r="G110" s="3" t="s">
        <v>152</v>
      </c>
    </row>
    <row r="111" spans="2:7" ht="45.6" customHeight="1">
      <c r="B111" s="52">
        <v>18.3</v>
      </c>
      <c r="C111" s="2" t="s">
        <v>252</v>
      </c>
      <c r="D111" s="53" t="s">
        <v>121</v>
      </c>
      <c r="E111" s="54" t="s">
        <v>224</v>
      </c>
      <c r="F111" s="2" t="str">
        <f>VLOOKUP($D$7,'Source Data'!$A$2:$EK$28,109,FALSE)</f>
        <v>xxxxxxxxxxx</v>
      </c>
      <c r="G111" s="3" t="s">
        <v>152</v>
      </c>
    </row>
    <row r="112" spans="2:7" ht="45.6" customHeight="1">
      <c r="B112" s="52">
        <v>18.399999999999999</v>
      </c>
      <c r="C112" s="2" t="s">
        <v>252</v>
      </c>
      <c r="D112" s="53" t="s">
        <v>122</v>
      </c>
      <c r="E112" s="54" t="s">
        <v>224</v>
      </c>
      <c r="F112" s="2" t="str">
        <f>VLOOKUP($D$7,'Source Data'!$A$2:$EK$28,110,FALSE)</f>
        <v>≥ 320</v>
      </c>
      <c r="G112" s="3" t="s">
        <v>152</v>
      </c>
    </row>
    <row r="113" spans="2:7" ht="45.6" customHeight="1">
      <c r="B113" s="52">
        <v>18.5</v>
      </c>
      <c r="C113" s="2" t="s">
        <v>252</v>
      </c>
      <c r="D113" s="53" t="s">
        <v>123</v>
      </c>
      <c r="E113" s="54" t="s">
        <v>224</v>
      </c>
      <c r="F113" s="2" t="str">
        <f>VLOOKUP($D$7,'Source Data'!$A$2:$EK$28,111,FALSE)</f>
        <v xml:space="preserve">≤ 120 </v>
      </c>
      <c r="G113" s="3" t="s">
        <v>152</v>
      </c>
    </row>
    <row r="114" spans="2:7" ht="45.6" customHeight="1">
      <c r="B114" s="52">
        <v>18.600000000000001</v>
      </c>
      <c r="C114" s="2" t="s">
        <v>252</v>
      </c>
      <c r="D114" s="53" t="s">
        <v>116</v>
      </c>
      <c r="E114" s="54" t="s">
        <v>224</v>
      </c>
      <c r="F114" s="2">
        <f>VLOOKUP($D$7,'Source Data'!$A$2:$EK$28,112,FALSE)</f>
        <v>22</v>
      </c>
      <c r="G114" s="3" t="s">
        <v>152</v>
      </c>
    </row>
    <row r="115" spans="2:7" ht="45.6" customHeight="1">
      <c r="B115" s="55">
        <v>19</v>
      </c>
      <c r="C115" s="2" t="s">
        <v>253</v>
      </c>
      <c r="D115" s="56" t="s">
        <v>124</v>
      </c>
      <c r="E115" s="54"/>
      <c r="F115" s="2"/>
      <c r="G115" s="3"/>
    </row>
    <row r="116" spans="2:7" ht="45.6" customHeight="1">
      <c r="B116" s="52">
        <v>19.100000000000001</v>
      </c>
      <c r="C116" s="2"/>
      <c r="D116" s="53" t="s">
        <v>125</v>
      </c>
      <c r="E116" s="54"/>
      <c r="F116" s="2" t="str">
        <f>VLOOKUP($D$7,'Source Data'!$A$2:$EK$28,114,FALSE)</f>
        <v>Yes</v>
      </c>
      <c r="G116" s="3"/>
    </row>
    <row r="117" spans="2:7" ht="45.6" customHeight="1">
      <c r="B117" s="52">
        <v>19.2</v>
      </c>
      <c r="C117" s="2"/>
      <c r="D117" s="53" t="s">
        <v>126</v>
      </c>
      <c r="E117" s="54" t="s">
        <v>224</v>
      </c>
      <c r="F117" s="2" t="str">
        <f>VLOOKUP($D$7,'Source Data'!$A$2:$EK$28,115,FALSE)</f>
        <v xml:space="preserve">≥ 30 </v>
      </c>
      <c r="G117" s="3"/>
    </row>
    <row r="118" spans="2:7" ht="45.6" customHeight="1">
      <c r="B118" s="55">
        <v>20</v>
      </c>
      <c r="C118" s="2" t="s">
        <v>254</v>
      </c>
      <c r="D118" s="56" t="s">
        <v>127</v>
      </c>
      <c r="E118" s="54"/>
      <c r="F118" s="2"/>
      <c r="G118" s="3"/>
    </row>
    <row r="119" spans="2:7" ht="45.6" customHeight="1">
      <c r="B119" s="52">
        <v>20.100000000000001</v>
      </c>
      <c r="C119" s="2"/>
      <c r="D119" s="53" t="s">
        <v>128</v>
      </c>
      <c r="E119" s="54"/>
      <c r="F119" s="2" t="str">
        <f>VLOOKUP($D$7,'Source Data'!$A$2:$EK$28,117,FALSE)</f>
        <v>316 Stainless Steel or Mild Steel</v>
      </c>
      <c r="G119" s="3"/>
    </row>
    <row r="120" spans="2:7" ht="45.6" customHeight="1">
      <c r="B120" s="52">
        <v>20.2</v>
      </c>
      <c r="C120" s="2"/>
      <c r="D120" s="53" t="s">
        <v>129</v>
      </c>
      <c r="E120" s="54" t="s">
        <v>224</v>
      </c>
      <c r="F120" s="2" t="str">
        <f>VLOOKUP($D$7,'Source Data'!$A$2:$EK$28,118,FALSE)</f>
        <v>≥ 30</v>
      </c>
      <c r="G120" s="3"/>
    </row>
    <row r="121" spans="2:7" ht="45.6" customHeight="1">
      <c r="B121" s="52">
        <v>20.3</v>
      </c>
      <c r="C121" s="2"/>
      <c r="D121" s="53" t="s">
        <v>130</v>
      </c>
      <c r="E121" s="54"/>
      <c r="F121" s="2" t="str">
        <f>VLOOKUP($D$7,'Source Data'!$A$2:$EK$28,119,FALSE)</f>
        <v>316 Stainless Steel or Mild Steel</v>
      </c>
      <c r="G121" s="3"/>
    </row>
    <row r="122" spans="2:7" ht="45.6" customHeight="1">
      <c r="B122" s="52">
        <v>20.399999999999999</v>
      </c>
      <c r="C122" s="2"/>
      <c r="D122" s="53" t="s">
        <v>131</v>
      </c>
      <c r="E122" s="54" t="s">
        <v>224</v>
      </c>
      <c r="F122" s="2" t="str">
        <f>VLOOKUP($D$7,'Source Data'!$A$2:$EK$28,120,FALSE)</f>
        <v xml:space="preserve">M12 x 25 </v>
      </c>
      <c r="G122" s="3"/>
    </row>
    <row r="123" spans="2:7" ht="45.6" customHeight="1">
      <c r="B123" s="52">
        <v>20.5</v>
      </c>
      <c r="C123" s="2"/>
      <c r="D123" s="53" t="s">
        <v>132</v>
      </c>
      <c r="E123" s="54"/>
      <c r="F123" s="2" t="str">
        <f>VLOOKUP($D$7,'Source Data'!$A$2:$EK$28,121,FALSE)</f>
        <v>Yes</v>
      </c>
      <c r="G123" s="3"/>
    </row>
    <row r="124" spans="2:7" ht="45.6" customHeight="1">
      <c r="B124" s="55">
        <v>21</v>
      </c>
      <c r="C124" s="2" t="s">
        <v>255</v>
      </c>
      <c r="D124" s="56" t="s">
        <v>133</v>
      </c>
      <c r="E124" s="54"/>
      <c r="F124" s="2"/>
      <c r="G124" s="3"/>
    </row>
    <row r="125" spans="2:7" ht="45.6" customHeight="1">
      <c r="B125" s="52">
        <v>21.1</v>
      </c>
      <c r="C125" s="2"/>
      <c r="D125" s="53" t="s">
        <v>134</v>
      </c>
      <c r="E125" s="54"/>
      <c r="F125" s="2" t="str">
        <f>VLOOKUP($D$7,'Source Data'!$A$2:$EK$28,123,FALSE)</f>
        <v>Yes</v>
      </c>
      <c r="G125" s="3"/>
    </row>
    <row r="126" spans="2:7" ht="45.6" customHeight="1">
      <c r="B126" s="52">
        <v>21.2</v>
      </c>
      <c r="C126" s="2" t="s">
        <v>256</v>
      </c>
      <c r="D126" s="53" t="s">
        <v>116</v>
      </c>
      <c r="E126" s="54" t="s">
        <v>224</v>
      </c>
      <c r="F126" s="2">
        <f>VLOOKUP($D$7,'Source Data'!$A$2:$EK$28,124,FALSE)</f>
        <v>14</v>
      </c>
      <c r="G126" s="3"/>
    </row>
    <row r="127" spans="2:7" ht="45.6" customHeight="1">
      <c r="B127" s="52">
        <v>21.3</v>
      </c>
      <c r="C127" s="2" t="s">
        <v>256</v>
      </c>
      <c r="D127" s="53" t="s">
        <v>135</v>
      </c>
      <c r="E127" s="54" t="s">
        <v>224</v>
      </c>
      <c r="F127" s="2" t="str">
        <f>VLOOKUP($D$7,'Source Data'!$A$2:$EK$28,125,FALSE)</f>
        <v>≥ 200</v>
      </c>
      <c r="G127" s="3"/>
    </row>
    <row r="128" spans="2:7" ht="45.6" customHeight="1">
      <c r="B128" s="52">
        <v>21.4</v>
      </c>
      <c r="C128" s="2" t="s">
        <v>256</v>
      </c>
      <c r="D128" s="53" t="s">
        <v>136</v>
      </c>
      <c r="E128" s="54" t="s">
        <v>224</v>
      </c>
      <c r="F128" s="2" t="str">
        <f>VLOOKUP($D$7,'Source Data'!$A$2:$EK$28,126,FALSE)</f>
        <v xml:space="preserve">≥ 400 </v>
      </c>
      <c r="G128" s="3"/>
    </row>
    <row r="129" spans="2:7" ht="45.6" customHeight="1">
      <c r="B129" s="52">
        <v>21.5</v>
      </c>
      <c r="C129" s="2" t="s">
        <v>256</v>
      </c>
      <c r="D129" s="53" t="s">
        <v>137</v>
      </c>
      <c r="E129" s="54" t="s">
        <v>224</v>
      </c>
      <c r="F129" s="2" t="str">
        <f>VLOOKUP($D$7,'Source Data'!$A$2:$EK$28,127,FALSE)</f>
        <v>≥ 150</v>
      </c>
      <c r="G129" s="3"/>
    </row>
    <row r="130" spans="2:7" ht="45.6" customHeight="1">
      <c r="B130" s="55">
        <v>22</v>
      </c>
      <c r="C130" s="63">
        <v>3.4</v>
      </c>
      <c r="D130" s="64" t="s">
        <v>144</v>
      </c>
      <c r="E130" s="65"/>
      <c r="F130" s="63"/>
      <c r="G130" s="66"/>
    </row>
    <row r="131" spans="2:7" ht="45.6" customHeight="1">
      <c r="B131" s="52">
        <v>22.1</v>
      </c>
      <c r="C131" s="2"/>
      <c r="D131" s="67" t="s">
        <v>145</v>
      </c>
      <c r="E131" s="54"/>
      <c r="F131" s="2"/>
      <c r="G131" s="3"/>
    </row>
    <row r="132" spans="2:7" ht="45.6" customHeight="1">
      <c r="B132" s="52">
        <v>22.2</v>
      </c>
      <c r="C132" s="2"/>
      <c r="D132" s="67" t="s">
        <v>140</v>
      </c>
      <c r="E132" s="54"/>
      <c r="F132" s="2" t="str">
        <f>VLOOKUP($D$7,'Source Data'!$A$2:$EK$28,136,FALSE)</f>
        <v>xxxxxxxxxxx</v>
      </c>
      <c r="G132" s="3"/>
    </row>
    <row r="133" spans="2:7" ht="45.6" customHeight="1">
      <c r="B133" s="52">
        <v>22.3</v>
      </c>
      <c r="C133" s="2"/>
      <c r="D133" s="67" t="s">
        <v>141</v>
      </c>
      <c r="E133" s="54"/>
      <c r="F133" s="2" t="str">
        <f>VLOOKUP($D$7,'Source Data'!$A$2:$EK$28,137,FALSE)</f>
        <v>xxxxxxxxxxx</v>
      </c>
      <c r="G133" s="3"/>
    </row>
    <row r="134" spans="2:7" ht="45.6" customHeight="1">
      <c r="B134" s="52">
        <v>22.4</v>
      </c>
      <c r="C134" s="68"/>
      <c r="D134" s="67" t="s">
        <v>142</v>
      </c>
      <c r="E134" s="69"/>
      <c r="F134" s="2" t="str">
        <f>VLOOKUP($D$7,'Source Data'!$A$2:$EK$28,138,FALSE)</f>
        <v>xxxxxxxxxxx</v>
      </c>
      <c r="G134" s="70"/>
    </row>
    <row r="135" spans="2:7" ht="45.6" customHeight="1">
      <c r="B135" s="52">
        <v>22.5</v>
      </c>
      <c r="C135" s="68"/>
      <c r="D135" s="67" t="s">
        <v>143</v>
      </c>
      <c r="E135" s="69"/>
      <c r="F135" s="2" t="str">
        <f>VLOOKUP($D$7,'Source Data'!$A$2:$EK$28,139,FALSE)</f>
        <v>Azure Blue</v>
      </c>
      <c r="G135" s="70"/>
    </row>
    <row r="136" spans="2:7" ht="151.15">
      <c r="B136" s="71">
        <v>23</v>
      </c>
      <c r="C136" s="68">
        <v>4.2</v>
      </c>
      <c r="D136" s="64" t="s">
        <v>257</v>
      </c>
      <c r="E136" s="69"/>
      <c r="F136" s="2" t="str">
        <f>VLOOKUP($D$7,'Source Data'!$A$2:$EK$28,140,FALSE)</f>
        <v>Report Numbers</v>
      </c>
      <c r="G136" s="70"/>
    </row>
    <row r="137" spans="2:7" ht="241.9" thickBot="1">
      <c r="B137" s="72">
        <v>24</v>
      </c>
      <c r="C137" s="73">
        <v>4.3</v>
      </c>
      <c r="D137" s="74" t="s">
        <v>258</v>
      </c>
      <c r="E137" s="75"/>
      <c r="F137" s="73" t="str">
        <f>VLOOKUP($D$7,'Source Data'!$A$2:$EK$28,141,FALSE)</f>
        <v>Report Numbers</v>
      </c>
      <c r="G137" s="76"/>
    </row>
  </sheetData>
  <mergeCells count="4">
    <mergeCell ref="F8:G10"/>
    <mergeCell ref="B10:D10"/>
    <mergeCell ref="F3:G3"/>
    <mergeCell ref="F4:G4"/>
  </mergeCells>
  <dataValidations count="1">
    <dataValidation allowBlank="1" showInputMessage="1" showErrorMessage="1" sqref="D7" xr:uid="{09CB7106-9BD4-424E-8606-25BE33071FC7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&amp;CDual-phase SWER MV LV, 32 kVA, 19kV/+242/-242V  (Coastal, Ester Oil Only)</oddHeader>
  </headerFooter>
  <rowBreaks count="4" manualBreakCount="4">
    <brk id="35" min="1" max="6" man="1"/>
    <brk id="62" min="1" max="6" man="1"/>
    <brk id="88" min="1" max="6" man="1"/>
    <brk id="117" min="1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37"/>
  <sheetViews>
    <sheetView tabSelected="1" topLeftCell="A137" zoomScale="70" zoomScaleNormal="70" workbookViewId="0">
      <selection activeCell="D74" sqref="D74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24" customWidth="1"/>
    <col min="6" max="6" width="22.85546875" customWidth="1"/>
    <col min="7" max="7" width="30.85546875" customWidth="1"/>
  </cols>
  <sheetData>
    <row r="1" spans="2:7" ht="15" thickBot="1"/>
    <row r="2" spans="2:7">
      <c r="B2" s="25"/>
      <c r="C2" s="26"/>
      <c r="D2" s="26"/>
      <c r="E2" s="27"/>
      <c r="F2" s="26"/>
      <c r="G2" s="28"/>
    </row>
    <row r="3" spans="2:7">
      <c r="B3" s="29"/>
      <c r="C3" s="30"/>
      <c r="D3" s="30"/>
      <c r="E3" s="31"/>
      <c r="F3" s="105" t="s">
        <v>207</v>
      </c>
      <c r="G3" s="106"/>
    </row>
    <row r="4" spans="2:7">
      <c r="B4" s="29"/>
      <c r="C4" s="30"/>
      <c r="D4" s="30"/>
      <c r="E4" s="31"/>
      <c r="F4" s="105" t="str">
        <f>'List of Items &amp; Enquiry number'!B14</f>
        <v>Enquiry Number: 123456XYZ</v>
      </c>
      <c r="G4" s="106"/>
    </row>
    <row r="5" spans="2:7">
      <c r="B5" s="29"/>
      <c r="C5" s="30"/>
      <c r="D5" s="30"/>
      <c r="E5" s="31"/>
      <c r="F5" s="30"/>
      <c r="G5" s="32"/>
    </row>
    <row r="6" spans="2:7" ht="28.9">
      <c r="B6" s="33"/>
      <c r="C6" s="34"/>
      <c r="D6" s="35" t="s">
        <v>208</v>
      </c>
      <c r="E6" s="36"/>
      <c r="F6" s="37"/>
      <c r="G6" s="38"/>
    </row>
    <row r="7" spans="2:7">
      <c r="B7" s="29"/>
      <c r="C7" s="30"/>
      <c r="D7" s="39" t="s">
        <v>25</v>
      </c>
      <c r="E7" s="31"/>
      <c r="F7" s="30"/>
      <c r="G7" s="32"/>
    </row>
    <row r="8" spans="2:7">
      <c r="B8" s="29"/>
      <c r="C8" s="30"/>
      <c r="D8" s="30" t="s">
        <v>209</v>
      </c>
      <c r="E8" s="30"/>
      <c r="F8" s="107" t="s">
        <v>210</v>
      </c>
      <c r="G8" s="108"/>
    </row>
    <row r="9" spans="2:7">
      <c r="B9" s="40" t="s">
        <v>211</v>
      </c>
      <c r="C9" s="1"/>
      <c r="D9" s="1"/>
      <c r="E9" s="1"/>
      <c r="F9" s="107"/>
      <c r="G9" s="108"/>
    </row>
    <row r="10" spans="2:7" ht="15" thickBot="1">
      <c r="B10" s="111" t="s">
        <v>212</v>
      </c>
      <c r="C10" s="112"/>
      <c r="D10" s="112"/>
      <c r="E10" s="41"/>
      <c r="F10" s="109"/>
      <c r="G10" s="110"/>
    </row>
    <row r="11" spans="2:7" ht="28.15" thickBot="1">
      <c r="B11" s="42" t="s">
        <v>198</v>
      </c>
      <c r="C11" s="43" t="s">
        <v>213</v>
      </c>
      <c r="D11" s="44" t="s">
        <v>15</v>
      </c>
      <c r="E11" s="45"/>
      <c r="F11" s="46" t="s">
        <v>214</v>
      </c>
      <c r="G11" s="43" t="s">
        <v>215</v>
      </c>
    </row>
    <row r="12" spans="2:7" ht="43.5" customHeight="1">
      <c r="B12" s="47">
        <v>1</v>
      </c>
      <c r="C12" s="48"/>
      <c r="D12" s="49" t="s">
        <v>27</v>
      </c>
      <c r="E12" s="50"/>
      <c r="F12" s="48"/>
      <c r="G12" s="51"/>
    </row>
    <row r="13" spans="2:7" ht="45.6" customHeight="1">
      <c r="B13" s="52">
        <v>1.1000000000000001</v>
      </c>
      <c r="C13" s="2"/>
      <c r="D13" s="53" t="s">
        <v>28</v>
      </c>
      <c r="E13" s="54"/>
      <c r="F13" s="2" t="str">
        <f>VLOOKUP($D$7,'Source Data'!$A$2:$EK$28,3,FALSE)</f>
        <v>xxxxxxxxxxx</v>
      </c>
      <c r="G13" s="3"/>
    </row>
    <row r="14" spans="2:7" ht="45.6" customHeight="1">
      <c r="B14" s="52">
        <v>1.2000000000000002</v>
      </c>
      <c r="C14" s="2"/>
      <c r="D14" s="53" t="s">
        <v>29</v>
      </c>
      <c r="E14" s="54"/>
      <c r="F14" s="2" t="str">
        <f>VLOOKUP($D$7,'Source Data'!$A$2:$EK$28,4,FALSE)</f>
        <v>xxxxxxxxxxx</v>
      </c>
      <c r="G14" s="3"/>
    </row>
    <row r="15" spans="2:7" ht="45.6" customHeight="1">
      <c r="B15" s="52">
        <v>1.3</v>
      </c>
      <c r="C15" s="2"/>
      <c r="D15" s="53" t="s">
        <v>31</v>
      </c>
      <c r="E15" s="54"/>
      <c r="F15" s="2" t="str">
        <f>VLOOKUP($D$7,'Source Data'!$A$2:$EK$28,6,FALSE)</f>
        <v>xxxxxxxxxxx</v>
      </c>
      <c r="G15" s="3"/>
    </row>
    <row r="16" spans="2:7" ht="45.6" customHeight="1">
      <c r="B16" s="52">
        <v>1.4</v>
      </c>
      <c r="C16" s="2"/>
      <c r="D16" s="53" t="s">
        <v>216</v>
      </c>
      <c r="E16" s="54"/>
      <c r="F16" s="2" t="str">
        <f>VLOOKUP($D$7,'Source Data'!$A$2:$EK$28,7,FALSE)</f>
        <v>xxxxxxxxxxx</v>
      </c>
      <c r="G16" s="3"/>
    </row>
    <row r="17" spans="2:7" ht="45.6" customHeight="1">
      <c r="B17" s="52">
        <v>1.5</v>
      </c>
      <c r="C17" s="2"/>
      <c r="D17" s="53" t="s">
        <v>217</v>
      </c>
      <c r="E17" s="54"/>
      <c r="F17" s="2" t="str">
        <f>VLOOKUP($D$7,'Source Data'!$A$2:$EK$28,8,FALSE)</f>
        <v>xxxxxxxxxxx</v>
      </c>
      <c r="G17" s="3"/>
    </row>
    <row r="18" spans="2:7" ht="45.6" customHeight="1">
      <c r="B18" s="52">
        <v>1.6</v>
      </c>
      <c r="C18" s="2"/>
      <c r="D18" s="53" t="s">
        <v>34</v>
      </c>
      <c r="E18" s="54"/>
      <c r="F18" s="2" t="str">
        <f>VLOOKUP($D$7,'Source Data'!$A$2:$EK$28,9,FALSE)</f>
        <v>Ester Oil</v>
      </c>
      <c r="G18" s="3"/>
    </row>
    <row r="19" spans="2:7" ht="45.6" customHeight="1">
      <c r="B19" s="55">
        <v>2</v>
      </c>
      <c r="C19" s="2">
        <v>3</v>
      </c>
      <c r="D19" s="56" t="s">
        <v>35</v>
      </c>
      <c r="E19" s="54"/>
      <c r="F19" s="2"/>
      <c r="G19" s="3"/>
    </row>
    <row r="20" spans="2:7" ht="45.6" customHeight="1">
      <c r="B20" s="52">
        <v>2.1</v>
      </c>
      <c r="C20" s="2"/>
      <c r="D20" s="53" t="s">
        <v>36</v>
      </c>
      <c r="E20" s="54" t="s">
        <v>218</v>
      </c>
      <c r="F20" s="2">
        <f>VLOOKUP($D$7,'Source Data'!$A$2:$EK$28,11,FALSE)</f>
        <v>64</v>
      </c>
      <c r="G20" s="3"/>
    </row>
    <row r="21" spans="2:7" ht="45.6" customHeight="1">
      <c r="B21" s="52">
        <v>2.2000000000000002</v>
      </c>
      <c r="C21" s="2"/>
      <c r="D21" s="53" t="s">
        <v>37</v>
      </c>
      <c r="E21" s="54" t="s">
        <v>219</v>
      </c>
      <c r="F21" s="2">
        <f>VLOOKUP($D$7,'Source Data'!$A$2:$EK$28,12,FALSE)</f>
        <v>19</v>
      </c>
      <c r="G21" s="3"/>
    </row>
    <row r="22" spans="2:7" ht="45.6" customHeight="1">
      <c r="B22" s="52">
        <v>2.3000000000000003</v>
      </c>
      <c r="C22" s="2"/>
      <c r="D22" s="53" t="s">
        <v>38</v>
      </c>
      <c r="E22" s="54" t="s">
        <v>220</v>
      </c>
      <c r="F22" s="2" t="str">
        <f>VLOOKUP($D$7,'Source Data'!$A$2:$EK$28,13,FALSE)</f>
        <v>±242</v>
      </c>
      <c r="G22" s="3"/>
    </row>
    <row r="23" spans="2:7" ht="45.6" customHeight="1">
      <c r="B23" s="52">
        <v>2.4000000000000004</v>
      </c>
      <c r="C23" s="2"/>
      <c r="D23" s="53" t="s">
        <v>39</v>
      </c>
      <c r="E23" s="54" t="s">
        <v>221</v>
      </c>
      <c r="F23" s="2">
        <f>VLOOKUP($D$7,'Source Data'!$A$2:$EK$28,14,FALSE)</f>
        <v>50</v>
      </c>
      <c r="G23" s="3"/>
    </row>
    <row r="24" spans="2:7" ht="45.6" customHeight="1">
      <c r="B24" s="52">
        <v>2.5</v>
      </c>
      <c r="C24" s="2"/>
      <c r="D24" s="53" t="s">
        <v>40</v>
      </c>
      <c r="E24" s="54"/>
      <c r="F24" s="2" t="str">
        <f>VLOOKUP($D$7,'Source Data'!$A$2:$EK$28,15,FALSE)</f>
        <v>2ph</v>
      </c>
      <c r="G24" s="3"/>
    </row>
    <row r="25" spans="2:7" ht="45.6" customHeight="1">
      <c r="B25" s="52">
        <v>2.6</v>
      </c>
      <c r="C25" s="2"/>
      <c r="D25" s="53" t="s">
        <v>41</v>
      </c>
      <c r="E25" s="54"/>
      <c r="F25" s="2" t="str">
        <f>VLOOKUP($D$7,'Source Data'!$A$2:$EK$28,16,FALSE)</f>
        <v>N/A</v>
      </c>
      <c r="G25" s="3" t="s">
        <v>149</v>
      </c>
    </row>
    <row r="26" spans="2:7" ht="45.6" customHeight="1">
      <c r="B26" s="55">
        <v>3</v>
      </c>
      <c r="C26" s="2" t="s">
        <v>222</v>
      </c>
      <c r="D26" s="56" t="s">
        <v>42</v>
      </c>
      <c r="E26" s="54"/>
      <c r="F26" s="2"/>
      <c r="G26" s="3"/>
    </row>
    <row r="27" spans="2:7" ht="45.6" customHeight="1">
      <c r="B27" s="52">
        <v>3.1</v>
      </c>
      <c r="C27" s="2"/>
      <c r="D27" s="53" t="s">
        <v>43</v>
      </c>
      <c r="E27" s="54" t="s">
        <v>219</v>
      </c>
      <c r="F27" s="2">
        <f>VLOOKUP($D$7,'Source Data'!$A$2:$EK$28,18,FALSE)</f>
        <v>200</v>
      </c>
      <c r="G27" s="3"/>
    </row>
    <row r="28" spans="2:7" ht="45.6" customHeight="1">
      <c r="B28" s="52">
        <v>3.2</v>
      </c>
      <c r="C28" s="2"/>
      <c r="D28" s="53" t="s">
        <v>44</v>
      </c>
      <c r="E28" s="54" t="s">
        <v>219</v>
      </c>
      <c r="F28" s="2">
        <f>VLOOKUP($D$7,'Source Data'!$A$2:$EK$28,19,FALSE)</f>
        <v>30</v>
      </c>
      <c r="G28" s="3"/>
    </row>
    <row r="29" spans="2:7" ht="45.6" customHeight="1">
      <c r="B29" s="52">
        <v>3.3000000000000003</v>
      </c>
      <c r="C29" s="2"/>
      <c r="D29" s="53" t="s">
        <v>45</v>
      </c>
      <c r="E29" s="54" t="s">
        <v>219</v>
      </c>
      <c r="F29" s="2">
        <f>VLOOKUP($D$7,'Source Data'!$A$2:$EK$28,20,FALSE)</f>
        <v>70</v>
      </c>
      <c r="G29" s="3"/>
    </row>
    <row r="30" spans="2:7" ht="45.6" customHeight="1">
      <c r="B30" s="52">
        <v>3.4000000000000004</v>
      </c>
      <c r="C30" s="2"/>
      <c r="D30" s="53" t="s">
        <v>46</v>
      </c>
      <c r="E30" s="54" t="s">
        <v>219</v>
      </c>
      <c r="F30" s="2">
        <f>VLOOKUP($D$7,'Source Data'!$A$2:$EK$28,21,FALSE)</f>
        <v>8</v>
      </c>
      <c r="G30" s="3"/>
    </row>
    <row r="31" spans="2:7" ht="45.6" customHeight="1">
      <c r="B31" s="55">
        <v>4</v>
      </c>
      <c r="C31" s="2" t="s">
        <v>223</v>
      </c>
      <c r="D31" s="56" t="s">
        <v>47</v>
      </c>
      <c r="E31" s="54"/>
      <c r="F31" s="2"/>
      <c r="G31" s="3"/>
    </row>
    <row r="32" spans="2:7" ht="45.6" customHeight="1">
      <c r="B32" s="52">
        <v>4.0999999999999996</v>
      </c>
      <c r="C32" s="2"/>
      <c r="D32" s="53" t="s">
        <v>48</v>
      </c>
      <c r="E32" s="54"/>
      <c r="F32" s="2" t="str">
        <f>VLOOKUP($D$7,'Source Data'!$A$2:$EK$28,23,FALSE)</f>
        <v>xxxxxxxxxxx</v>
      </c>
      <c r="G32" s="3"/>
    </row>
    <row r="33" spans="2:7" ht="45.6" customHeight="1">
      <c r="B33" s="52">
        <v>4.1999999999999993</v>
      </c>
      <c r="C33" s="2"/>
      <c r="D33" s="53" t="s">
        <v>49</v>
      </c>
      <c r="E33" s="54"/>
      <c r="F33" s="2" t="str">
        <f>VLOOKUP($D$7,'Source Data'!$A$2:$EK$28,24,FALSE)</f>
        <v>Grade 3</v>
      </c>
      <c r="G33" s="3"/>
    </row>
    <row r="34" spans="2:7" ht="45.6" customHeight="1">
      <c r="B34" s="52">
        <v>4.3</v>
      </c>
      <c r="C34" s="2"/>
      <c r="D34" s="53" t="s">
        <v>50</v>
      </c>
      <c r="E34" s="54" t="s">
        <v>224</v>
      </c>
      <c r="F34" s="2" t="str">
        <f>VLOOKUP($D$7,'Source Data'!$A$2:$EK$28,25,FALSE)</f>
        <v>&gt; 0.125</v>
      </c>
      <c r="G34" s="3"/>
    </row>
    <row r="35" spans="2:7" ht="45.6" customHeight="1">
      <c r="B35" s="52">
        <v>4.3999999999999995</v>
      </c>
      <c r="C35" s="2"/>
      <c r="D35" s="53" t="s">
        <v>51</v>
      </c>
      <c r="E35" s="54"/>
      <c r="F35" s="2" t="str">
        <f>VLOOKUP($D$7,'Source Data'!$A$2:$EK$28,26,FALSE)</f>
        <v>xxxxxxxxxxx</v>
      </c>
      <c r="G35" s="3"/>
    </row>
    <row r="36" spans="2:7" ht="45.6" customHeight="1">
      <c r="B36" s="52">
        <v>4.5</v>
      </c>
      <c r="C36" s="2"/>
      <c r="D36" s="53" t="s">
        <v>52</v>
      </c>
      <c r="E36" s="54"/>
      <c r="F36" s="2" t="str">
        <f>VLOOKUP($D$7,'Source Data'!$A$2:$EK$28,27,FALSE)</f>
        <v>xxxxxxxxxxx</v>
      </c>
      <c r="G36" s="3"/>
    </row>
    <row r="37" spans="2:7" ht="45.6" customHeight="1">
      <c r="B37" s="52">
        <v>4.5999999999999996</v>
      </c>
      <c r="C37" s="2"/>
      <c r="D37" s="53" t="s">
        <v>53</v>
      </c>
      <c r="E37" s="54" t="s">
        <v>219</v>
      </c>
      <c r="F37" s="2">
        <f>VLOOKUP($D$7,'Source Data'!$A$2:$EK$28,28,FALSE)</f>
        <v>21</v>
      </c>
      <c r="G37" s="3"/>
    </row>
    <row r="38" spans="2:7" ht="45.6" customHeight="1">
      <c r="B38" s="52">
        <v>4.7</v>
      </c>
      <c r="C38" s="2"/>
      <c r="D38" s="53" t="s">
        <v>54</v>
      </c>
      <c r="E38" s="54" t="s">
        <v>219</v>
      </c>
      <c r="F38" s="2">
        <f>VLOOKUP($D$7,'Source Data'!$A$2:$EK$28,29,FALSE)</f>
        <v>8</v>
      </c>
      <c r="G38" s="3"/>
    </row>
    <row r="39" spans="2:7" ht="45.6" customHeight="1">
      <c r="B39" s="52">
        <v>4.8</v>
      </c>
      <c r="C39" s="2"/>
      <c r="D39" s="53" t="s">
        <v>225</v>
      </c>
      <c r="E39" s="54" t="s">
        <v>226</v>
      </c>
      <c r="F39" s="2" t="str">
        <f>VLOOKUP($D$7,'Source Data'!$A$2:$EK$28,30,FALSE)</f>
        <v>&lt;5</v>
      </c>
      <c r="G39" s="3"/>
    </row>
    <row r="40" spans="2:7" ht="45.6" customHeight="1">
      <c r="B40" s="55">
        <v>5</v>
      </c>
      <c r="C40" s="2" t="s">
        <v>227</v>
      </c>
      <c r="D40" s="56" t="s">
        <v>56</v>
      </c>
      <c r="E40" s="54"/>
      <c r="F40" s="2"/>
      <c r="G40" s="3"/>
    </row>
    <row r="41" spans="2:7" ht="45.6" customHeight="1">
      <c r="B41" s="52">
        <v>5.0999999999999996</v>
      </c>
      <c r="C41" s="2"/>
      <c r="D41" s="53" t="s">
        <v>57</v>
      </c>
      <c r="E41" s="54" t="s">
        <v>226</v>
      </c>
      <c r="F41" s="2" t="str">
        <f>VLOOKUP($D$7,'Source Data'!$A$2:$EK$28,32,FALSE)</f>
        <v>&lt; 5</v>
      </c>
      <c r="G41" s="3"/>
    </row>
    <row r="42" spans="2:7" ht="45.6" customHeight="1">
      <c r="B42" s="52">
        <v>5.1999999999999993</v>
      </c>
      <c r="C42" s="2"/>
      <c r="D42" s="53" t="s">
        <v>58</v>
      </c>
      <c r="E42" s="54" t="s">
        <v>226</v>
      </c>
      <c r="F42" s="2" t="str">
        <f>VLOOKUP($D$7,'Source Data'!$A$2:$EK$28,33,FALSE)</f>
        <v xml:space="preserve">&lt; 5 </v>
      </c>
      <c r="G42" s="3"/>
    </row>
    <row r="43" spans="2:7" ht="45.6" customHeight="1">
      <c r="B43" s="52">
        <v>5.3</v>
      </c>
      <c r="C43" s="2"/>
      <c r="D43" s="53" t="s">
        <v>59</v>
      </c>
      <c r="E43" s="54"/>
      <c r="F43" s="2" t="str">
        <f>VLOOKUP($D$7,'Source Data'!$A$2:$EK$28,34,FALSE)</f>
        <v>xxxxxxxxxxx</v>
      </c>
      <c r="G43" s="3"/>
    </row>
    <row r="44" spans="2:7" ht="45.6" customHeight="1">
      <c r="B44" s="52">
        <v>5.3999999999999995</v>
      </c>
      <c r="C44" s="2"/>
      <c r="D44" s="53" t="s">
        <v>60</v>
      </c>
      <c r="E44" s="54"/>
      <c r="F44" s="2" t="str">
        <f>VLOOKUP($D$7,'Source Data'!$A$2:$EK$28,35,FALSE)</f>
        <v>xxxxxxxxxxx</v>
      </c>
      <c r="G44" s="3"/>
    </row>
    <row r="45" spans="2:7" ht="45.6" customHeight="1">
      <c r="B45" s="55">
        <v>6</v>
      </c>
      <c r="C45" s="2" t="s">
        <v>228</v>
      </c>
      <c r="D45" s="56" t="s">
        <v>61</v>
      </c>
      <c r="E45" s="54"/>
      <c r="F45" s="2"/>
      <c r="G45" s="3"/>
    </row>
    <row r="46" spans="2:7" ht="45.6" customHeight="1">
      <c r="B46" s="52">
        <v>6.1</v>
      </c>
      <c r="C46" s="2"/>
      <c r="D46" s="53" t="s">
        <v>62</v>
      </c>
      <c r="E46" s="54"/>
      <c r="F46" s="2" t="str">
        <f>VLOOKUP($D$7,'Source Data'!$A$2:$EK$28,37,FALSE)</f>
        <v>Switch</v>
      </c>
      <c r="G46" s="3"/>
    </row>
    <row r="47" spans="2:7" ht="45.6" customHeight="1">
      <c r="B47" s="52">
        <v>6.2</v>
      </c>
      <c r="C47" s="2"/>
      <c r="D47" s="53" t="s">
        <v>63</v>
      </c>
      <c r="E47" s="54" t="s">
        <v>229</v>
      </c>
      <c r="F47" s="2" t="str">
        <f>VLOOKUP($D$7,'Source Data'!$A$2:$EK$28,38,FALSE)</f>
        <v>0, ±2.5, ±5</v>
      </c>
      <c r="G47" s="3"/>
    </row>
    <row r="48" spans="2:7" ht="45.6" customHeight="1">
      <c r="B48" s="55">
        <v>7</v>
      </c>
      <c r="C48" s="2" t="s">
        <v>230</v>
      </c>
      <c r="D48" s="56" t="s">
        <v>72</v>
      </c>
      <c r="E48" s="54"/>
      <c r="F48" s="2"/>
      <c r="G48" s="3"/>
    </row>
    <row r="49" spans="2:7" ht="45.6" customHeight="1">
      <c r="B49" s="52">
        <v>7.1</v>
      </c>
      <c r="C49" s="2"/>
      <c r="D49" s="53" t="s">
        <v>65</v>
      </c>
      <c r="E49" s="54"/>
      <c r="F49" s="2" t="str">
        <f>VLOOKUP($D$7,'Source Data'!$A$2:$EK$28,48,FALSE)</f>
        <v>xxxxxxxxxxx</v>
      </c>
      <c r="G49" s="3"/>
    </row>
    <row r="50" spans="2:7" ht="45.6" customHeight="1">
      <c r="B50" s="52">
        <v>7.2</v>
      </c>
      <c r="C50" s="2"/>
      <c r="D50" s="53" t="s">
        <v>66</v>
      </c>
      <c r="E50" s="54"/>
      <c r="F50" s="2" t="str">
        <f>VLOOKUP($D$7,'Source Data'!$A$2:$EK$28,49,FALSE)</f>
        <v>xxxxxxxxxxx</v>
      </c>
      <c r="G50" s="3"/>
    </row>
    <row r="51" spans="2:7" ht="45.6" customHeight="1">
      <c r="B51" s="52">
        <v>7.3</v>
      </c>
      <c r="C51" s="2"/>
      <c r="D51" s="53" t="s">
        <v>67</v>
      </c>
      <c r="E51" s="54"/>
      <c r="F51" s="2" t="str">
        <f>VLOOKUP($D$7,'Source Data'!$A$2:$EK$28,50,FALSE)</f>
        <v>xxxxxxxxxxx</v>
      </c>
      <c r="G51" s="3"/>
    </row>
    <row r="52" spans="2:7" ht="45.6" customHeight="1">
      <c r="B52" s="52">
        <v>7.4</v>
      </c>
      <c r="C52" s="2"/>
      <c r="D52" s="53" t="s">
        <v>68</v>
      </c>
      <c r="E52" s="54" t="s">
        <v>231</v>
      </c>
      <c r="F52" s="2" t="str">
        <f>VLOOKUP($D$7,'Source Data'!$A$2:$EK$28,51,FALSE)</f>
        <v>≥ 31</v>
      </c>
      <c r="G52" s="3"/>
    </row>
    <row r="53" spans="2:7" ht="45.6" customHeight="1">
      <c r="B53" s="52">
        <v>7.5</v>
      </c>
      <c r="C53" s="2"/>
      <c r="D53" s="53" t="s">
        <v>69</v>
      </c>
      <c r="E53" s="54"/>
      <c r="F53" s="2" t="str">
        <f>VLOOKUP($D$7,'Source Data'!$A$2:$EK$28,52,FALSE)</f>
        <v>Base</v>
      </c>
      <c r="G53" s="3"/>
    </row>
    <row r="54" spans="2:7" ht="45.6" customHeight="1">
      <c r="B54" s="52">
        <v>7.6</v>
      </c>
      <c r="C54" s="2"/>
      <c r="D54" s="53" t="s">
        <v>70</v>
      </c>
      <c r="E54" s="54"/>
      <c r="F54" s="2" t="str">
        <f>VLOOKUP($D$7,'Source Data'!$A$2:$EK$28,53,FALSE)</f>
        <v>Draw lead</v>
      </c>
      <c r="G54" s="3"/>
    </row>
    <row r="55" spans="2:7" ht="45.6" customHeight="1">
      <c r="B55" s="52">
        <v>7.7</v>
      </c>
      <c r="C55" s="2"/>
      <c r="D55" s="53" t="s">
        <v>71</v>
      </c>
      <c r="E55" s="54"/>
      <c r="F55" s="2" t="str">
        <f>VLOOKUP($D$7,'Source Data'!$A$2:$EK$28,54,FALSE)</f>
        <v>M12</v>
      </c>
      <c r="G55" s="3"/>
    </row>
    <row r="56" spans="2:7" ht="45.6" customHeight="1">
      <c r="B56" s="55">
        <v>8</v>
      </c>
      <c r="C56" s="2" t="s">
        <v>230</v>
      </c>
      <c r="D56" s="56" t="s">
        <v>73</v>
      </c>
      <c r="E56" s="54"/>
      <c r="F56" s="2"/>
      <c r="G56" s="3"/>
    </row>
    <row r="57" spans="2:7" ht="45.6" customHeight="1">
      <c r="B57" s="52">
        <v>8.1</v>
      </c>
      <c r="C57" s="2"/>
      <c r="D57" s="53" t="s">
        <v>65</v>
      </c>
      <c r="E57" s="54"/>
      <c r="F57" s="2" t="str">
        <f>VLOOKUP($D$7,'Source Data'!$A$2:$EK$28,56,FALSE)</f>
        <v>xxxxxxxxxxx</v>
      </c>
      <c r="G57" s="3"/>
    </row>
    <row r="58" spans="2:7" ht="45.6" customHeight="1">
      <c r="B58" s="52">
        <v>8.1999999999999993</v>
      </c>
      <c r="C58" s="2"/>
      <c r="D58" s="53" t="s">
        <v>66</v>
      </c>
      <c r="E58" s="54"/>
      <c r="F58" s="2" t="str">
        <f>VLOOKUP($D$7,'Source Data'!$A$2:$EK$28,57,FALSE)</f>
        <v>xxxxxxxxxxx</v>
      </c>
      <c r="G58" s="3"/>
    </row>
    <row r="59" spans="2:7" ht="45.6" customHeight="1">
      <c r="B59" s="52">
        <v>8.3000000000000007</v>
      </c>
      <c r="C59" s="2"/>
      <c r="D59" s="53" t="s">
        <v>67</v>
      </c>
      <c r="E59" s="54"/>
      <c r="F59" s="2" t="str">
        <f>VLOOKUP($D$7,'Source Data'!$A$2:$EK$28,58,FALSE)</f>
        <v>xxxxxxxxxxx</v>
      </c>
      <c r="G59" s="3"/>
    </row>
    <row r="60" spans="2:7" ht="45.6" customHeight="1">
      <c r="B60" s="52">
        <v>8.4</v>
      </c>
      <c r="C60" s="2"/>
      <c r="D60" s="53" t="s">
        <v>71</v>
      </c>
      <c r="E60" s="54"/>
      <c r="F60" s="2" t="str">
        <f>VLOOKUP($D$7,'Source Data'!$A$2:$EK$28,59,FALSE)</f>
        <v>M12</v>
      </c>
      <c r="G60" s="3"/>
    </row>
    <row r="61" spans="2:7" ht="45.6" customHeight="1">
      <c r="B61" s="52">
        <v>8.5</v>
      </c>
      <c r="C61" s="2"/>
      <c r="D61" s="53" t="s">
        <v>74</v>
      </c>
      <c r="E61" s="54"/>
      <c r="F61" s="2" t="str">
        <f>VLOOKUP($D$7,'Source Data'!$A$2:$EK$28,60,FALSE)</f>
        <v>Yes</v>
      </c>
      <c r="G61" s="3"/>
    </row>
    <row r="62" spans="2:7" ht="45.6" customHeight="1">
      <c r="B62" s="52">
        <v>8.6</v>
      </c>
      <c r="C62" s="2"/>
      <c r="D62" s="57" t="s">
        <v>75</v>
      </c>
      <c r="E62" s="54"/>
      <c r="F62" s="2" t="str">
        <f>VLOOKUP($D$7,'Source Data'!$A$2:$EK$28,61,FALSE)</f>
        <v>Yes</v>
      </c>
      <c r="G62" s="3"/>
    </row>
    <row r="63" spans="2:7" ht="45.6" customHeight="1">
      <c r="B63" s="55">
        <v>9</v>
      </c>
      <c r="C63" s="2" t="s">
        <v>232</v>
      </c>
      <c r="D63" s="56" t="s">
        <v>76</v>
      </c>
      <c r="E63" s="54"/>
      <c r="F63" s="2"/>
      <c r="G63" s="3"/>
    </row>
    <row r="64" spans="2:7" ht="45.6" customHeight="1">
      <c r="B64" s="52">
        <v>9.1</v>
      </c>
      <c r="C64" s="2"/>
      <c r="D64" s="53" t="s">
        <v>77</v>
      </c>
      <c r="E64" s="54"/>
      <c r="F64" s="2" t="str">
        <f>VLOOKUP($D$7,'Source Data'!$A$2:$EK$28,63,FALSE)</f>
        <v>Distribution</v>
      </c>
      <c r="G64" s="3" t="s">
        <v>149</v>
      </c>
    </row>
    <row r="65" spans="2:7" ht="45.6" customHeight="1">
      <c r="B65" s="52">
        <v>9.1999999999999993</v>
      </c>
      <c r="C65" s="2"/>
      <c r="D65" s="53" t="s">
        <v>78</v>
      </c>
      <c r="E65" s="54" t="s">
        <v>233</v>
      </c>
      <c r="F65" s="2">
        <f>VLOOKUP($D$7,'Source Data'!$A$2:$EK$28,64,FALSE)</f>
        <v>80500</v>
      </c>
      <c r="G65" s="3" t="s">
        <v>149</v>
      </c>
    </row>
    <row r="66" spans="2:7" ht="45.6" customHeight="1">
      <c r="B66" s="52">
        <v>9.3000000000000007</v>
      </c>
      <c r="C66" s="2"/>
      <c r="D66" s="53" t="s">
        <v>79</v>
      </c>
      <c r="E66" s="54" t="s">
        <v>233</v>
      </c>
      <c r="F66" s="2">
        <f>VLOOKUP($D$7,'Source Data'!$A$2:$EK$28,65,FALSE)</f>
        <v>17500</v>
      </c>
      <c r="G66" s="3" t="s">
        <v>149</v>
      </c>
    </row>
    <row r="67" spans="2:7" ht="45.6" customHeight="1">
      <c r="B67" s="52">
        <v>9.4</v>
      </c>
      <c r="C67" s="2"/>
      <c r="D67" s="53" t="s">
        <v>234</v>
      </c>
      <c r="E67" s="54" t="s">
        <v>235</v>
      </c>
      <c r="F67" s="2">
        <f>VLOOKUP($D$7,'Source Data'!$A$2:$EK$28,66,FALSE)</f>
        <v>260</v>
      </c>
      <c r="G67" s="3"/>
    </row>
    <row r="68" spans="2:7" ht="45.6" customHeight="1">
      <c r="B68" s="52">
        <v>9.5</v>
      </c>
      <c r="C68" s="2"/>
      <c r="D68" s="53" t="s">
        <v>236</v>
      </c>
      <c r="E68" s="54" t="s">
        <v>235</v>
      </c>
      <c r="F68" s="2">
        <v>130</v>
      </c>
      <c r="G68" s="3"/>
    </row>
    <row r="69" spans="2:7" ht="45.6" customHeight="1">
      <c r="B69" s="52">
        <v>9.6</v>
      </c>
      <c r="C69" s="2"/>
      <c r="D69" s="53" t="s">
        <v>237</v>
      </c>
      <c r="E69" s="54" t="s">
        <v>235</v>
      </c>
      <c r="F69" s="2">
        <f>VLOOKUP($D$7,'Source Data'!$A$2:$EK$28,67,FALSE)</f>
        <v>1200</v>
      </c>
      <c r="G69" s="3"/>
    </row>
    <row r="70" spans="2:7" ht="45.6" customHeight="1">
      <c r="B70" s="55">
        <v>10</v>
      </c>
      <c r="C70" s="2" t="s">
        <v>232</v>
      </c>
      <c r="D70" s="58" t="s">
        <v>82</v>
      </c>
      <c r="E70" s="54"/>
      <c r="F70" s="2"/>
      <c r="G70" s="3"/>
    </row>
    <row r="71" spans="2:7" ht="45.6" customHeight="1">
      <c r="B71" s="52">
        <v>10.1</v>
      </c>
      <c r="C71" s="59"/>
      <c r="D71" s="60" t="s">
        <v>83</v>
      </c>
      <c r="E71" s="54" t="s">
        <v>229</v>
      </c>
      <c r="F71" s="61" t="str">
        <f>VLOOKUP($D$7,'Source Data'!$A$2:$EK$28,69,FALSE)</f>
        <v>3,0 to 4,5</v>
      </c>
      <c r="G71" s="3"/>
    </row>
    <row r="72" spans="2:7" ht="45.6" customHeight="1">
      <c r="B72" s="52">
        <v>10.199999999999999</v>
      </c>
      <c r="C72" s="2"/>
      <c r="D72" s="60" t="s">
        <v>84</v>
      </c>
      <c r="E72" s="54"/>
      <c r="F72" s="61" t="str">
        <f>VLOOKUP($D$7,'Source Data'!$A$2:$EK$28,70,FALSE)</f>
        <v>xxxxxxxxxx</v>
      </c>
      <c r="G72" s="3"/>
    </row>
    <row r="73" spans="2:7" ht="45.6" customHeight="1">
      <c r="B73" s="55">
        <v>11</v>
      </c>
      <c r="C73" s="2"/>
      <c r="D73" s="113" t="s">
        <v>238</v>
      </c>
      <c r="E73" s="54"/>
      <c r="F73" s="2"/>
      <c r="G73" s="3"/>
    </row>
    <row r="74" spans="2:7" ht="45.6" customHeight="1">
      <c r="B74" s="52">
        <v>11.1</v>
      </c>
      <c r="C74" s="2"/>
      <c r="D74" s="53" t="s">
        <v>86</v>
      </c>
      <c r="E74" s="54" t="s">
        <v>239</v>
      </c>
      <c r="F74" s="61" t="str">
        <f>VLOOKUP($D$7,'Source Data'!$A$2:$EK$28,72,FALSE)</f>
        <v xml:space="preserve">≤ 48 </v>
      </c>
      <c r="G74" s="3"/>
    </row>
    <row r="75" spans="2:7" ht="45.6" customHeight="1">
      <c r="B75" s="55">
        <v>12</v>
      </c>
      <c r="C75" s="2"/>
      <c r="D75" s="56" t="s">
        <v>87</v>
      </c>
      <c r="E75" s="54"/>
      <c r="F75" s="2"/>
      <c r="G75" s="3"/>
    </row>
    <row r="76" spans="2:7" ht="45.6" customHeight="1">
      <c r="B76" s="52">
        <v>12.1</v>
      </c>
      <c r="C76" s="2"/>
      <c r="D76" s="53" t="s">
        <v>88</v>
      </c>
      <c r="E76" s="54"/>
      <c r="F76" s="61" t="str">
        <f>VLOOKUP($D$7,'Source Data'!$A$2:$EK$28,74,FALSE)</f>
        <v>xxxxxxxxxxx</v>
      </c>
      <c r="G76" s="3"/>
    </row>
    <row r="77" spans="2:7" ht="45.6" customHeight="1">
      <c r="B77" s="52">
        <v>12.2</v>
      </c>
      <c r="C77" s="2"/>
      <c r="D77" s="53" t="s">
        <v>89</v>
      </c>
      <c r="E77" s="54"/>
      <c r="F77" s="61" t="str">
        <f>VLOOKUP($D$7,'Source Data'!$A$2:$EK$28,75,FALSE)</f>
        <v>xxxxxxxxxxx</v>
      </c>
      <c r="G77" s="3"/>
    </row>
    <row r="78" spans="2:7" ht="45.6" customHeight="1">
      <c r="B78" s="55">
        <v>13</v>
      </c>
      <c r="C78" s="2"/>
      <c r="D78" s="56" t="s">
        <v>90</v>
      </c>
      <c r="E78" s="54"/>
      <c r="F78" s="2"/>
      <c r="G78" s="3"/>
    </row>
    <row r="79" spans="2:7" ht="45.6" customHeight="1">
      <c r="B79" s="52">
        <v>13.1</v>
      </c>
      <c r="C79" s="2"/>
      <c r="D79" s="53" t="s">
        <v>88</v>
      </c>
      <c r="E79" s="54"/>
      <c r="F79" s="61" t="str">
        <f>VLOOKUP($D$7,'Source Data'!$A$2:$EK$28,77,FALSE)</f>
        <v>xxxxxxxxxxx</v>
      </c>
      <c r="G79" s="3"/>
    </row>
    <row r="80" spans="2:7" ht="45.6" customHeight="1">
      <c r="B80" s="52">
        <v>13.2</v>
      </c>
      <c r="C80" s="2"/>
      <c r="D80" s="53" t="s">
        <v>89</v>
      </c>
      <c r="E80" s="54"/>
      <c r="F80" s="61" t="str">
        <f>VLOOKUP($D$7,'Source Data'!$A$2:$EK$28,78,FALSE)</f>
        <v>xxxxxxxxxxx</v>
      </c>
      <c r="G80" s="3"/>
    </row>
    <row r="81" spans="2:7" ht="45.6" customHeight="1">
      <c r="B81" s="55">
        <v>14</v>
      </c>
      <c r="C81" s="2"/>
      <c r="D81" s="56" t="s">
        <v>91</v>
      </c>
      <c r="E81" s="54"/>
      <c r="F81" s="2"/>
      <c r="G81" s="3"/>
    </row>
    <row r="82" spans="2:7" ht="45.6" customHeight="1">
      <c r="B82" s="52">
        <v>14.1</v>
      </c>
      <c r="C82" s="2"/>
      <c r="D82" s="53" t="s">
        <v>92</v>
      </c>
      <c r="E82" s="54"/>
      <c r="F82" s="61" t="str">
        <f>VLOOKUP($D$7,'Source Data'!$A$2:$EK$28,80,FALSE)</f>
        <v>Steel or Amporphous</v>
      </c>
      <c r="G82" s="3"/>
    </row>
    <row r="83" spans="2:7" ht="45.6" customHeight="1">
      <c r="B83" s="52">
        <v>14.2</v>
      </c>
      <c r="C83" s="2"/>
      <c r="D83" s="53" t="s">
        <v>93</v>
      </c>
      <c r="E83" s="54"/>
      <c r="F83" s="61" t="str">
        <f>VLOOKUP($D$7,'Source Data'!$A$2:$EK$28,81,FALSE)</f>
        <v>xxxxxxxxxxx</v>
      </c>
      <c r="G83" s="3"/>
    </row>
    <row r="84" spans="2:7" ht="45.6" customHeight="1">
      <c r="B84" s="52">
        <v>14.3</v>
      </c>
      <c r="C84" s="2"/>
      <c r="D84" s="53" t="s">
        <v>94</v>
      </c>
      <c r="E84" s="54"/>
      <c r="F84" s="61" t="str">
        <f>VLOOKUP($D$7,'Source Data'!$A$2:$EK$28,82,FALSE)</f>
        <v>xxxxxxxxxxx</v>
      </c>
      <c r="G84" s="3"/>
    </row>
    <row r="85" spans="2:7" ht="45.6" customHeight="1">
      <c r="B85" s="52">
        <v>14.4</v>
      </c>
      <c r="C85" s="2"/>
      <c r="D85" s="53" t="s">
        <v>95</v>
      </c>
      <c r="E85" s="54"/>
      <c r="F85" s="61" t="str">
        <f>VLOOKUP($D$7,'Source Data'!$A$2:$EK$28,83,FALSE)</f>
        <v>xxxxxxxxxxx</v>
      </c>
      <c r="G85" s="3"/>
    </row>
    <row r="86" spans="2:7" ht="45.6" customHeight="1">
      <c r="B86" s="55">
        <v>15</v>
      </c>
      <c r="C86" s="2" t="s">
        <v>240</v>
      </c>
      <c r="D86" s="58" t="s">
        <v>96</v>
      </c>
      <c r="E86" s="54"/>
      <c r="F86" s="61"/>
      <c r="G86" s="3"/>
    </row>
    <row r="87" spans="2:7" ht="45.6" customHeight="1">
      <c r="B87" s="52">
        <v>15.1</v>
      </c>
      <c r="C87" s="2"/>
      <c r="D87" s="53" t="s">
        <v>97</v>
      </c>
      <c r="E87" s="54"/>
      <c r="F87" s="61" t="str">
        <f>VLOOKUP($D$7,'Source Data'!$A$2:$EK$28,85,FALSE)</f>
        <v>Sealed</v>
      </c>
      <c r="G87" s="3"/>
    </row>
    <row r="88" spans="2:7" ht="45.6" customHeight="1">
      <c r="B88" s="52">
        <v>15.2</v>
      </c>
      <c r="C88" s="2"/>
      <c r="D88" s="53" t="s">
        <v>98</v>
      </c>
      <c r="E88" s="54"/>
      <c r="F88" s="61" t="str">
        <f>VLOOKUP($D$7,'Source Data'!$A$2:$EK$28,86,FALSE)</f>
        <v>xxxxxxxxxx</v>
      </c>
      <c r="G88" s="3"/>
    </row>
    <row r="89" spans="2:7" ht="45.6" customHeight="1">
      <c r="B89" s="55">
        <v>16</v>
      </c>
      <c r="C89" s="2" t="s">
        <v>241</v>
      </c>
      <c r="D89" s="56" t="s">
        <v>99</v>
      </c>
      <c r="E89" s="54"/>
      <c r="F89" s="61"/>
      <c r="G89" s="3"/>
    </row>
    <row r="90" spans="2:7" ht="45.6" customHeight="1">
      <c r="B90" s="52">
        <v>16.100000000000001</v>
      </c>
      <c r="C90" s="2" t="s">
        <v>242</v>
      </c>
      <c r="D90" s="53" t="s">
        <v>100</v>
      </c>
      <c r="E90" s="54" t="s">
        <v>224</v>
      </c>
      <c r="F90" s="61" t="str">
        <f>VLOOKUP($D$7,'Source Data'!$A$2:$EK$28,88,FALSE)</f>
        <v xml:space="preserve">≤ 1 080 </v>
      </c>
      <c r="G90" s="3"/>
    </row>
    <row r="91" spans="2:7" ht="45.6" customHeight="1">
      <c r="B91" s="52">
        <v>16.2</v>
      </c>
      <c r="C91" s="2" t="s">
        <v>242</v>
      </c>
      <c r="D91" s="53" t="s">
        <v>101</v>
      </c>
      <c r="E91" s="54" t="s">
        <v>224</v>
      </c>
      <c r="F91" s="61" t="str">
        <f>VLOOKUP($D$7,'Source Data'!$A$2:$EK$28,89,FALSE)</f>
        <v xml:space="preserve">≤ 1 500 </v>
      </c>
      <c r="G91" s="3"/>
    </row>
    <row r="92" spans="2:7" ht="45.6" customHeight="1">
      <c r="B92" s="52">
        <v>16.3</v>
      </c>
      <c r="C92" s="2" t="s">
        <v>242</v>
      </c>
      <c r="D92" s="53" t="s">
        <v>102</v>
      </c>
      <c r="E92" s="54" t="s">
        <v>224</v>
      </c>
      <c r="F92" s="61" t="str">
        <f>VLOOKUP($D$7,'Source Data'!$A$2:$EK$28,90,FALSE)</f>
        <v xml:space="preserve">≤ 1 500 </v>
      </c>
      <c r="G92" s="3"/>
    </row>
    <row r="93" spans="2:7" ht="45.6" customHeight="1">
      <c r="B93" s="52">
        <v>16.399999999999999</v>
      </c>
      <c r="C93" s="2" t="s">
        <v>242</v>
      </c>
      <c r="D93" s="53" t="s">
        <v>103</v>
      </c>
      <c r="E93" s="54" t="s">
        <v>243</v>
      </c>
      <c r="F93" s="2" t="str">
        <f>VLOOKUP($D$7,'Source Data'!$A$2:$EK$28,91,FALSE)</f>
        <v xml:space="preserve">≤ 900 </v>
      </c>
      <c r="G93" s="3"/>
    </row>
    <row r="94" spans="2:7" ht="45.6" customHeight="1">
      <c r="B94" s="52">
        <v>16.5</v>
      </c>
      <c r="C94" s="2"/>
      <c r="D94" s="53" t="s">
        <v>104</v>
      </c>
      <c r="E94" s="54" t="s">
        <v>244</v>
      </c>
      <c r="F94" s="2" t="str">
        <f>VLOOKUP($D$7,'Source Data'!$A$2:$EK$28,92,FALSE)</f>
        <v>xxxxxxxxxxx</v>
      </c>
      <c r="G94" s="3"/>
    </row>
    <row r="95" spans="2:7" ht="45.6" customHeight="1">
      <c r="B95" s="52">
        <v>16.600000000000001</v>
      </c>
      <c r="C95" s="2"/>
      <c r="D95" s="53" t="s">
        <v>105</v>
      </c>
      <c r="E95" s="54" t="s">
        <v>224</v>
      </c>
      <c r="F95" s="2">
        <f>VLOOKUP($D$7,'Source Data'!$A$2:$EK$28,93,FALSE)</f>
        <v>400</v>
      </c>
      <c r="G95" s="3"/>
    </row>
    <row r="96" spans="2:7" ht="45.6" customHeight="1">
      <c r="B96" s="52">
        <v>16.7</v>
      </c>
      <c r="C96" s="2" t="s">
        <v>245</v>
      </c>
      <c r="D96" s="53" t="s">
        <v>106</v>
      </c>
      <c r="E96" s="54" t="s">
        <v>224</v>
      </c>
      <c r="F96" s="2">
        <f>VLOOKUP($D$7,'Source Data'!$A$2:$EK$28,94,FALSE)</f>
        <v>100</v>
      </c>
      <c r="G96" s="3"/>
    </row>
    <row r="97" spans="2:7" ht="45.6" customHeight="1">
      <c r="B97" s="55">
        <v>17</v>
      </c>
      <c r="C97" s="2" t="s">
        <v>245</v>
      </c>
      <c r="D97" s="56" t="s">
        <v>107</v>
      </c>
      <c r="E97" s="54"/>
      <c r="F97" s="2"/>
      <c r="G97" s="3"/>
    </row>
    <row r="98" spans="2:7" ht="45.6" customHeight="1">
      <c r="B98" s="52">
        <v>17.100000000000001</v>
      </c>
      <c r="C98" s="2"/>
      <c r="D98" s="53" t="s">
        <v>108</v>
      </c>
      <c r="E98" s="54"/>
      <c r="F98" s="2" t="str">
        <f>VLOOKUP($D$7,'Source Data'!$A$2:$EK$28,96,FALSE)</f>
        <v>Yes</v>
      </c>
      <c r="G98" s="3"/>
    </row>
    <row r="99" spans="2:7" ht="45.6" customHeight="1">
      <c r="B99" s="52" t="s">
        <v>246</v>
      </c>
      <c r="C99" s="62"/>
      <c r="D99" s="53" t="s">
        <v>109</v>
      </c>
      <c r="E99" s="54"/>
      <c r="F99" s="2" t="str">
        <f>VLOOKUP($D$7,'Source Data'!$A$2:$EK$28,97,FALSE)</f>
        <v>Yes</v>
      </c>
      <c r="G99" s="3"/>
    </row>
    <row r="100" spans="2:7" ht="45.6" customHeight="1">
      <c r="B100" s="52" t="s">
        <v>247</v>
      </c>
      <c r="C100" s="62"/>
      <c r="D100" s="60" t="s">
        <v>110</v>
      </c>
      <c r="E100" s="54"/>
      <c r="F100" s="2" t="str">
        <f>VLOOKUP($D$7,'Source Data'!$A$2:$EK$28,98,FALSE)</f>
        <v>Yes</v>
      </c>
      <c r="G100" s="3"/>
    </row>
    <row r="101" spans="2:7" ht="45.6" customHeight="1">
      <c r="B101" s="52" t="s">
        <v>248</v>
      </c>
      <c r="C101" s="62"/>
      <c r="D101" s="60" t="s">
        <v>111</v>
      </c>
      <c r="E101" s="54"/>
      <c r="F101" s="2" t="str">
        <f>VLOOKUP($D$7,'Source Data'!$A$2:$EK$28,99,FALSE)</f>
        <v>Yes</v>
      </c>
      <c r="G101" s="3"/>
    </row>
    <row r="102" spans="2:7" ht="45.6" customHeight="1">
      <c r="B102" s="52" t="s">
        <v>249</v>
      </c>
      <c r="C102" s="62"/>
      <c r="D102" s="60" t="s">
        <v>112</v>
      </c>
      <c r="E102" s="54"/>
      <c r="F102" s="2" t="str">
        <f>VLOOKUP($D$7,'Source Data'!$A$2:$EK$28,100,FALSE)</f>
        <v>Yes</v>
      </c>
      <c r="G102" s="3"/>
    </row>
    <row r="103" spans="2:7" ht="45.6" customHeight="1">
      <c r="B103" s="52">
        <v>17.2</v>
      </c>
      <c r="C103" s="2" t="s">
        <v>250</v>
      </c>
      <c r="D103" s="53" t="s">
        <v>113</v>
      </c>
      <c r="E103" s="54" t="s">
        <v>224</v>
      </c>
      <c r="F103" s="2">
        <f>VLOOKUP($D$7,'Source Data'!$A$2:$EK$28,101,FALSE)</f>
        <v>400</v>
      </c>
      <c r="G103" s="3"/>
    </row>
    <row r="104" spans="2:7" ht="45.6" customHeight="1">
      <c r="B104" s="52">
        <v>17.3</v>
      </c>
      <c r="C104" s="2" t="s">
        <v>250</v>
      </c>
      <c r="D104" s="53" t="s">
        <v>114</v>
      </c>
      <c r="E104" s="54" t="s">
        <v>224</v>
      </c>
      <c r="F104" s="2" t="str">
        <f>VLOOKUP($D$7,'Source Data'!$A$2:$EK$28,102,FALSE)</f>
        <v xml:space="preserve">≤ 400 </v>
      </c>
      <c r="G104" s="3"/>
    </row>
    <row r="105" spans="2:7" ht="45.6" customHeight="1">
      <c r="B105" s="52">
        <v>17.399999999999999</v>
      </c>
      <c r="C105" s="2" t="s">
        <v>250</v>
      </c>
      <c r="D105" s="53" t="s">
        <v>115</v>
      </c>
      <c r="E105" s="54" t="s">
        <v>224</v>
      </c>
      <c r="F105" s="2" t="str">
        <f>VLOOKUP($D$7,'Source Data'!$A$2:$EK$28,103,FALSE)</f>
        <v xml:space="preserve">≤ 450 </v>
      </c>
      <c r="G105" s="3"/>
    </row>
    <row r="106" spans="2:7" ht="45.6" customHeight="1">
      <c r="B106" s="52">
        <v>17.5</v>
      </c>
      <c r="C106" s="2" t="s">
        <v>250</v>
      </c>
      <c r="D106" s="53" t="s">
        <v>116</v>
      </c>
      <c r="E106" s="54" t="s">
        <v>224</v>
      </c>
      <c r="F106" s="2">
        <f>VLOOKUP($D$7,'Source Data'!$A$2:$EK$28,104,FALSE)</f>
        <v>22</v>
      </c>
      <c r="G106" s="3"/>
    </row>
    <row r="107" spans="2:7" ht="45.6" customHeight="1">
      <c r="B107" s="52">
        <v>17.600000000000001</v>
      </c>
      <c r="C107" s="2" t="s">
        <v>250</v>
      </c>
      <c r="D107" s="53" t="s">
        <v>117</v>
      </c>
      <c r="E107" s="54" t="s">
        <v>224</v>
      </c>
      <c r="F107" s="2">
        <f>VLOOKUP($D$7,'Source Data'!$A$2:$EK$28,105,FALSE)</f>
        <v>146</v>
      </c>
      <c r="G107" s="3"/>
    </row>
    <row r="108" spans="2:7" ht="45.6" customHeight="1">
      <c r="B108" s="55">
        <v>18</v>
      </c>
      <c r="C108" s="59" t="s">
        <v>251</v>
      </c>
      <c r="D108" s="56" t="s">
        <v>118</v>
      </c>
      <c r="E108" s="54"/>
      <c r="F108" s="2"/>
      <c r="G108" s="3"/>
    </row>
    <row r="109" spans="2:7" ht="45.6" customHeight="1">
      <c r="B109" s="52">
        <v>18.100000000000001</v>
      </c>
      <c r="C109" s="2"/>
      <c r="D109" s="53" t="s">
        <v>119</v>
      </c>
      <c r="E109" s="54"/>
      <c r="F109" s="2" t="str">
        <f>VLOOKUP($D$7,'Source Data'!$A$2:$EK$28,107,FALSE)</f>
        <v>No</v>
      </c>
      <c r="G109" s="3" t="s">
        <v>149</v>
      </c>
    </row>
    <row r="110" spans="2:7" ht="45.6" customHeight="1">
      <c r="B110" s="52">
        <v>18.2</v>
      </c>
      <c r="C110" s="2" t="s">
        <v>252</v>
      </c>
      <c r="D110" s="53" t="s">
        <v>120</v>
      </c>
      <c r="E110" s="54" t="s">
        <v>224</v>
      </c>
      <c r="F110" s="2">
        <f>VLOOKUP($D$7,'Source Data'!$A$2:$EK$28,108,FALSE)</f>
        <v>400</v>
      </c>
      <c r="G110" s="3" t="s">
        <v>152</v>
      </c>
    </row>
    <row r="111" spans="2:7" ht="45.6" customHeight="1">
      <c r="B111" s="52">
        <v>18.3</v>
      </c>
      <c r="C111" s="2" t="s">
        <v>252</v>
      </c>
      <c r="D111" s="53" t="s">
        <v>121</v>
      </c>
      <c r="E111" s="54" t="s">
        <v>224</v>
      </c>
      <c r="F111" s="2" t="str">
        <f>VLOOKUP($D$7,'Source Data'!$A$2:$EK$28,109,FALSE)</f>
        <v>xxxxxxxxxxx</v>
      </c>
      <c r="G111" s="3" t="s">
        <v>152</v>
      </c>
    </row>
    <row r="112" spans="2:7" ht="45.6" customHeight="1">
      <c r="B112" s="52">
        <v>18.399999999999999</v>
      </c>
      <c r="C112" s="2" t="s">
        <v>252</v>
      </c>
      <c r="D112" s="53" t="s">
        <v>122</v>
      </c>
      <c r="E112" s="54" t="s">
        <v>224</v>
      </c>
      <c r="F112" s="2" t="str">
        <f>VLOOKUP($D$7,'Source Data'!$A$2:$EK$28,110,FALSE)</f>
        <v>≥ 320</v>
      </c>
      <c r="G112" s="3" t="s">
        <v>152</v>
      </c>
    </row>
    <row r="113" spans="2:7" ht="45.6" customHeight="1">
      <c r="B113" s="52">
        <v>18.5</v>
      </c>
      <c r="C113" s="2" t="s">
        <v>252</v>
      </c>
      <c r="D113" s="53" t="s">
        <v>123</v>
      </c>
      <c r="E113" s="54" t="s">
        <v>224</v>
      </c>
      <c r="F113" s="2" t="str">
        <f>VLOOKUP($D$7,'Source Data'!$A$2:$EK$28,111,FALSE)</f>
        <v xml:space="preserve">≤ 120 </v>
      </c>
      <c r="G113" s="3" t="s">
        <v>152</v>
      </c>
    </row>
    <row r="114" spans="2:7" ht="45.6" customHeight="1">
      <c r="B114" s="52">
        <v>18.600000000000001</v>
      </c>
      <c r="C114" s="2" t="s">
        <v>252</v>
      </c>
      <c r="D114" s="53" t="s">
        <v>116</v>
      </c>
      <c r="E114" s="54" t="s">
        <v>224</v>
      </c>
      <c r="F114" s="2">
        <f>VLOOKUP($D$7,'Source Data'!$A$2:$EK$28,112,FALSE)</f>
        <v>22</v>
      </c>
      <c r="G114" s="3" t="s">
        <v>152</v>
      </c>
    </row>
    <row r="115" spans="2:7" ht="45.6" customHeight="1">
      <c r="B115" s="55">
        <v>19</v>
      </c>
      <c r="C115" s="2" t="s">
        <v>253</v>
      </c>
      <c r="D115" s="56" t="s">
        <v>124</v>
      </c>
      <c r="E115" s="54"/>
      <c r="F115" s="2"/>
      <c r="G115" s="3"/>
    </row>
    <row r="116" spans="2:7" ht="45.6" customHeight="1">
      <c r="B116" s="52">
        <v>19.100000000000001</v>
      </c>
      <c r="C116" s="2"/>
      <c r="D116" s="53" t="s">
        <v>125</v>
      </c>
      <c r="E116" s="54"/>
      <c r="F116" s="2" t="str">
        <f>VLOOKUP($D$7,'Source Data'!$A$2:$EK$28,114,FALSE)</f>
        <v>Yes</v>
      </c>
      <c r="G116" s="3"/>
    </row>
    <row r="117" spans="2:7" ht="45.6" customHeight="1">
      <c r="B117" s="52">
        <v>19.2</v>
      </c>
      <c r="C117" s="2"/>
      <c r="D117" s="53" t="s">
        <v>126</v>
      </c>
      <c r="E117" s="54" t="s">
        <v>224</v>
      </c>
      <c r="F117" s="2" t="str">
        <f>VLOOKUP($D$7,'Source Data'!$A$2:$EK$28,115,FALSE)</f>
        <v xml:space="preserve">≥ 30 </v>
      </c>
      <c r="G117" s="3"/>
    </row>
    <row r="118" spans="2:7" ht="45.6" customHeight="1">
      <c r="B118" s="55">
        <v>20</v>
      </c>
      <c r="C118" s="2" t="s">
        <v>254</v>
      </c>
      <c r="D118" s="56" t="s">
        <v>127</v>
      </c>
      <c r="E118" s="54"/>
      <c r="F118" s="2"/>
      <c r="G118" s="3"/>
    </row>
    <row r="119" spans="2:7" ht="45.6" customHeight="1">
      <c r="B119" s="52">
        <v>20.100000000000001</v>
      </c>
      <c r="C119" s="2"/>
      <c r="D119" s="53" t="s">
        <v>128</v>
      </c>
      <c r="E119" s="54"/>
      <c r="F119" s="2" t="str">
        <f>VLOOKUP($D$7,'Source Data'!$A$2:$EK$28,117,FALSE)</f>
        <v>316 Stainless Steel or Mild Steel</v>
      </c>
      <c r="G119" s="3"/>
    </row>
    <row r="120" spans="2:7" ht="45.6" customHeight="1">
      <c r="B120" s="52">
        <v>20.2</v>
      </c>
      <c r="C120" s="2"/>
      <c r="D120" s="53" t="s">
        <v>129</v>
      </c>
      <c r="E120" s="54" t="s">
        <v>224</v>
      </c>
      <c r="F120" s="2" t="str">
        <f>VLOOKUP($D$7,'Source Data'!$A$2:$EK$28,118,FALSE)</f>
        <v>≥ 30</v>
      </c>
      <c r="G120" s="3"/>
    </row>
    <row r="121" spans="2:7" ht="45.6" customHeight="1">
      <c r="B121" s="52">
        <v>20.3</v>
      </c>
      <c r="C121" s="2"/>
      <c r="D121" s="53" t="s">
        <v>130</v>
      </c>
      <c r="E121" s="54"/>
      <c r="F121" s="2" t="str">
        <f>VLOOKUP($D$7,'Source Data'!$A$2:$EK$28,119,FALSE)</f>
        <v>316 Stainless Steel or Mild Steel</v>
      </c>
      <c r="G121" s="3"/>
    </row>
    <row r="122" spans="2:7" ht="45.6" customHeight="1">
      <c r="B122" s="52">
        <v>20.399999999999999</v>
      </c>
      <c r="C122" s="2"/>
      <c r="D122" s="53" t="s">
        <v>131</v>
      </c>
      <c r="E122" s="54" t="s">
        <v>224</v>
      </c>
      <c r="F122" s="2" t="str">
        <f>VLOOKUP($D$7,'Source Data'!$A$2:$EK$28,120,FALSE)</f>
        <v xml:space="preserve">M12 x 25 </v>
      </c>
      <c r="G122" s="3"/>
    </row>
    <row r="123" spans="2:7" ht="45.6" customHeight="1">
      <c r="B123" s="52">
        <v>20.5</v>
      </c>
      <c r="C123" s="2"/>
      <c r="D123" s="53" t="s">
        <v>132</v>
      </c>
      <c r="E123" s="54"/>
      <c r="F123" s="2" t="str">
        <f>VLOOKUP($D$7,'Source Data'!$A$2:$EK$28,121,FALSE)</f>
        <v>Yes</v>
      </c>
      <c r="G123" s="3"/>
    </row>
    <row r="124" spans="2:7" ht="45.6" customHeight="1">
      <c r="B124" s="55">
        <v>21</v>
      </c>
      <c r="C124" s="2" t="s">
        <v>255</v>
      </c>
      <c r="D124" s="56" t="s">
        <v>133</v>
      </c>
      <c r="E124" s="54"/>
      <c r="F124" s="2"/>
      <c r="G124" s="3"/>
    </row>
    <row r="125" spans="2:7" ht="45.6" customHeight="1">
      <c r="B125" s="52">
        <v>21.1</v>
      </c>
      <c r="C125" s="2"/>
      <c r="D125" s="53" t="s">
        <v>134</v>
      </c>
      <c r="E125" s="54"/>
      <c r="F125" s="2" t="str">
        <f>VLOOKUP($D$7,'Source Data'!$A$2:$EK$28,123,FALSE)</f>
        <v>Yes</v>
      </c>
      <c r="G125" s="3"/>
    </row>
    <row r="126" spans="2:7" ht="45.6" customHeight="1">
      <c r="B126" s="52">
        <v>21.2</v>
      </c>
      <c r="C126" s="2" t="s">
        <v>256</v>
      </c>
      <c r="D126" s="53" t="s">
        <v>116</v>
      </c>
      <c r="E126" s="54" t="s">
        <v>224</v>
      </c>
      <c r="F126" s="2">
        <f>VLOOKUP($D$7,'Source Data'!$A$2:$EK$28,124,FALSE)</f>
        <v>14</v>
      </c>
      <c r="G126" s="3"/>
    </row>
    <row r="127" spans="2:7" ht="45.6" customHeight="1">
      <c r="B127" s="52">
        <v>21.3</v>
      </c>
      <c r="C127" s="2" t="s">
        <v>256</v>
      </c>
      <c r="D127" s="53" t="s">
        <v>135</v>
      </c>
      <c r="E127" s="54" t="s">
        <v>224</v>
      </c>
      <c r="F127" s="2" t="str">
        <f>VLOOKUP($D$7,'Source Data'!$A$2:$EK$28,125,FALSE)</f>
        <v>≥ 200</v>
      </c>
      <c r="G127" s="3"/>
    </row>
    <row r="128" spans="2:7" ht="45.6" customHeight="1">
      <c r="B128" s="52">
        <v>21.4</v>
      </c>
      <c r="C128" s="2" t="s">
        <v>256</v>
      </c>
      <c r="D128" s="53" t="s">
        <v>136</v>
      </c>
      <c r="E128" s="54" t="s">
        <v>224</v>
      </c>
      <c r="F128" s="2" t="str">
        <f>VLOOKUP($D$7,'Source Data'!$A$2:$EK$28,126,FALSE)</f>
        <v xml:space="preserve">≥ 400 </v>
      </c>
      <c r="G128" s="3"/>
    </row>
    <row r="129" spans="2:7" ht="45.6" customHeight="1">
      <c r="B129" s="52">
        <v>21.5</v>
      </c>
      <c r="C129" s="2" t="s">
        <v>256</v>
      </c>
      <c r="D129" s="53" t="s">
        <v>137</v>
      </c>
      <c r="E129" s="54" t="s">
        <v>224</v>
      </c>
      <c r="F129" s="2" t="str">
        <f>VLOOKUP($D$7,'Source Data'!$A$2:$EK$28,127,FALSE)</f>
        <v>≥ 150</v>
      </c>
      <c r="G129" s="3"/>
    </row>
    <row r="130" spans="2:7" ht="45.6" customHeight="1">
      <c r="B130" s="55">
        <v>22</v>
      </c>
      <c r="C130" s="63">
        <v>3.4</v>
      </c>
      <c r="D130" s="64" t="s">
        <v>144</v>
      </c>
      <c r="E130" s="65"/>
      <c r="F130" s="63"/>
      <c r="G130" s="66"/>
    </row>
    <row r="131" spans="2:7" ht="45.6" customHeight="1">
      <c r="B131" s="52">
        <v>22.1</v>
      </c>
      <c r="C131" s="2"/>
      <c r="D131" s="67" t="s">
        <v>145</v>
      </c>
      <c r="E131" s="54"/>
      <c r="F131" s="2"/>
      <c r="G131" s="3"/>
    </row>
    <row r="132" spans="2:7" ht="45.6" customHeight="1">
      <c r="B132" s="52">
        <v>22.2</v>
      </c>
      <c r="C132" s="2"/>
      <c r="D132" s="67" t="s">
        <v>140</v>
      </c>
      <c r="E132" s="54"/>
      <c r="F132" s="2" t="str">
        <f>VLOOKUP($D$7,'Source Data'!$A$2:$EK$28,136,FALSE)</f>
        <v>xxxxxxxxxxx</v>
      </c>
      <c r="G132" s="3"/>
    </row>
    <row r="133" spans="2:7" ht="45.6" customHeight="1">
      <c r="B133" s="52">
        <v>22.3</v>
      </c>
      <c r="C133" s="2"/>
      <c r="D133" s="67" t="s">
        <v>141</v>
      </c>
      <c r="E133" s="54"/>
      <c r="F133" s="2" t="str">
        <f>VLOOKUP($D$7,'Source Data'!$A$2:$EK$28,137,FALSE)</f>
        <v>xxxxxxxxxxx</v>
      </c>
      <c r="G133" s="3"/>
    </row>
    <row r="134" spans="2:7" ht="45.6" customHeight="1">
      <c r="B134" s="52">
        <v>22.4</v>
      </c>
      <c r="C134" s="68"/>
      <c r="D134" s="67" t="s">
        <v>142</v>
      </c>
      <c r="E134" s="69"/>
      <c r="F134" s="2" t="str">
        <f>VLOOKUP($D$7,'Source Data'!$A$2:$EK$28,138,FALSE)</f>
        <v>xxxxxxxxxxx</v>
      </c>
      <c r="G134" s="70"/>
    </row>
    <row r="135" spans="2:7" ht="45.6" customHeight="1">
      <c r="B135" s="52">
        <v>22.5</v>
      </c>
      <c r="C135" s="68"/>
      <c r="D135" s="67" t="s">
        <v>143</v>
      </c>
      <c r="E135" s="69"/>
      <c r="F135" s="2" t="str">
        <f>VLOOKUP($D$7,'Source Data'!$A$2:$EK$28,139,FALSE)</f>
        <v>Azure Blue</v>
      </c>
      <c r="G135" s="70"/>
    </row>
    <row r="136" spans="2:7" ht="151.15">
      <c r="B136" s="71">
        <v>23</v>
      </c>
      <c r="C136" s="68">
        <v>4.2</v>
      </c>
      <c r="D136" s="64" t="s">
        <v>257</v>
      </c>
      <c r="E136" s="69"/>
      <c r="F136" s="2" t="str">
        <f>VLOOKUP($D$7,'Source Data'!$A$2:$EK$28,140,FALSE)</f>
        <v>Report Numbers</v>
      </c>
      <c r="G136" s="70"/>
    </row>
    <row r="137" spans="2:7" ht="241.9" thickBot="1">
      <c r="B137" s="72">
        <v>24</v>
      </c>
      <c r="C137" s="73">
        <v>4.3</v>
      </c>
      <c r="D137" s="74" t="s">
        <v>258</v>
      </c>
      <c r="E137" s="75"/>
      <c r="F137" s="73" t="str">
        <f>VLOOKUP($D$7,'Source Data'!$A$2:$EK$28,141,FALSE)</f>
        <v>Report Numbers</v>
      </c>
      <c r="G137" s="76"/>
    </row>
  </sheetData>
  <mergeCells count="4">
    <mergeCell ref="F8:G10"/>
    <mergeCell ref="B10:D10"/>
    <mergeCell ref="F3:G3"/>
    <mergeCell ref="F4:G4"/>
  </mergeCells>
  <dataValidations count="1">
    <dataValidation allowBlank="1" showInputMessage="1" showErrorMessage="1" sqref="D7" xr:uid="{64E324E1-5AD6-4EEA-897B-8DF66A127CCC}"/>
  </dataValidation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&amp;CDual-phase SWER MV LV, 64 kVA, 19kV/+242/-242V (Coastal, Ester Oil Only)</oddHeader>
  </headerFooter>
  <rowBreaks count="4" manualBreakCount="4">
    <brk id="35" max="16383" man="1"/>
    <brk id="55" max="16383" man="1"/>
    <brk id="88" max="16383" man="1"/>
    <brk id="1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Eskom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Adesh Singh</dc:creator>
  <cp:keywords/>
  <dc:description/>
  <cp:lastModifiedBy>Mashilo Moabelo</cp:lastModifiedBy>
  <cp:revision/>
  <dcterms:created xsi:type="dcterms:W3CDTF">2014-08-29T09:44:24Z</dcterms:created>
  <dcterms:modified xsi:type="dcterms:W3CDTF">2024-02-07T14:27:07Z</dcterms:modified>
  <cp:category/>
  <cp:contentStatus/>
</cp:coreProperties>
</file>